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hu.sharepoint.com/sites/sssc/SPH_Nutrition_RDS/Shared Documents/RDS/Nutrition Questionnaire Service Center/2022 NEW GRID FFQ/Qualtrics/Nutrient Tables/"/>
    </mc:Choice>
  </mc:AlternateContent>
  <bookViews>
    <workbookView xWindow="0" yWindow="0" windowWidth="15555" windowHeight="5985" firstSheet="3" activeTab="3"/>
  </bookViews>
  <sheets>
    <sheet name="Intro" sheetId="1" r:id="rId1"/>
    <sheet name="Environmental Attributes" sheetId="2" r:id="rId2"/>
    <sheet name="Additional Calculations" sheetId="3" r:id="rId3"/>
    <sheet name="Juice Additional Calculations" sheetId="4" r:id="rId4"/>
    <sheet name="Correspondence" sheetId="5" r:id="rId5"/>
    <sheet name="NHS2-2011 FFQ + environment Pri" sheetId="6" r:id="rId6"/>
    <sheet name="NHS2-2011 FFQ + environment" sheetId="7" r:id="rId7"/>
    <sheet name="Description of NHS2-2011 FFQ + " sheetId="8"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3" i="3" l="1"/>
  <c r="W1662" i="7"/>
  <c r="T1651" i="7"/>
  <c r="U1651" i="7" s="1"/>
  <c r="V1651" i="7" s="1"/>
  <c r="X1651" i="7" s="1"/>
  <c r="Y1651" i="7" s="1"/>
  <c r="Z1651" i="7" s="1"/>
  <c r="S1651" i="7"/>
  <c r="T1650" i="7"/>
  <c r="U1650" i="7" s="1"/>
  <c r="V1650" i="7" s="1"/>
  <c r="X1650" i="7" s="1"/>
  <c r="Y1650" i="7" s="1"/>
  <c r="Z1650" i="7" s="1"/>
  <c r="AA1650" i="7" s="1"/>
  <c r="S1650" i="7"/>
  <c r="T1649" i="7"/>
  <c r="U1649" i="7" s="1"/>
  <c r="V1649" i="7" s="1"/>
  <c r="X1649" i="7" s="1"/>
  <c r="Y1649" i="7" s="1"/>
  <c r="Z1649" i="7" s="1"/>
  <c r="AA1649" i="7" s="1"/>
  <c r="S1649" i="7"/>
  <c r="T1648" i="7"/>
  <c r="U1648" i="7" s="1"/>
  <c r="V1648" i="7" s="1"/>
  <c r="X1648" i="7" s="1"/>
  <c r="Y1648" i="7" s="1"/>
  <c r="Z1648" i="7" s="1"/>
  <c r="AA1648" i="7" s="1"/>
  <c r="S1648" i="7"/>
  <c r="T1647" i="7"/>
  <c r="U1647" i="7" s="1"/>
  <c r="S1647" i="7"/>
  <c r="T1646" i="7"/>
  <c r="U1646" i="7" s="1"/>
  <c r="S1646" i="7"/>
  <c r="T1645" i="7"/>
  <c r="U1645" i="7" s="1"/>
  <c r="S1645" i="7"/>
  <c r="T1644" i="7"/>
  <c r="U1644" i="7" s="1"/>
  <c r="S1644" i="7"/>
  <c r="T1643" i="7"/>
  <c r="U1643" i="7" s="1"/>
  <c r="S1643" i="7"/>
  <c r="T1642" i="7"/>
  <c r="U1642" i="7" s="1"/>
  <c r="S1642" i="7"/>
  <c r="T1641" i="7"/>
  <c r="U1641" i="7" s="1"/>
  <c r="S1641" i="7"/>
  <c r="T1640" i="7"/>
  <c r="U1640" i="7" s="1"/>
  <c r="S1640" i="7"/>
  <c r="T1639" i="7"/>
  <c r="U1639" i="7" s="1"/>
  <c r="S1639" i="7"/>
  <c r="T1638" i="7"/>
  <c r="U1638" i="7" s="1"/>
  <c r="S1638" i="7"/>
  <c r="T1637" i="7"/>
  <c r="U1637" i="7" s="1"/>
  <c r="S1637" i="7"/>
  <c r="T1636" i="7"/>
  <c r="U1636" i="7" s="1"/>
  <c r="S1636" i="7"/>
  <c r="T1635" i="7"/>
  <c r="U1635" i="7" s="1"/>
  <c r="V1635" i="7" s="1"/>
  <c r="X1635" i="7" s="1"/>
  <c r="Y1635" i="7" s="1"/>
  <c r="Z1635" i="7" s="1"/>
  <c r="AA1635" i="7" s="1"/>
  <c r="S1635" i="7"/>
  <c r="T1634" i="7"/>
  <c r="U1634" i="7" s="1"/>
  <c r="V1634" i="7" s="1"/>
  <c r="X1634" i="7" s="1"/>
  <c r="Y1634" i="7" s="1"/>
  <c r="Z1634" i="7" s="1"/>
  <c r="AA1634" i="7" s="1"/>
  <c r="S1634" i="7"/>
  <c r="T1633" i="7"/>
  <c r="U1633" i="7" s="1"/>
  <c r="S1633" i="7"/>
  <c r="T1632" i="7"/>
  <c r="U1632" i="7" s="1"/>
  <c r="S1632" i="7"/>
  <c r="T1631" i="7"/>
  <c r="U1631" i="7" s="1"/>
  <c r="S1631" i="7"/>
  <c r="T1630" i="7"/>
  <c r="U1630" i="7" s="1"/>
  <c r="S1630" i="7"/>
  <c r="AB1629" i="7"/>
  <c r="AC1629" i="7" s="1"/>
  <c r="AD1629" i="7" s="1"/>
  <c r="AE1629" i="7" s="1"/>
  <c r="AF1629" i="7" s="1"/>
  <c r="AG1629" i="7" s="1"/>
  <c r="AH1629" i="7" s="1"/>
  <c r="T1629" i="7"/>
  <c r="U1629" i="7" s="1"/>
  <c r="S1629" i="7"/>
  <c r="T1628" i="7"/>
  <c r="U1628" i="7" s="1"/>
  <c r="S1628" i="7"/>
  <c r="T1627" i="7"/>
  <c r="U1627" i="7" s="1"/>
  <c r="V1627" i="7" s="1"/>
  <c r="X1627" i="7" s="1"/>
  <c r="Y1627" i="7" s="1"/>
  <c r="Z1627" i="7" s="1"/>
  <c r="AA1627" i="7" s="1"/>
  <c r="S1627" i="7"/>
  <c r="T1626" i="7"/>
  <c r="U1626" i="7" s="1"/>
  <c r="V1626" i="7" s="1"/>
  <c r="X1626" i="7" s="1"/>
  <c r="Y1626" i="7" s="1"/>
  <c r="Z1626" i="7" s="1"/>
  <c r="AA1626" i="7" s="1"/>
  <c r="S1626" i="7"/>
  <c r="T1625" i="7"/>
  <c r="U1625" i="7" s="1"/>
  <c r="S1625" i="7"/>
  <c r="T1624" i="7"/>
  <c r="U1624" i="7" s="1"/>
  <c r="S1624" i="7"/>
  <c r="AB1623" i="7"/>
  <c r="AC1623" i="7" s="1"/>
  <c r="AD1623" i="7" s="1"/>
  <c r="AE1623" i="7" s="1"/>
  <c r="AF1623" i="7" s="1"/>
  <c r="AG1623" i="7" s="1"/>
  <c r="AH1623" i="7" s="1"/>
  <c r="T1623" i="7"/>
  <c r="U1623" i="7" s="1"/>
  <c r="S1623" i="7"/>
  <c r="AB1622" i="7"/>
  <c r="AC1622" i="7" s="1"/>
  <c r="AD1622" i="7" s="1"/>
  <c r="AE1622" i="7" s="1"/>
  <c r="AF1622" i="7" s="1"/>
  <c r="AG1622" i="7" s="1"/>
  <c r="AH1622" i="7" s="1"/>
  <c r="T1622" i="7"/>
  <c r="U1622" i="7" s="1"/>
  <c r="S1622" i="7"/>
  <c r="AB1621" i="7"/>
  <c r="AC1621" i="7" s="1"/>
  <c r="AD1621" i="7" s="1"/>
  <c r="AE1621" i="7" s="1"/>
  <c r="AF1621" i="7" s="1"/>
  <c r="AG1621" i="7" s="1"/>
  <c r="AH1621" i="7" s="1"/>
  <c r="T1621" i="7"/>
  <c r="U1621" i="7" s="1"/>
  <c r="S1621" i="7"/>
  <c r="AB1620" i="7"/>
  <c r="AC1620" i="7" s="1"/>
  <c r="AD1620" i="7" s="1"/>
  <c r="AE1620" i="7" s="1"/>
  <c r="AF1620" i="7" s="1"/>
  <c r="AG1620" i="7" s="1"/>
  <c r="AH1620" i="7" s="1"/>
  <c r="T1620" i="7"/>
  <c r="U1620" i="7" s="1"/>
  <c r="S1620" i="7"/>
  <c r="AB1619" i="7"/>
  <c r="AC1619" i="7" s="1"/>
  <c r="AD1619" i="7" s="1"/>
  <c r="AE1619" i="7" s="1"/>
  <c r="AF1619" i="7" s="1"/>
  <c r="AG1619" i="7" s="1"/>
  <c r="AH1619" i="7" s="1"/>
  <c r="T1619" i="7"/>
  <c r="U1619" i="7" s="1"/>
  <c r="S1619" i="7"/>
  <c r="AB1618" i="7"/>
  <c r="AC1618" i="7" s="1"/>
  <c r="AD1618" i="7" s="1"/>
  <c r="AE1618" i="7" s="1"/>
  <c r="AF1618" i="7" s="1"/>
  <c r="AG1618" i="7" s="1"/>
  <c r="AH1618" i="7" s="1"/>
  <c r="T1618" i="7"/>
  <c r="U1618" i="7" s="1"/>
  <c r="V1618" i="7" s="1"/>
  <c r="X1618" i="7" s="1"/>
  <c r="S1618" i="7"/>
  <c r="AB1617" i="7"/>
  <c r="AC1617" i="7" s="1"/>
  <c r="AD1617" i="7" s="1"/>
  <c r="AE1617" i="7" s="1"/>
  <c r="AF1617" i="7" s="1"/>
  <c r="AG1617" i="7" s="1"/>
  <c r="AH1617" i="7" s="1"/>
  <c r="T1617" i="7"/>
  <c r="U1617" i="7" s="1"/>
  <c r="V1617" i="7" s="1"/>
  <c r="X1617" i="7" s="1"/>
  <c r="S1617" i="7"/>
  <c r="T1616" i="7"/>
  <c r="U1616" i="7" s="1"/>
  <c r="S1616" i="7"/>
  <c r="T1615" i="7"/>
  <c r="U1615" i="7" s="1"/>
  <c r="S1615" i="7"/>
  <c r="T1614" i="7"/>
  <c r="U1614" i="7" s="1"/>
  <c r="S1614" i="7"/>
  <c r="T1613" i="7"/>
  <c r="U1613" i="7" s="1"/>
  <c r="S1613" i="7"/>
  <c r="AB1612" i="7"/>
  <c r="AC1612" i="7" s="1"/>
  <c r="AD1612" i="7" s="1"/>
  <c r="AE1612" i="7" s="1"/>
  <c r="AF1612" i="7" s="1"/>
  <c r="AG1612" i="7" s="1"/>
  <c r="AH1612" i="7" s="1"/>
  <c r="T1612" i="7"/>
  <c r="U1612" i="7" s="1"/>
  <c r="S1612" i="7"/>
  <c r="T1611" i="7"/>
  <c r="U1611" i="7" s="1"/>
  <c r="S1611" i="7"/>
  <c r="T1610" i="7"/>
  <c r="U1610" i="7" s="1"/>
  <c r="S1610" i="7"/>
  <c r="T1609" i="7"/>
  <c r="U1609" i="7" s="1"/>
  <c r="S1609" i="7"/>
  <c r="T1608" i="7"/>
  <c r="U1608" i="7" s="1"/>
  <c r="V1608" i="7" s="1"/>
  <c r="X1608" i="7" s="1"/>
  <c r="Y1608" i="7" s="1"/>
  <c r="Z1608" i="7" s="1"/>
  <c r="AA1608" i="7" s="1"/>
  <c r="S1608" i="7"/>
  <c r="T1607" i="7"/>
  <c r="U1607" i="7" s="1"/>
  <c r="V1607" i="7" s="1"/>
  <c r="X1607" i="7" s="1"/>
  <c r="Y1607" i="7" s="1"/>
  <c r="Z1607" i="7" s="1"/>
  <c r="AA1607" i="7" s="1"/>
  <c r="S1607" i="7"/>
  <c r="T1606" i="7"/>
  <c r="U1606" i="7" s="1"/>
  <c r="V1606" i="7" s="1"/>
  <c r="X1606" i="7" s="1"/>
  <c r="Y1606" i="7" s="1"/>
  <c r="Z1606" i="7" s="1"/>
  <c r="AA1606" i="7" s="1"/>
  <c r="S1606" i="7"/>
  <c r="T1605" i="7"/>
  <c r="U1605" i="7" s="1"/>
  <c r="V1605" i="7" s="1"/>
  <c r="X1605" i="7" s="1"/>
  <c r="Y1605" i="7" s="1"/>
  <c r="Z1605" i="7" s="1"/>
  <c r="AA1605" i="7" s="1"/>
  <c r="S1605" i="7"/>
  <c r="T1604" i="7"/>
  <c r="U1604" i="7" s="1"/>
  <c r="V1604" i="7" s="1"/>
  <c r="X1604" i="7" s="1"/>
  <c r="Y1604" i="7" s="1"/>
  <c r="Z1604" i="7" s="1"/>
  <c r="AA1604" i="7" s="1"/>
  <c r="S1604" i="7"/>
  <c r="T1603" i="7"/>
  <c r="U1603" i="7" s="1"/>
  <c r="V1603" i="7" s="1"/>
  <c r="X1603" i="7" s="1"/>
  <c r="Y1603" i="7" s="1"/>
  <c r="Z1603" i="7" s="1"/>
  <c r="AA1603" i="7" s="1"/>
  <c r="S1603" i="7"/>
  <c r="T1602" i="7"/>
  <c r="U1602" i="7" s="1"/>
  <c r="V1602" i="7" s="1"/>
  <c r="X1602" i="7" s="1"/>
  <c r="Y1602" i="7" s="1"/>
  <c r="Z1602" i="7" s="1"/>
  <c r="AA1602" i="7" s="1"/>
  <c r="S1602" i="7"/>
  <c r="T1601" i="7"/>
  <c r="U1601" i="7" s="1"/>
  <c r="V1601" i="7" s="1"/>
  <c r="X1601" i="7" s="1"/>
  <c r="Y1601" i="7" s="1"/>
  <c r="Z1601" i="7" s="1"/>
  <c r="AA1601" i="7" s="1"/>
  <c r="S1601" i="7"/>
  <c r="T1600" i="7"/>
  <c r="U1600" i="7" s="1"/>
  <c r="V1600" i="7" s="1"/>
  <c r="X1600" i="7" s="1"/>
  <c r="Y1600" i="7" s="1"/>
  <c r="Z1600" i="7" s="1"/>
  <c r="AA1600" i="7" s="1"/>
  <c r="S1600" i="7"/>
  <c r="T1599" i="7"/>
  <c r="U1599" i="7" s="1"/>
  <c r="V1599" i="7" s="1"/>
  <c r="X1599" i="7" s="1"/>
  <c r="Y1599" i="7" s="1"/>
  <c r="Z1599" i="7" s="1"/>
  <c r="AA1599" i="7" s="1"/>
  <c r="S1599" i="7"/>
  <c r="T1598" i="7"/>
  <c r="U1598" i="7" s="1"/>
  <c r="S1598" i="7"/>
  <c r="AB1597" i="7"/>
  <c r="AC1597" i="7" s="1"/>
  <c r="AD1597" i="7" s="1"/>
  <c r="AE1597" i="7" s="1"/>
  <c r="AF1597" i="7" s="1"/>
  <c r="AG1597" i="7" s="1"/>
  <c r="AH1597" i="7" s="1"/>
  <c r="T1597" i="7"/>
  <c r="U1597" i="7" s="1"/>
  <c r="V1597" i="7" s="1"/>
  <c r="X1597" i="7" s="1"/>
  <c r="S1597" i="7"/>
  <c r="T1596" i="7"/>
  <c r="U1596" i="7" s="1"/>
  <c r="S1596" i="7"/>
  <c r="T1595" i="7"/>
  <c r="U1595" i="7" s="1"/>
  <c r="S1595" i="7"/>
  <c r="T1594" i="7"/>
  <c r="U1594" i="7" s="1"/>
  <c r="S1594" i="7"/>
  <c r="T1593" i="7"/>
  <c r="U1593" i="7" s="1"/>
  <c r="V1593" i="7" s="1"/>
  <c r="X1593" i="7" s="1"/>
  <c r="Y1593" i="7" s="1"/>
  <c r="Z1593" i="7" s="1"/>
  <c r="AA1593" i="7" s="1"/>
  <c r="S1593" i="7"/>
  <c r="T1592" i="7"/>
  <c r="U1592" i="7" s="1"/>
  <c r="V1592" i="7" s="1"/>
  <c r="X1592" i="7" s="1"/>
  <c r="Y1592" i="7" s="1"/>
  <c r="Z1592" i="7" s="1"/>
  <c r="AA1592" i="7" s="1"/>
  <c r="S1592" i="7"/>
  <c r="AB1591" i="7"/>
  <c r="AC1591" i="7" s="1"/>
  <c r="AD1591" i="7" s="1"/>
  <c r="AE1591" i="7" s="1"/>
  <c r="AF1591" i="7" s="1"/>
  <c r="AG1591" i="7" s="1"/>
  <c r="AH1591" i="7" s="1"/>
  <c r="T1591" i="7"/>
  <c r="U1591" i="7" s="1"/>
  <c r="S1591" i="7"/>
  <c r="Z1590" i="7"/>
  <c r="AA1590" i="7" s="1"/>
  <c r="AB1590" i="7" s="1"/>
  <c r="AC1590" i="7" s="1"/>
  <c r="AD1590" i="7" s="1"/>
  <c r="AE1590" i="7" s="1"/>
  <c r="AF1590" i="7" s="1"/>
  <c r="AG1590" i="7" s="1"/>
  <c r="AH1590" i="7" s="1"/>
  <c r="T1590" i="7"/>
  <c r="U1590" i="7" s="1"/>
  <c r="S1590" i="7"/>
  <c r="T1589" i="7"/>
  <c r="U1589" i="7" s="1"/>
  <c r="S1589" i="7"/>
  <c r="T1588" i="7"/>
  <c r="U1588" i="7" s="1"/>
  <c r="S1588" i="7"/>
  <c r="T1587" i="7"/>
  <c r="U1587" i="7" s="1"/>
  <c r="S1587" i="7"/>
  <c r="T1586" i="7"/>
  <c r="U1586" i="7" s="1"/>
  <c r="S1586" i="7"/>
  <c r="AB1585" i="7"/>
  <c r="AC1585" i="7" s="1"/>
  <c r="AD1585" i="7" s="1"/>
  <c r="AE1585" i="7" s="1"/>
  <c r="AF1585" i="7" s="1"/>
  <c r="AG1585" i="7" s="1"/>
  <c r="AH1585" i="7" s="1"/>
  <c r="T1585" i="7"/>
  <c r="U1585" i="7" s="1"/>
  <c r="S1585" i="7"/>
  <c r="T1584" i="7"/>
  <c r="U1584" i="7" s="1"/>
  <c r="S1584" i="7"/>
  <c r="T1583" i="7"/>
  <c r="U1583" i="7" s="1"/>
  <c r="S1583" i="7"/>
  <c r="T1582" i="7"/>
  <c r="U1582" i="7" s="1"/>
  <c r="S1582" i="7"/>
  <c r="AB1581" i="7"/>
  <c r="AC1581" i="7" s="1"/>
  <c r="AD1581" i="7" s="1"/>
  <c r="AE1581" i="7" s="1"/>
  <c r="AF1581" i="7" s="1"/>
  <c r="AG1581" i="7" s="1"/>
  <c r="AH1581" i="7" s="1"/>
  <c r="T1581" i="7"/>
  <c r="U1581" i="7" s="1"/>
  <c r="S1581" i="7"/>
  <c r="AB1580" i="7"/>
  <c r="AC1580" i="7" s="1"/>
  <c r="AD1580" i="7" s="1"/>
  <c r="AE1580" i="7" s="1"/>
  <c r="AF1580" i="7" s="1"/>
  <c r="AG1580" i="7" s="1"/>
  <c r="AH1580" i="7" s="1"/>
  <c r="T1580" i="7"/>
  <c r="U1580" i="7" s="1"/>
  <c r="S1580" i="7"/>
  <c r="T1579" i="7"/>
  <c r="U1579" i="7" s="1"/>
  <c r="S1579" i="7"/>
  <c r="AB1578" i="7"/>
  <c r="AC1578" i="7" s="1"/>
  <c r="AD1578" i="7" s="1"/>
  <c r="AE1578" i="7" s="1"/>
  <c r="AF1578" i="7" s="1"/>
  <c r="AG1578" i="7" s="1"/>
  <c r="AH1578" i="7" s="1"/>
  <c r="T1578" i="7"/>
  <c r="U1578" i="7" s="1"/>
  <c r="S1578" i="7"/>
  <c r="T1577" i="7"/>
  <c r="U1577" i="7" s="1"/>
  <c r="S1577" i="7"/>
  <c r="AB1576" i="7"/>
  <c r="AC1576" i="7" s="1"/>
  <c r="AD1576" i="7" s="1"/>
  <c r="AE1576" i="7" s="1"/>
  <c r="AF1576" i="7" s="1"/>
  <c r="AG1576" i="7" s="1"/>
  <c r="AH1576" i="7" s="1"/>
  <c r="T1576" i="7"/>
  <c r="U1576" i="7" s="1"/>
  <c r="S1576" i="7"/>
  <c r="AB1575" i="7"/>
  <c r="AC1575" i="7" s="1"/>
  <c r="AD1575" i="7" s="1"/>
  <c r="AE1575" i="7" s="1"/>
  <c r="AF1575" i="7" s="1"/>
  <c r="AG1575" i="7" s="1"/>
  <c r="AH1575" i="7" s="1"/>
  <c r="T1575" i="7"/>
  <c r="U1575" i="7" s="1"/>
  <c r="V1575" i="7" s="1"/>
  <c r="X1575" i="7" s="1"/>
  <c r="S1575" i="7"/>
  <c r="AB1574" i="7"/>
  <c r="AC1574" i="7" s="1"/>
  <c r="AD1574" i="7" s="1"/>
  <c r="AE1574" i="7" s="1"/>
  <c r="AF1574" i="7" s="1"/>
  <c r="AG1574" i="7" s="1"/>
  <c r="AH1574" i="7" s="1"/>
  <c r="T1574" i="7"/>
  <c r="U1574" i="7" s="1"/>
  <c r="S1574" i="7"/>
  <c r="AB1573" i="7"/>
  <c r="AC1573" i="7" s="1"/>
  <c r="AD1573" i="7" s="1"/>
  <c r="AE1573" i="7" s="1"/>
  <c r="AF1573" i="7" s="1"/>
  <c r="AG1573" i="7" s="1"/>
  <c r="AH1573" i="7" s="1"/>
  <c r="T1573" i="7"/>
  <c r="U1573" i="7" s="1"/>
  <c r="S1573" i="7"/>
  <c r="T1572" i="7"/>
  <c r="U1572" i="7" s="1"/>
  <c r="S1572" i="7"/>
  <c r="AB1571" i="7"/>
  <c r="AC1571" i="7" s="1"/>
  <c r="AD1571" i="7" s="1"/>
  <c r="AE1571" i="7" s="1"/>
  <c r="AF1571" i="7" s="1"/>
  <c r="AG1571" i="7" s="1"/>
  <c r="AH1571" i="7" s="1"/>
  <c r="T1571" i="7"/>
  <c r="U1571" i="7" s="1"/>
  <c r="V1571" i="7" s="1"/>
  <c r="X1571" i="7" s="1"/>
  <c r="S1571" i="7"/>
  <c r="T1570" i="7"/>
  <c r="U1570" i="7" s="1"/>
  <c r="V1570" i="7" s="1"/>
  <c r="X1570" i="7" s="1"/>
  <c r="S1570" i="7"/>
  <c r="AA1569" i="7"/>
  <c r="AB1569" i="7" s="1"/>
  <c r="AC1569" i="7" s="1"/>
  <c r="AD1569" i="7" s="1"/>
  <c r="AE1569" i="7" s="1"/>
  <c r="AF1569" i="7" s="1"/>
  <c r="AG1569" i="7" s="1"/>
  <c r="AH1569" i="7" s="1"/>
  <c r="T1569" i="7"/>
  <c r="U1569" i="7" s="1"/>
  <c r="S1569" i="7"/>
  <c r="T1568" i="7"/>
  <c r="U1568" i="7" s="1"/>
  <c r="S1568" i="7"/>
  <c r="T1567" i="7"/>
  <c r="U1567" i="7" s="1"/>
  <c r="S1567" i="7"/>
  <c r="T1566" i="7"/>
  <c r="U1566" i="7" s="1"/>
  <c r="S1566" i="7"/>
  <c r="T1565" i="7"/>
  <c r="U1565" i="7" s="1"/>
  <c r="S1565" i="7"/>
  <c r="T1564" i="7"/>
  <c r="U1564" i="7" s="1"/>
  <c r="S1564" i="7"/>
  <c r="T1563" i="7"/>
  <c r="U1563" i="7" s="1"/>
  <c r="S1563" i="7"/>
  <c r="T1562" i="7"/>
  <c r="U1562" i="7" s="1"/>
  <c r="S1562" i="7"/>
  <c r="T1561" i="7"/>
  <c r="U1561" i="7" s="1"/>
  <c r="S1561" i="7"/>
  <c r="T1560" i="7"/>
  <c r="U1560" i="7" s="1"/>
  <c r="S1560" i="7"/>
  <c r="T1559" i="7"/>
  <c r="U1559" i="7" s="1"/>
  <c r="S1559" i="7"/>
  <c r="T1558" i="7"/>
  <c r="U1558" i="7" s="1"/>
  <c r="S1558" i="7"/>
  <c r="T1557" i="7"/>
  <c r="U1557" i="7" s="1"/>
  <c r="V1557" i="7" s="1"/>
  <c r="X1557" i="7" s="1"/>
  <c r="Y1557" i="7" s="1"/>
  <c r="Z1557" i="7" s="1"/>
  <c r="AA1557" i="7" s="1"/>
  <c r="S1557" i="7"/>
  <c r="T1556" i="7"/>
  <c r="U1556" i="7" s="1"/>
  <c r="V1556" i="7" s="1"/>
  <c r="X1556" i="7" s="1"/>
  <c r="S1556" i="7"/>
  <c r="V1555" i="7"/>
  <c r="X1555" i="7" s="1"/>
  <c r="Y1555" i="7" s="1"/>
  <c r="Z1555" i="7" s="1"/>
  <c r="AA1555" i="7" s="1"/>
  <c r="U1555" i="7"/>
  <c r="T1555" i="7"/>
  <c r="S1555" i="7"/>
  <c r="T1554" i="7"/>
  <c r="U1554" i="7" s="1"/>
  <c r="V1554" i="7" s="1"/>
  <c r="X1554" i="7" s="1"/>
  <c r="Y1554" i="7" s="1"/>
  <c r="Z1554" i="7" s="1"/>
  <c r="AA1554" i="7" s="1"/>
  <c r="S1554" i="7"/>
  <c r="T1553" i="7"/>
  <c r="U1553" i="7" s="1"/>
  <c r="V1553" i="7" s="1"/>
  <c r="X1553" i="7" s="1"/>
  <c r="Y1553" i="7" s="1"/>
  <c r="Z1553" i="7" s="1"/>
  <c r="AA1553" i="7" s="1"/>
  <c r="S1553" i="7"/>
  <c r="U1552" i="7"/>
  <c r="V1552" i="7" s="1"/>
  <c r="X1552" i="7" s="1"/>
  <c r="T1552" i="7"/>
  <c r="S1552" i="7"/>
  <c r="U1551" i="7"/>
  <c r="V1551" i="7" s="1"/>
  <c r="X1551" i="7" s="1"/>
  <c r="T1551" i="7"/>
  <c r="S1551" i="7"/>
  <c r="U1550" i="7"/>
  <c r="V1550" i="7" s="1"/>
  <c r="X1550" i="7" s="1"/>
  <c r="T1550" i="7"/>
  <c r="S1550" i="7"/>
  <c r="U1549" i="7"/>
  <c r="V1549" i="7" s="1"/>
  <c r="X1549" i="7" s="1"/>
  <c r="T1549" i="7"/>
  <c r="S1549" i="7"/>
  <c r="AH1548" i="7"/>
  <c r="AE1548" i="7"/>
  <c r="T1548" i="7"/>
  <c r="U1548" i="7" s="1"/>
  <c r="V1548" i="7" s="1"/>
  <c r="X1548" i="7" s="1"/>
  <c r="Y1548" i="7" s="1"/>
  <c r="Z1548" i="7" s="1"/>
  <c r="AA1548" i="7" s="1"/>
  <c r="S1548" i="7"/>
  <c r="T1547" i="7"/>
  <c r="U1547" i="7" s="1"/>
  <c r="V1547" i="7" s="1"/>
  <c r="X1547" i="7" s="1"/>
  <c r="Y1547" i="7" s="1"/>
  <c r="Z1547" i="7" s="1"/>
  <c r="AA1547" i="7" s="1"/>
  <c r="S1547" i="7"/>
  <c r="T1546" i="7"/>
  <c r="U1546" i="7" s="1"/>
  <c r="V1546" i="7" s="1"/>
  <c r="X1546" i="7" s="1"/>
  <c r="Y1546" i="7" s="1"/>
  <c r="Z1546" i="7" s="1"/>
  <c r="AA1546" i="7" s="1"/>
  <c r="S1546" i="7"/>
  <c r="T1545" i="7"/>
  <c r="U1545" i="7" s="1"/>
  <c r="V1545" i="7" s="1"/>
  <c r="X1545" i="7" s="1"/>
  <c r="Y1545" i="7" s="1"/>
  <c r="Z1545" i="7" s="1"/>
  <c r="AA1545" i="7" s="1"/>
  <c r="S1545" i="7"/>
  <c r="AA1544" i="7"/>
  <c r="S1544" i="7"/>
  <c r="S1543" i="7"/>
  <c r="T1542" i="7"/>
  <c r="U1542" i="7" s="1"/>
  <c r="V1542" i="7" s="1"/>
  <c r="X1542" i="7" s="1"/>
  <c r="Y1542" i="7" s="1"/>
  <c r="Z1542" i="7" s="1"/>
  <c r="AA1542" i="7" s="1"/>
  <c r="S1542" i="7"/>
  <c r="T1541" i="7"/>
  <c r="U1541" i="7" s="1"/>
  <c r="V1541" i="7" s="1"/>
  <c r="X1541" i="7" s="1"/>
  <c r="Y1541" i="7" s="1"/>
  <c r="Z1541" i="7" s="1"/>
  <c r="AA1541" i="7" s="1"/>
  <c r="S1541" i="7"/>
  <c r="T1540" i="7"/>
  <c r="U1540" i="7" s="1"/>
  <c r="V1540" i="7" s="1"/>
  <c r="X1540" i="7" s="1"/>
  <c r="Z1540" i="7" s="1"/>
  <c r="AA1540" i="7" s="1"/>
  <c r="S1540" i="7"/>
  <c r="T1539" i="7"/>
  <c r="U1539" i="7" s="1"/>
  <c r="V1539" i="7" s="1"/>
  <c r="X1539" i="7" s="1"/>
  <c r="Y1539" i="7" s="1"/>
  <c r="Z1539" i="7" s="1"/>
  <c r="AA1539" i="7" s="1"/>
  <c r="S1539" i="7"/>
  <c r="T1538" i="7"/>
  <c r="U1538" i="7" s="1"/>
  <c r="V1538" i="7" s="1"/>
  <c r="X1538" i="7" s="1"/>
  <c r="S1538" i="7"/>
  <c r="T1537" i="7"/>
  <c r="U1537" i="7" s="1"/>
  <c r="V1537" i="7" s="1"/>
  <c r="X1537" i="7" s="1"/>
  <c r="S1537" i="7"/>
  <c r="T1536" i="7"/>
  <c r="U1536" i="7" s="1"/>
  <c r="V1536" i="7" s="1"/>
  <c r="X1536" i="7" s="1"/>
  <c r="Y1536" i="7" s="1"/>
  <c r="Z1536" i="7" s="1"/>
  <c r="AA1536" i="7" s="1"/>
  <c r="S1536" i="7"/>
  <c r="T1535" i="7"/>
  <c r="U1535" i="7" s="1"/>
  <c r="S1535" i="7"/>
  <c r="T1534" i="7"/>
  <c r="U1534" i="7" s="1"/>
  <c r="S1534" i="7"/>
  <c r="T1533" i="7"/>
  <c r="U1533" i="7" s="1"/>
  <c r="S1533" i="7"/>
  <c r="T1532" i="7"/>
  <c r="U1532" i="7" s="1"/>
  <c r="S1532" i="7"/>
  <c r="T1531" i="7"/>
  <c r="U1531" i="7" s="1"/>
  <c r="S1531" i="7"/>
  <c r="T1530" i="7"/>
  <c r="U1530" i="7" s="1"/>
  <c r="S1530" i="7"/>
  <c r="T1529" i="7"/>
  <c r="U1529" i="7" s="1"/>
  <c r="S1529" i="7"/>
  <c r="T1528" i="7"/>
  <c r="U1528" i="7" s="1"/>
  <c r="S1528" i="7"/>
  <c r="T1527" i="7"/>
  <c r="U1527" i="7" s="1"/>
  <c r="V1527" i="7" s="1"/>
  <c r="X1527" i="7" s="1"/>
  <c r="Y1527" i="7" s="1"/>
  <c r="Z1527" i="7" s="1"/>
  <c r="AA1527" i="7" s="1"/>
  <c r="S1527" i="7"/>
  <c r="T1526" i="7"/>
  <c r="U1526" i="7" s="1"/>
  <c r="V1526" i="7" s="1"/>
  <c r="X1526" i="7" s="1"/>
  <c r="Y1526" i="7" s="1"/>
  <c r="Z1526" i="7" s="1"/>
  <c r="AA1526" i="7" s="1"/>
  <c r="S1526" i="7"/>
  <c r="T1525" i="7"/>
  <c r="U1525" i="7" s="1"/>
  <c r="S1525" i="7"/>
  <c r="T1524" i="7"/>
  <c r="U1524" i="7" s="1"/>
  <c r="S1524" i="7"/>
  <c r="T1523" i="7"/>
  <c r="U1523" i="7" s="1"/>
  <c r="S1523" i="7"/>
  <c r="T1522" i="7"/>
  <c r="U1522" i="7" s="1"/>
  <c r="S1522" i="7"/>
  <c r="T1521" i="7"/>
  <c r="U1521" i="7" s="1"/>
  <c r="S1521" i="7"/>
  <c r="AB1520" i="7"/>
  <c r="AC1520" i="7" s="1"/>
  <c r="AD1520" i="7" s="1"/>
  <c r="AE1520" i="7" s="1"/>
  <c r="AF1520" i="7" s="1"/>
  <c r="AG1520" i="7" s="1"/>
  <c r="AH1520" i="7" s="1"/>
  <c r="T1520" i="7"/>
  <c r="U1520" i="7" s="1"/>
  <c r="S1520" i="7"/>
  <c r="T1519" i="7"/>
  <c r="U1519" i="7" s="1"/>
  <c r="S1519" i="7"/>
  <c r="T1518" i="7"/>
  <c r="U1518" i="7" s="1"/>
  <c r="S1518" i="7"/>
  <c r="T1517" i="7"/>
  <c r="U1517" i="7" s="1"/>
  <c r="S1517" i="7"/>
  <c r="T1516" i="7"/>
  <c r="U1516" i="7" s="1"/>
  <c r="S1516" i="7"/>
  <c r="T1515" i="7"/>
  <c r="U1515" i="7" s="1"/>
  <c r="S1515" i="7"/>
  <c r="T1514" i="7"/>
  <c r="U1514" i="7" s="1"/>
  <c r="S1514" i="7"/>
  <c r="T1513" i="7"/>
  <c r="U1513" i="7" s="1"/>
  <c r="S1513" i="7"/>
  <c r="T1512" i="7"/>
  <c r="U1512" i="7" s="1"/>
  <c r="V1512" i="7" s="1"/>
  <c r="X1512" i="7" s="1"/>
  <c r="Y1512" i="7" s="1"/>
  <c r="Z1512" i="7" s="1"/>
  <c r="AA1512" i="7" s="1"/>
  <c r="S1512" i="7"/>
  <c r="T1511" i="7"/>
  <c r="U1511" i="7" s="1"/>
  <c r="V1511" i="7" s="1"/>
  <c r="X1511" i="7" s="1"/>
  <c r="S1511" i="7"/>
  <c r="T1510" i="7"/>
  <c r="U1510" i="7" s="1"/>
  <c r="V1510" i="7" s="1"/>
  <c r="X1510" i="7" s="1"/>
  <c r="Y1510" i="7" s="1"/>
  <c r="Z1510" i="7" s="1"/>
  <c r="AA1510" i="7" s="1"/>
  <c r="S1510" i="7"/>
  <c r="AA1509" i="7"/>
  <c r="AB1509" i="7" s="1"/>
  <c r="AC1509" i="7" s="1"/>
  <c r="AD1509" i="7" s="1"/>
  <c r="AE1509" i="7" s="1"/>
  <c r="AF1509" i="7" s="1"/>
  <c r="AG1509" i="7" s="1"/>
  <c r="AH1509" i="7" s="1"/>
  <c r="T1509" i="7"/>
  <c r="U1509" i="7" s="1"/>
  <c r="V1509" i="7" s="1"/>
  <c r="X1509" i="7" s="1"/>
  <c r="S1509" i="7"/>
  <c r="T1508" i="7"/>
  <c r="U1508" i="7" s="1"/>
  <c r="V1508" i="7" s="1"/>
  <c r="X1508" i="7" s="1"/>
  <c r="Z1508" i="7" s="1"/>
  <c r="AA1508" i="7" s="1"/>
  <c r="S1508" i="7"/>
  <c r="T1507" i="7"/>
  <c r="U1507" i="7" s="1"/>
  <c r="V1507" i="7" s="1"/>
  <c r="X1507" i="7" s="1"/>
  <c r="Y1507" i="7" s="1"/>
  <c r="Z1507" i="7" s="1"/>
  <c r="AA1507" i="7" s="1"/>
  <c r="S1507" i="7"/>
  <c r="AA1506" i="7"/>
  <c r="AB1506" i="7" s="1"/>
  <c r="AC1506" i="7" s="1"/>
  <c r="AD1506" i="7" s="1"/>
  <c r="AE1506" i="7" s="1"/>
  <c r="AF1506" i="7" s="1"/>
  <c r="AG1506" i="7" s="1"/>
  <c r="AH1506" i="7" s="1"/>
  <c r="T1506" i="7"/>
  <c r="U1506" i="7" s="1"/>
  <c r="V1506" i="7" s="1"/>
  <c r="X1506" i="7" s="1"/>
  <c r="S1506" i="7"/>
  <c r="T1505" i="7"/>
  <c r="U1505" i="7" s="1"/>
  <c r="V1505" i="7" s="1"/>
  <c r="X1505" i="7" s="1"/>
  <c r="Z1505" i="7" s="1"/>
  <c r="AA1505" i="7" s="1"/>
  <c r="S1505" i="7"/>
  <c r="T1504" i="7"/>
  <c r="U1504" i="7" s="1"/>
  <c r="V1504" i="7" s="1"/>
  <c r="X1504" i="7" s="1"/>
  <c r="Z1504" i="7" s="1"/>
  <c r="AA1504" i="7" s="1"/>
  <c r="S1504" i="7"/>
  <c r="AA1503" i="7"/>
  <c r="AB1503" i="7" s="1"/>
  <c r="AC1503" i="7" s="1"/>
  <c r="AD1503" i="7" s="1"/>
  <c r="AE1503" i="7" s="1"/>
  <c r="AF1503" i="7" s="1"/>
  <c r="AG1503" i="7" s="1"/>
  <c r="AH1503" i="7" s="1"/>
  <c r="T1503" i="7"/>
  <c r="U1503" i="7" s="1"/>
  <c r="V1503" i="7" s="1"/>
  <c r="X1503" i="7" s="1"/>
  <c r="S1503" i="7"/>
  <c r="AA1502" i="7"/>
  <c r="AB1502" i="7" s="1"/>
  <c r="AC1502" i="7" s="1"/>
  <c r="AD1502" i="7" s="1"/>
  <c r="AE1502" i="7" s="1"/>
  <c r="AF1502" i="7" s="1"/>
  <c r="AG1502" i="7" s="1"/>
  <c r="AH1502" i="7" s="1"/>
  <c r="T1502" i="7"/>
  <c r="U1502" i="7" s="1"/>
  <c r="V1502" i="7" s="1"/>
  <c r="X1502" i="7" s="1"/>
  <c r="S1502" i="7"/>
  <c r="AA1501" i="7"/>
  <c r="AB1501" i="7" s="1"/>
  <c r="AC1501" i="7" s="1"/>
  <c r="AD1501" i="7" s="1"/>
  <c r="AE1501" i="7" s="1"/>
  <c r="AF1501" i="7" s="1"/>
  <c r="AG1501" i="7" s="1"/>
  <c r="AH1501" i="7" s="1"/>
  <c r="T1501" i="7"/>
  <c r="U1501" i="7" s="1"/>
  <c r="V1501" i="7" s="1"/>
  <c r="X1501" i="7" s="1"/>
  <c r="S1501" i="7"/>
  <c r="AA1500" i="7"/>
  <c r="AB1500" i="7" s="1"/>
  <c r="AC1500" i="7" s="1"/>
  <c r="AD1500" i="7" s="1"/>
  <c r="AE1500" i="7" s="1"/>
  <c r="AF1500" i="7" s="1"/>
  <c r="AG1500" i="7" s="1"/>
  <c r="AH1500" i="7" s="1"/>
  <c r="T1500" i="7"/>
  <c r="U1500" i="7" s="1"/>
  <c r="V1500" i="7" s="1"/>
  <c r="X1500" i="7" s="1"/>
  <c r="S1500" i="7"/>
  <c r="AA1499" i="7"/>
  <c r="AB1499" i="7" s="1"/>
  <c r="AC1499" i="7" s="1"/>
  <c r="AD1499" i="7" s="1"/>
  <c r="AE1499" i="7" s="1"/>
  <c r="AF1499" i="7" s="1"/>
  <c r="AG1499" i="7" s="1"/>
  <c r="AH1499" i="7" s="1"/>
  <c r="T1499" i="7"/>
  <c r="U1499" i="7" s="1"/>
  <c r="V1499" i="7" s="1"/>
  <c r="X1499" i="7" s="1"/>
  <c r="S1499" i="7"/>
  <c r="AA1498" i="7"/>
  <c r="AB1498" i="7" s="1"/>
  <c r="AC1498" i="7" s="1"/>
  <c r="AD1498" i="7" s="1"/>
  <c r="AE1498" i="7" s="1"/>
  <c r="AF1498" i="7" s="1"/>
  <c r="AG1498" i="7" s="1"/>
  <c r="AH1498" i="7" s="1"/>
  <c r="T1498" i="7"/>
  <c r="U1498" i="7" s="1"/>
  <c r="V1498" i="7" s="1"/>
  <c r="X1498" i="7" s="1"/>
  <c r="S1498" i="7"/>
  <c r="T1497" i="7"/>
  <c r="U1497" i="7" s="1"/>
  <c r="V1497" i="7" s="1"/>
  <c r="X1497" i="7" s="1"/>
  <c r="Z1497" i="7" s="1"/>
  <c r="AA1497" i="7" s="1"/>
  <c r="S1497" i="7"/>
  <c r="T1496" i="7"/>
  <c r="U1496" i="7" s="1"/>
  <c r="V1496" i="7" s="1"/>
  <c r="X1496" i="7" s="1"/>
  <c r="Y1496" i="7" s="1"/>
  <c r="Z1496" i="7" s="1"/>
  <c r="AA1496" i="7" s="1"/>
  <c r="S1496" i="7"/>
  <c r="AA1495" i="7"/>
  <c r="AB1495" i="7" s="1"/>
  <c r="AC1495" i="7" s="1"/>
  <c r="AD1495" i="7" s="1"/>
  <c r="AE1495" i="7" s="1"/>
  <c r="AF1495" i="7" s="1"/>
  <c r="AG1495" i="7" s="1"/>
  <c r="AH1495" i="7" s="1"/>
  <c r="T1495" i="7"/>
  <c r="U1495" i="7" s="1"/>
  <c r="V1495" i="7" s="1"/>
  <c r="X1495" i="7" s="1"/>
  <c r="S1495" i="7"/>
  <c r="AA1494" i="7"/>
  <c r="AB1494" i="7" s="1"/>
  <c r="AC1494" i="7" s="1"/>
  <c r="AD1494" i="7" s="1"/>
  <c r="AE1494" i="7" s="1"/>
  <c r="AF1494" i="7" s="1"/>
  <c r="AG1494" i="7" s="1"/>
  <c r="AH1494" i="7" s="1"/>
  <c r="T1494" i="7"/>
  <c r="U1494" i="7" s="1"/>
  <c r="V1494" i="7" s="1"/>
  <c r="X1494" i="7" s="1"/>
  <c r="S1494" i="7"/>
  <c r="T1493" i="7"/>
  <c r="U1493" i="7" s="1"/>
  <c r="V1493" i="7" s="1"/>
  <c r="X1493" i="7" s="1"/>
  <c r="Z1493" i="7" s="1"/>
  <c r="AA1493" i="7" s="1"/>
  <c r="S1493" i="7"/>
  <c r="T1492" i="7"/>
  <c r="U1492" i="7" s="1"/>
  <c r="V1492" i="7" s="1"/>
  <c r="X1492" i="7" s="1"/>
  <c r="Z1492" i="7" s="1"/>
  <c r="AA1492" i="7" s="1"/>
  <c r="S1492" i="7"/>
  <c r="T1491" i="7"/>
  <c r="U1491" i="7" s="1"/>
  <c r="V1491" i="7" s="1"/>
  <c r="X1491" i="7" s="1"/>
  <c r="S1491" i="7"/>
  <c r="AA1490" i="7"/>
  <c r="AB1490" i="7" s="1"/>
  <c r="AC1490" i="7" s="1"/>
  <c r="AD1490" i="7" s="1"/>
  <c r="AE1490" i="7" s="1"/>
  <c r="AF1490" i="7" s="1"/>
  <c r="AG1490" i="7" s="1"/>
  <c r="AH1490" i="7" s="1"/>
  <c r="T1490" i="7"/>
  <c r="U1490" i="7" s="1"/>
  <c r="V1490" i="7" s="1"/>
  <c r="X1490" i="7" s="1"/>
  <c r="S1490" i="7"/>
  <c r="T1489" i="7"/>
  <c r="U1489" i="7" s="1"/>
  <c r="V1489" i="7" s="1"/>
  <c r="X1489" i="7" s="1"/>
  <c r="S1489" i="7"/>
  <c r="AA1488" i="7"/>
  <c r="AB1488" i="7" s="1"/>
  <c r="AC1488" i="7" s="1"/>
  <c r="AD1488" i="7" s="1"/>
  <c r="AE1488" i="7" s="1"/>
  <c r="AF1488" i="7" s="1"/>
  <c r="AG1488" i="7" s="1"/>
  <c r="AH1488" i="7" s="1"/>
  <c r="T1488" i="7"/>
  <c r="U1488" i="7" s="1"/>
  <c r="V1488" i="7" s="1"/>
  <c r="X1488" i="7" s="1"/>
  <c r="S1488" i="7"/>
  <c r="AA1487" i="7"/>
  <c r="AB1487" i="7" s="1"/>
  <c r="AC1487" i="7" s="1"/>
  <c r="AD1487" i="7" s="1"/>
  <c r="AE1487" i="7" s="1"/>
  <c r="AF1487" i="7" s="1"/>
  <c r="AG1487" i="7" s="1"/>
  <c r="AH1487" i="7" s="1"/>
  <c r="T1487" i="7"/>
  <c r="U1487" i="7" s="1"/>
  <c r="V1487" i="7" s="1"/>
  <c r="X1487" i="7" s="1"/>
  <c r="S1487" i="7"/>
  <c r="AA1486" i="7"/>
  <c r="AB1486" i="7" s="1"/>
  <c r="AC1486" i="7" s="1"/>
  <c r="AD1486" i="7" s="1"/>
  <c r="AE1486" i="7" s="1"/>
  <c r="AF1486" i="7" s="1"/>
  <c r="AG1486" i="7" s="1"/>
  <c r="AH1486" i="7" s="1"/>
  <c r="T1486" i="7"/>
  <c r="U1486" i="7" s="1"/>
  <c r="V1486" i="7" s="1"/>
  <c r="X1486" i="7" s="1"/>
  <c r="S1486" i="7"/>
  <c r="AA1485" i="7"/>
  <c r="AB1485" i="7" s="1"/>
  <c r="AC1485" i="7" s="1"/>
  <c r="AD1485" i="7" s="1"/>
  <c r="AE1485" i="7" s="1"/>
  <c r="AF1485" i="7" s="1"/>
  <c r="AG1485" i="7" s="1"/>
  <c r="AH1485" i="7" s="1"/>
  <c r="T1485" i="7"/>
  <c r="U1485" i="7" s="1"/>
  <c r="V1485" i="7" s="1"/>
  <c r="X1485" i="7" s="1"/>
  <c r="S1485" i="7"/>
  <c r="T1484" i="7"/>
  <c r="U1484" i="7" s="1"/>
  <c r="V1484" i="7" s="1"/>
  <c r="X1484" i="7" s="1"/>
  <c r="Y1484" i="7" s="1"/>
  <c r="Z1484" i="7" s="1"/>
  <c r="AA1484" i="7" s="1"/>
  <c r="S1484" i="7"/>
  <c r="AA1483" i="7"/>
  <c r="AB1483" i="7" s="1"/>
  <c r="AC1483" i="7" s="1"/>
  <c r="AD1483" i="7" s="1"/>
  <c r="AE1483" i="7" s="1"/>
  <c r="AF1483" i="7" s="1"/>
  <c r="AG1483" i="7" s="1"/>
  <c r="AH1483" i="7" s="1"/>
  <c r="T1483" i="7"/>
  <c r="U1483" i="7" s="1"/>
  <c r="V1483" i="7" s="1"/>
  <c r="X1483" i="7" s="1"/>
  <c r="S1483" i="7"/>
  <c r="T1482" i="7"/>
  <c r="U1482" i="7" s="1"/>
  <c r="V1482" i="7" s="1"/>
  <c r="X1482" i="7" s="1"/>
  <c r="Y1482" i="7" s="1"/>
  <c r="Z1482" i="7" s="1"/>
  <c r="AA1482" i="7" s="1"/>
  <c r="S1482" i="7"/>
  <c r="T1481" i="7"/>
  <c r="U1481" i="7" s="1"/>
  <c r="V1481" i="7" s="1"/>
  <c r="X1481" i="7" s="1"/>
  <c r="Z1481" i="7" s="1"/>
  <c r="AA1481" i="7" s="1"/>
  <c r="S1481" i="7"/>
  <c r="AA1480" i="7"/>
  <c r="AB1480" i="7" s="1"/>
  <c r="AC1480" i="7" s="1"/>
  <c r="AD1480" i="7" s="1"/>
  <c r="AE1480" i="7" s="1"/>
  <c r="AF1480" i="7" s="1"/>
  <c r="AG1480" i="7" s="1"/>
  <c r="AH1480" i="7" s="1"/>
  <c r="T1480" i="7"/>
  <c r="U1480" i="7" s="1"/>
  <c r="V1480" i="7" s="1"/>
  <c r="X1480" i="7" s="1"/>
  <c r="S1480" i="7"/>
  <c r="T1479" i="7"/>
  <c r="U1479" i="7" s="1"/>
  <c r="V1479" i="7" s="1"/>
  <c r="X1479" i="7" s="1"/>
  <c r="S1479" i="7"/>
  <c r="T1478" i="7"/>
  <c r="U1478" i="7" s="1"/>
  <c r="V1478" i="7" s="1"/>
  <c r="X1478" i="7" s="1"/>
  <c r="Y1478" i="7" s="1"/>
  <c r="Z1478" i="7" s="1"/>
  <c r="AA1478" i="7" s="1"/>
  <c r="S1478" i="7"/>
  <c r="AA1477" i="7"/>
  <c r="AB1477" i="7" s="1"/>
  <c r="AC1477" i="7" s="1"/>
  <c r="AD1477" i="7" s="1"/>
  <c r="AE1477" i="7" s="1"/>
  <c r="AF1477" i="7" s="1"/>
  <c r="AG1477" i="7" s="1"/>
  <c r="AH1477" i="7" s="1"/>
  <c r="T1477" i="7"/>
  <c r="U1477" i="7" s="1"/>
  <c r="V1477" i="7" s="1"/>
  <c r="X1477" i="7" s="1"/>
  <c r="S1477" i="7"/>
  <c r="T1476" i="7"/>
  <c r="U1476" i="7" s="1"/>
  <c r="V1476" i="7" s="1"/>
  <c r="X1476" i="7" s="1"/>
  <c r="Y1476" i="7" s="1"/>
  <c r="Z1476" i="7" s="1"/>
  <c r="AA1476" i="7" s="1"/>
  <c r="S1476" i="7"/>
  <c r="T1475" i="7"/>
  <c r="U1475" i="7" s="1"/>
  <c r="V1475" i="7" s="1"/>
  <c r="X1475" i="7" s="1"/>
  <c r="Y1475" i="7" s="1"/>
  <c r="Z1475" i="7" s="1"/>
  <c r="AA1475" i="7" s="1"/>
  <c r="S1475" i="7"/>
  <c r="AA1474" i="7"/>
  <c r="AB1474" i="7" s="1"/>
  <c r="AC1474" i="7" s="1"/>
  <c r="AD1474" i="7" s="1"/>
  <c r="AE1474" i="7" s="1"/>
  <c r="AF1474" i="7" s="1"/>
  <c r="AG1474" i="7" s="1"/>
  <c r="AH1474" i="7" s="1"/>
  <c r="T1474" i="7"/>
  <c r="U1474" i="7" s="1"/>
  <c r="V1474" i="7" s="1"/>
  <c r="X1474" i="7" s="1"/>
  <c r="S1474" i="7"/>
  <c r="T1473" i="7"/>
  <c r="U1473" i="7" s="1"/>
  <c r="V1473" i="7" s="1"/>
  <c r="X1473" i="7" s="1"/>
  <c r="Y1473" i="7" s="1"/>
  <c r="Z1473" i="7" s="1"/>
  <c r="AA1473" i="7" s="1"/>
  <c r="S1473" i="7"/>
  <c r="T1472" i="7"/>
  <c r="U1472" i="7" s="1"/>
  <c r="V1472" i="7" s="1"/>
  <c r="X1472" i="7" s="1"/>
  <c r="Z1472" i="7" s="1"/>
  <c r="AA1472" i="7" s="1"/>
  <c r="S1472" i="7"/>
  <c r="T1471" i="7"/>
  <c r="U1471" i="7" s="1"/>
  <c r="V1471" i="7" s="1"/>
  <c r="X1471" i="7" s="1"/>
  <c r="S1471" i="7"/>
  <c r="T1470" i="7"/>
  <c r="U1470" i="7" s="1"/>
  <c r="V1470" i="7" s="1"/>
  <c r="X1470" i="7" s="1"/>
  <c r="S1470" i="7"/>
  <c r="T1469" i="7"/>
  <c r="U1469" i="7" s="1"/>
  <c r="V1469" i="7" s="1"/>
  <c r="X1469" i="7" s="1"/>
  <c r="Y1469" i="7" s="1"/>
  <c r="Z1469" i="7" s="1"/>
  <c r="AA1469" i="7" s="1"/>
  <c r="S1469" i="7"/>
  <c r="T1468" i="7"/>
  <c r="U1468" i="7" s="1"/>
  <c r="V1468" i="7" s="1"/>
  <c r="X1468" i="7" s="1"/>
  <c r="Y1468" i="7" s="1"/>
  <c r="Z1468" i="7" s="1"/>
  <c r="AA1468" i="7" s="1"/>
  <c r="S1468" i="7"/>
  <c r="T1467" i="7"/>
  <c r="U1467" i="7" s="1"/>
  <c r="V1467" i="7" s="1"/>
  <c r="X1467" i="7" s="1"/>
  <c r="Z1467" i="7" s="1"/>
  <c r="AA1467" i="7" s="1"/>
  <c r="S1467" i="7"/>
  <c r="T1466" i="7"/>
  <c r="U1466" i="7" s="1"/>
  <c r="V1466" i="7" s="1"/>
  <c r="X1466" i="7" s="1"/>
  <c r="S1466" i="7"/>
  <c r="T1465" i="7"/>
  <c r="U1465" i="7" s="1"/>
  <c r="V1465" i="7" s="1"/>
  <c r="X1465" i="7" s="1"/>
  <c r="S1465" i="7"/>
  <c r="T1464" i="7"/>
  <c r="U1464" i="7" s="1"/>
  <c r="V1464" i="7" s="1"/>
  <c r="X1464" i="7" s="1"/>
  <c r="Z1464" i="7" s="1"/>
  <c r="AA1464" i="7" s="1"/>
  <c r="S1464" i="7"/>
  <c r="T1463" i="7"/>
  <c r="U1463" i="7" s="1"/>
  <c r="V1463" i="7" s="1"/>
  <c r="X1463" i="7" s="1"/>
  <c r="Y1463" i="7" s="1"/>
  <c r="Z1463" i="7" s="1"/>
  <c r="AA1463" i="7" s="1"/>
  <c r="S1463" i="7"/>
  <c r="T1462" i="7"/>
  <c r="U1462" i="7" s="1"/>
  <c r="V1462" i="7" s="1"/>
  <c r="X1462" i="7" s="1"/>
  <c r="S1462" i="7"/>
  <c r="AA1461" i="7"/>
  <c r="AB1461" i="7" s="1"/>
  <c r="AC1461" i="7" s="1"/>
  <c r="AD1461" i="7" s="1"/>
  <c r="AE1461" i="7" s="1"/>
  <c r="AF1461" i="7" s="1"/>
  <c r="AG1461" i="7" s="1"/>
  <c r="AH1461" i="7" s="1"/>
  <c r="T1461" i="7"/>
  <c r="U1461" i="7" s="1"/>
  <c r="V1461" i="7" s="1"/>
  <c r="X1461" i="7" s="1"/>
  <c r="S1461" i="7"/>
  <c r="AC1460" i="7"/>
  <c r="AD1460" i="7" s="1"/>
  <c r="T1460" i="7"/>
  <c r="U1460" i="7" s="1"/>
  <c r="V1460" i="7" s="1"/>
  <c r="X1460" i="7" s="1"/>
  <c r="Z1460" i="7" s="1"/>
  <c r="AA1460" i="7" s="1"/>
  <c r="S1460" i="7"/>
  <c r="AA1459" i="7"/>
  <c r="AB1459" i="7" s="1"/>
  <c r="AC1459" i="7" s="1"/>
  <c r="AD1459" i="7" s="1"/>
  <c r="AE1459" i="7" s="1"/>
  <c r="AF1459" i="7" s="1"/>
  <c r="AG1459" i="7" s="1"/>
  <c r="AH1459" i="7" s="1"/>
  <c r="T1459" i="7"/>
  <c r="U1459" i="7" s="1"/>
  <c r="V1459" i="7" s="1"/>
  <c r="X1459" i="7" s="1"/>
  <c r="S1459" i="7"/>
  <c r="AA1458" i="7"/>
  <c r="AB1458" i="7" s="1"/>
  <c r="AC1458" i="7" s="1"/>
  <c r="AD1458" i="7" s="1"/>
  <c r="AE1458" i="7" s="1"/>
  <c r="AF1458" i="7" s="1"/>
  <c r="AG1458" i="7" s="1"/>
  <c r="AH1458" i="7" s="1"/>
  <c r="T1458" i="7"/>
  <c r="U1458" i="7" s="1"/>
  <c r="V1458" i="7" s="1"/>
  <c r="X1458" i="7" s="1"/>
  <c r="S1458" i="7"/>
  <c r="AA1457" i="7"/>
  <c r="AB1457" i="7" s="1"/>
  <c r="AC1457" i="7" s="1"/>
  <c r="AD1457" i="7" s="1"/>
  <c r="AE1457" i="7" s="1"/>
  <c r="AF1457" i="7" s="1"/>
  <c r="AG1457" i="7" s="1"/>
  <c r="AH1457" i="7" s="1"/>
  <c r="T1457" i="7"/>
  <c r="U1457" i="7" s="1"/>
  <c r="V1457" i="7" s="1"/>
  <c r="X1457" i="7" s="1"/>
  <c r="S1457" i="7"/>
  <c r="T1456" i="7"/>
  <c r="U1456" i="7" s="1"/>
  <c r="V1456" i="7" s="1"/>
  <c r="X1456" i="7" s="1"/>
  <c r="S1456" i="7"/>
  <c r="T1455" i="7"/>
  <c r="U1455" i="7" s="1"/>
  <c r="V1455" i="7" s="1"/>
  <c r="X1455" i="7" s="1"/>
  <c r="Z1455" i="7" s="1"/>
  <c r="AA1455" i="7" s="1"/>
  <c r="S1455" i="7"/>
  <c r="T1454" i="7"/>
  <c r="U1454" i="7" s="1"/>
  <c r="V1454" i="7" s="1"/>
  <c r="X1454" i="7" s="1"/>
  <c r="Y1454" i="7" s="1"/>
  <c r="Z1454" i="7" s="1"/>
  <c r="AA1454" i="7" s="1"/>
  <c r="S1454" i="7"/>
  <c r="T1453" i="7"/>
  <c r="U1453" i="7" s="1"/>
  <c r="V1453" i="7" s="1"/>
  <c r="X1453" i="7" s="1"/>
  <c r="Z1453" i="7" s="1"/>
  <c r="AA1453" i="7" s="1"/>
  <c r="S1453" i="7"/>
  <c r="T1452" i="7"/>
  <c r="U1452" i="7" s="1"/>
  <c r="V1452" i="7" s="1"/>
  <c r="X1452" i="7" s="1"/>
  <c r="S1452" i="7"/>
  <c r="T1451" i="7"/>
  <c r="U1451" i="7" s="1"/>
  <c r="V1451" i="7" s="1"/>
  <c r="X1451" i="7" s="1"/>
  <c r="S1451" i="7"/>
  <c r="T1450" i="7"/>
  <c r="U1450" i="7" s="1"/>
  <c r="V1450" i="7" s="1"/>
  <c r="X1450" i="7" s="1"/>
  <c r="S1450" i="7"/>
  <c r="T1449" i="7"/>
  <c r="U1449" i="7" s="1"/>
  <c r="V1449" i="7" s="1"/>
  <c r="X1449" i="7" s="1"/>
  <c r="S1449" i="7"/>
  <c r="T1448" i="7"/>
  <c r="U1448" i="7" s="1"/>
  <c r="V1448" i="7" s="1"/>
  <c r="X1448" i="7" s="1"/>
  <c r="S1448" i="7"/>
  <c r="T1447" i="7"/>
  <c r="U1447" i="7" s="1"/>
  <c r="V1447" i="7" s="1"/>
  <c r="X1447" i="7" s="1"/>
  <c r="Z1447" i="7" s="1"/>
  <c r="AA1447" i="7" s="1"/>
  <c r="S1447" i="7"/>
  <c r="T1446" i="7"/>
  <c r="U1446" i="7" s="1"/>
  <c r="V1446" i="7" s="1"/>
  <c r="X1446" i="7" s="1"/>
  <c r="S1446" i="7"/>
  <c r="AA1445" i="7"/>
  <c r="AB1445" i="7" s="1"/>
  <c r="AC1445" i="7" s="1"/>
  <c r="AD1445" i="7" s="1"/>
  <c r="AE1445" i="7" s="1"/>
  <c r="AF1445" i="7" s="1"/>
  <c r="AG1445" i="7" s="1"/>
  <c r="AH1445" i="7" s="1"/>
  <c r="T1445" i="7"/>
  <c r="U1445" i="7" s="1"/>
  <c r="V1445" i="7" s="1"/>
  <c r="X1445" i="7" s="1"/>
  <c r="S1445" i="7"/>
  <c r="AA1444" i="7"/>
  <c r="AB1444" i="7" s="1"/>
  <c r="AC1444" i="7" s="1"/>
  <c r="AD1444" i="7" s="1"/>
  <c r="AE1444" i="7" s="1"/>
  <c r="AF1444" i="7" s="1"/>
  <c r="AG1444" i="7" s="1"/>
  <c r="AH1444" i="7" s="1"/>
  <c r="T1444" i="7"/>
  <c r="U1444" i="7" s="1"/>
  <c r="V1444" i="7" s="1"/>
  <c r="X1444" i="7" s="1"/>
  <c r="S1444" i="7"/>
  <c r="T1443" i="7"/>
  <c r="U1443" i="7" s="1"/>
  <c r="V1443" i="7" s="1"/>
  <c r="X1443" i="7" s="1"/>
  <c r="S1443" i="7"/>
  <c r="T1442" i="7"/>
  <c r="U1442" i="7" s="1"/>
  <c r="V1442" i="7" s="1"/>
  <c r="X1442" i="7" s="1"/>
  <c r="S1442" i="7"/>
  <c r="T1441" i="7"/>
  <c r="U1441" i="7" s="1"/>
  <c r="V1441" i="7" s="1"/>
  <c r="X1441" i="7" s="1"/>
  <c r="S1441" i="7"/>
  <c r="T1440" i="7"/>
  <c r="U1440" i="7" s="1"/>
  <c r="V1440" i="7" s="1"/>
  <c r="X1440" i="7" s="1"/>
  <c r="S1440" i="7"/>
  <c r="AC1439" i="7"/>
  <c r="AD1439" i="7" s="1"/>
  <c r="T1439" i="7"/>
  <c r="U1439" i="7" s="1"/>
  <c r="V1439" i="7" s="1"/>
  <c r="X1439" i="7" s="1"/>
  <c r="Z1439" i="7" s="1"/>
  <c r="AA1439" i="7" s="1"/>
  <c r="S1439" i="7"/>
  <c r="AC1438" i="7"/>
  <c r="AD1438" i="7" s="1"/>
  <c r="T1438" i="7"/>
  <c r="U1438" i="7" s="1"/>
  <c r="V1438" i="7" s="1"/>
  <c r="X1438" i="7" s="1"/>
  <c r="Z1438" i="7" s="1"/>
  <c r="AA1438" i="7" s="1"/>
  <c r="S1438" i="7"/>
  <c r="AA1437" i="7"/>
  <c r="AB1437" i="7" s="1"/>
  <c r="AC1437" i="7" s="1"/>
  <c r="AD1437" i="7" s="1"/>
  <c r="AE1437" i="7" s="1"/>
  <c r="AF1437" i="7" s="1"/>
  <c r="AG1437" i="7" s="1"/>
  <c r="AH1437" i="7" s="1"/>
  <c r="T1437" i="7"/>
  <c r="U1437" i="7" s="1"/>
  <c r="V1437" i="7" s="1"/>
  <c r="X1437" i="7" s="1"/>
  <c r="S1437" i="7"/>
  <c r="T1436" i="7"/>
  <c r="U1436" i="7" s="1"/>
  <c r="V1436" i="7" s="1"/>
  <c r="X1436" i="7" s="1"/>
  <c r="Y1436" i="7" s="1"/>
  <c r="Z1436" i="7" s="1"/>
  <c r="AA1436" i="7" s="1"/>
  <c r="S1436" i="7"/>
  <c r="T1435" i="7"/>
  <c r="U1435" i="7" s="1"/>
  <c r="V1435" i="7" s="1"/>
  <c r="X1435" i="7" s="1"/>
  <c r="Y1435" i="7" s="1"/>
  <c r="Z1435" i="7" s="1"/>
  <c r="AA1435" i="7" s="1"/>
  <c r="S1435" i="7"/>
  <c r="T1434" i="7"/>
  <c r="U1434" i="7" s="1"/>
  <c r="V1434" i="7" s="1"/>
  <c r="X1434" i="7" s="1"/>
  <c r="Z1434" i="7" s="1"/>
  <c r="AA1434" i="7" s="1"/>
  <c r="S1434" i="7"/>
  <c r="T1433" i="7"/>
  <c r="U1433" i="7" s="1"/>
  <c r="V1433" i="7" s="1"/>
  <c r="X1433" i="7" s="1"/>
  <c r="S1433" i="7"/>
  <c r="T1432" i="7"/>
  <c r="U1432" i="7" s="1"/>
  <c r="V1432" i="7" s="1"/>
  <c r="X1432" i="7" s="1"/>
  <c r="S1432" i="7"/>
  <c r="S1431" i="7"/>
  <c r="S1430" i="7"/>
  <c r="S1429" i="7"/>
  <c r="S1428" i="7"/>
  <c r="Z1427" i="7"/>
  <c r="AA1427" i="7" s="1"/>
  <c r="AB1427" i="7" s="1"/>
  <c r="AC1427" i="7" s="1"/>
  <c r="AD1427" i="7" s="1"/>
  <c r="AE1427" i="7" s="1"/>
  <c r="AF1427" i="7" s="1"/>
  <c r="AG1427" i="7" s="1"/>
  <c r="AH1427" i="7" s="1"/>
  <c r="S1427" i="7"/>
  <c r="AA1426" i="7"/>
  <c r="AB1426" i="7" s="1"/>
  <c r="AC1426" i="7" s="1"/>
  <c r="AD1426" i="7" s="1"/>
  <c r="AE1426" i="7" s="1"/>
  <c r="AF1426" i="7" s="1"/>
  <c r="AG1426" i="7" s="1"/>
  <c r="AH1426" i="7" s="1"/>
  <c r="S1426" i="7"/>
  <c r="AA1425" i="7"/>
  <c r="AB1425" i="7" s="1"/>
  <c r="AC1425" i="7" s="1"/>
  <c r="AD1425" i="7" s="1"/>
  <c r="AE1425" i="7" s="1"/>
  <c r="AF1425" i="7" s="1"/>
  <c r="AG1425" i="7" s="1"/>
  <c r="AH1425" i="7" s="1"/>
  <c r="S1425" i="7"/>
  <c r="S1424" i="7"/>
  <c r="S1423" i="7"/>
  <c r="S1422" i="7"/>
  <c r="AA1421" i="7"/>
  <c r="AB1421" i="7" s="1"/>
  <c r="AC1421" i="7" s="1"/>
  <c r="AD1421" i="7" s="1"/>
  <c r="AE1421" i="7" s="1"/>
  <c r="AF1421" i="7" s="1"/>
  <c r="AG1421" i="7" s="1"/>
  <c r="AH1421" i="7" s="1"/>
  <c r="S1421" i="7"/>
  <c r="AA1420" i="7"/>
  <c r="AB1420" i="7" s="1"/>
  <c r="AC1420" i="7" s="1"/>
  <c r="AD1420" i="7" s="1"/>
  <c r="AE1420" i="7" s="1"/>
  <c r="AF1420" i="7" s="1"/>
  <c r="AG1420" i="7" s="1"/>
  <c r="AH1420" i="7" s="1"/>
  <c r="S1420" i="7"/>
  <c r="S1419" i="7"/>
  <c r="S1418" i="7"/>
  <c r="S1417" i="7"/>
  <c r="S1416" i="7"/>
  <c r="AA1415" i="7"/>
  <c r="AB1415" i="7" s="1"/>
  <c r="AC1415" i="7" s="1"/>
  <c r="AD1415" i="7" s="1"/>
  <c r="AE1415" i="7" s="1"/>
  <c r="AF1415" i="7" s="1"/>
  <c r="AG1415" i="7" s="1"/>
  <c r="AH1415" i="7" s="1"/>
  <c r="S1415" i="7"/>
  <c r="S1414" i="7"/>
  <c r="S1413" i="7"/>
  <c r="AA1412" i="7"/>
  <c r="AB1412" i="7" s="1"/>
  <c r="AC1412" i="7" s="1"/>
  <c r="AD1412" i="7" s="1"/>
  <c r="AE1412" i="7" s="1"/>
  <c r="AF1412" i="7" s="1"/>
  <c r="AG1412" i="7" s="1"/>
  <c r="AH1412" i="7" s="1"/>
  <c r="S1412" i="7"/>
  <c r="AA1411" i="7"/>
  <c r="AB1411" i="7" s="1"/>
  <c r="AC1411" i="7" s="1"/>
  <c r="AD1411" i="7" s="1"/>
  <c r="AE1411" i="7" s="1"/>
  <c r="AF1411" i="7" s="1"/>
  <c r="AG1411" i="7" s="1"/>
  <c r="AH1411" i="7" s="1"/>
  <c r="S1411" i="7"/>
  <c r="S1410" i="7"/>
  <c r="AA1409" i="7"/>
  <c r="AB1409" i="7" s="1"/>
  <c r="AC1409" i="7" s="1"/>
  <c r="AD1409" i="7" s="1"/>
  <c r="AE1409" i="7" s="1"/>
  <c r="AF1409" i="7" s="1"/>
  <c r="AG1409" i="7" s="1"/>
  <c r="AH1409" i="7" s="1"/>
  <c r="S1409" i="7"/>
  <c r="AA1408" i="7"/>
  <c r="AB1408" i="7" s="1"/>
  <c r="AC1408" i="7" s="1"/>
  <c r="AD1408" i="7" s="1"/>
  <c r="AE1408" i="7" s="1"/>
  <c r="AF1408" i="7" s="1"/>
  <c r="AG1408" i="7" s="1"/>
  <c r="AH1408" i="7" s="1"/>
  <c r="S1408" i="7"/>
  <c r="AC1407" i="7"/>
  <c r="AD1407" i="7" s="1"/>
  <c r="S1407" i="7"/>
  <c r="S1406" i="7"/>
  <c r="S1405" i="7"/>
  <c r="S1404" i="7"/>
  <c r="S1403" i="7"/>
  <c r="S1402" i="7"/>
  <c r="S1401" i="7"/>
  <c r="AA1400" i="7"/>
  <c r="AB1400" i="7" s="1"/>
  <c r="AC1400" i="7" s="1"/>
  <c r="AD1400" i="7" s="1"/>
  <c r="AE1400" i="7" s="1"/>
  <c r="AF1400" i="7" s="1"/>
  <c r="AG1400" i="7" s="1"/>
  <c r="AH1400" i="7" s="1"/>
  <c r="S1400" i="7"/>
  <c r="S1399" i="7"/>
  <c r="S1398" i="7"/>
  <c r="S1397" i="7"/>
  <c r="S1396" i="7"/>
  <c r="S1395" i="7"/>
  <c r="AA1394" i="7"/>
  <c r="AB1394" i="7" s="1"/>
  <c r="AC1394" i="7" s="1"/>
  <c r="AD1394" i="7" s="1"/>
  <c r="AE1394" i="7" s="1"/>
  <c r="AF1394" i="7" s="1"/>
  <c r="AG1394" i="7" s="1"/>
  <c r="AH1394" i="7" s="1"/>
  <c r="R1394" i="7"/>
  <c r="R1393" i="7"/>
  <c r="AC1392" i="7"/>
  <c r="AD1392" i="7" s="1"/>
  <c r="T1392" i="7"/>
  <c r="U1392" i="7" s="1"/>
  <c r="V1392" i="7" s="1"/>
  <c r="X1392" i="7" s="1"/>
  <c r="S1392" i="7"/>
  <c r="T1391" i="7"/>
  <c r="U1391" i="7" s="1"/>
  <c r="V1391" i="7" s="1"/>
  <c r="X1391" i="7" s="1"/>
  <c r="S1391" i="7"/>
  <c r="T1390" i="7"/>
  <c r="U1390" i="7" s="1"/>
  <c r="V1390" i="7" s="1"/>
  <c r="X1390" i="7" s="1"/>
  <c r="S1390" i="7"/>
  <c r="T1389" i="7"/>
  <c r="U1389" i="7" s="1"/>
  <c r="V1389" i="7" s="1"/>
  <c r="X1389" i="7" s="1"/>
  <c r="S1389" i="7"/>
  <c r="AA1388" i="7"/>
  <c r="AB1388" i="7" s="1"/>
  <c r="AC1388" i="7" s="1"/>
  <c r="AD1388" i="7" s="1"/>
  <c r="AE1388" i="7" s="1"/>
  <c r="AF1388" i="7" s="1"/>
  <c r="AG1388" i="7" s="1"/>
  <c r="AH1388" i="7" s="1"/>
  <c r="T1388" i="7"/>
  <c r="U1388" i="7" s="1"/>
  <c r="S1388" i="7"/>
  <c r="AA1387" i="7"/>
  <c r="AB1387" i="7" s="1"/>
  <c r="AC1387" i="7" s="1"/>
  <c r="AD1387" i="7" s="1"/>
  <c r="AE1387" i="7" s="1"/>
  <c r="AF1387" i="7" s="1"/>
  <c r="AG1387" i="7" s="1"/>
  <c r="AH1387" i="7" s="1"/>
  <c r="T1387" i="7"/>
  <c r="U1387" i="7" s="1"/>
  <c r="S1387" i="7"/>
  <c r="AC1386" i="7"/>
  <c r="AD1386" i="7" s="1"/>
  <c r="AE1386" i="7" s="1"/>
  <c r="AF1386" i="7" s="1"/>
  <c r="AG1386" i="7" s="1"/>
  <c r="AH1386" i="7" s="1"/>
  <c r="AA1386" i="7"/>
  <c r="T1386" i="7"/>
  <c r="U1386" i="7" s="1"/>
  <c r="S1386" i="7"/>
  <c r="AD1385" i="7"/>
  <c r="AE1385" i="7" s="1"/>
  <c r="AF1385" i="7" s="1"/>
  <c r="AG1385" i="7" s="1"/>
  <c r="AH1385" i="7" s="1"/>
  <c r="AA1385" i="7"/>
  <c r="AB1385" i="7" s="1"/>
  <c r="T1385" i="7"/>
  <c r="U1385" i="7" s="1"/>
  <c r="S1385" i="7"/>
  <c r="T1384" i="7"/>
  <c r="U1384" i="7" s="1"/>
  <c r="S1384" i="7"/>
  <c r="T1383" i="7"/>
  <c r="U1383" i="7" s="1"/>
  <c r="S1383" i="7"/>
  <c r="AA1382" i="7"/>
  <c r="AB1382" i="7" s="1"/>
  <c r="AC1382" i="7" s="1"/>
  <c r="AD1382" i="7" s="1"/>
  <c r="AE1382" i="7" s="1"/>
  <c r="AF1382" i="7" s="1"/>
  <c r="AG1382" i="7" s="1"/>
  <c r="AH1382" i="7" s="1"/>
  <c r="T1382" i="7"/>
  <c r="U1382" i="7" s="1"/>
  <c r="S1382" i="7"/>
  <c r="AA1381" i="7"/>
  <c r="AB1381" i="7" s="1"/>
  <c r="AC1381" i="7" s="1"/>
  <c r="AD1381" i="7" s="1"/>
  <c r="AE1381" i="7" s="1"/>
  <c r="AF1381" i="7" s="1"/>
  <c r="AG1381" i="7" s="1"/>
  <c r="AH1381" i="7" s="1"/>
  <c r="T1381" i="7"/>
  <c r="U1381" i="7" s="1"/>
  <c r="S1381" i="7"/>
  <c r="AA1380" i="7"/>
  <c r="AB1380" i="7" s="1"/>
  <c r="AC1380" i="7" s="1"/>
  <c r="AD1380" i="7" s="1"/>
  <c r="AE1380" i="7" s="1"/>
  <c r="AF1380" i="7" s="1"/>
  <c r="AG1380" i="7" s="1"/>
  <c r="AH1380" i="7" s="1"/>
  <c r="T1380" i="7"/>
  <c r="U1380" i="7" s="1"/>
  <c r="S1380" i="7"/>
  <c r="AA1379" i="7"/>
  <c r="AB1379" i="7" s="1"/>
  <c r="AC1379" i="7" s="1"/>
  <c r="AD1379" i="7" s="1"/>
  <c r="AE1379" i="7" s="1"/>
  <c r="AF1379" i="7" s="1"/>
  <c r="AG1379" i="7" s="1"/>
  <c r="AH1379" i="7" s="1"/>
  <c r="T1379" i="7"/>
  <c r="U1379" i="7" s="1"/>
  <c r="S1379" i="7"/>
  <c r="AA1378" i="7"/>
  <c r="AB1378" i="7" s="1"/>
  <c r="AC1378" i="7" s="1"/>
  <c r="AD1378" i="7" s="1"/>
  <c r="AE1378" i="7" s="1"/>
  <c r="AF1378" i="7" s="1"/>
  <c r="AG1378" i="7" s="1"/>
  <c r="AH1378" i="7" s="1"/>
  <c r="T1378" i="7"/>
  <c r="U1378" i="7" s="1"/>
  <c r="S1378" i="7"/>
  <c r="AA1377" i="7"/>
  <c r="AB1377" i="7" s="1"/>
  <c r="AC1377" i="7" s="1"/>
  <c r="AD1377" i="7" s="1"/>
  <c r="AE1377" i="7" s="1"/>
  <c r="AF1377" i="7" s="1"/>
  <c r="AG1377" i="7" s="1"/>
  <c r="AH1377" i="7" s="1"/>
  <c r="T1377" i="7"/>
  <c r="U1377" i="7" s="1"/>
  <c r="S1377" i="7"/>
  <c r="AA1376" i="7"/>
  <c r="AB1376" i="7" s="1"/>
  <c r="AC1376" i="7" s="1"/>
  <c r="AD1376" i="7" s="1"/>
  <c r="AE1376" i="7" s="1"/>
  <c r="AF1376" i="7" s="1"/>
  <c r="AG1376" i="7" s="1"/>
  <c r="AH1376" i="7" s="1"/>
  <c r="T1376" i="7"/>
  <c r="U1376" i="7" s="1"/>
  <c r="V1376" i="7" s="1"/>
  <c r="X1376" i="7" s="1"/>
  <c r="S1376" i="7"/>
  <c r="AA1375" i="7"/>
  <c r="AB1375" i="7" s="1"/>
  <c r="AC1375" i="7" s="1"/>
  <c r="AD1375" i="7" s="1"/>
  <c r="AE1375" i="7" s="1"/>
  <c r="AF1375" i="7" s="1"/>
  <c r="AG1375" i="7" s="1"/>
  <c r="AH1375" i="7" s="1"/>
  <c r="T1375" i="7"/>
  <c r="U1375" i="7" s="1"/>
  <c r="V1375" i="7" s="1"/>
  <c r="X1375" i="7" s="1"/>
  <c r="S1375" i="7"/>
  <c r="T1374" i="7"/>
  <c r="U1374" i="7" s="1"/>
  <c r="S1374" i="7"/>
  <c r="T1373" i="7"/>
  <c r="U1373" i="7" s="1"/>
  <c r="S1373" i="7"/>
  <c r="AH1372" i="7"/>
  <c r="AE1372" i="7"/>
  <c r="T1372" i="7"/>
  <c r="U1372" i="7" s="1"/>
  <c r="S1372" i="7"/>
  <c r="T1371" i="7"/>
  <c r="U1371" i="7" s="1"/>
  <c r="S1371" i="7"/>
  <c r="T1370" i="7"/>
  <c r="U1370" i="7" s="1"/>
  <c r="S1370" i="7"/>
  <c r="T1369" i="7"/>
  <c r="U1369" i="7" s="1"/>
  <c r="S1369" i="7"/>
  <c r="T1368" i="7"/>
  <c r="U1368" i="7" s="1"/>
  <c r="S1368" i="7"/>
  <c r="AC1367" i="7"/>
  <c r="AD1367" i="7" s="1"/>
  <c r="T1367" i="7"/>
  <c r="U1367" i="7" s="1"/>
  <c r="S1367" i="7"/>
  <c r="T1366" i="7"/>
  <c r="U1366" i="7" s="1"/>
  <c r="S1366" i="7"/>
  <c r="T1365" i="7"/>
  <c r="U1365" i="7" s="1"/>
  <c r="S1365" i="7"/>
  <c r="T1364" i="7"/>
  <c r="U1364" i="7" s="1"/>
  <c r="S1364" i="7"/>
  <c r="T1363" i="7"/>
  <c r="U1363" i="7" s="1"/>
  <c r="S1363" i="7"/>
  <c r="AA1362" i="7"/>
  <c r="AB1362" i="7" s="1"/>
  <c r="AC1362" i="7" s="1"/>
  <c r="AD1362" i="7" s="1"/>
  <c r="AE1362" i="7" s="1"/>
  <c r="AF1362" i="7" s="1"/>
  <c r="AG1362" i="7" s="1"/>
  <c r="AH1362" i="7" s="1"/>
  <c r="T1362" i="7"/>
  <c r="U1362" i="7" s="1"/>
  <c r="S1362" i="7"/>
  <c r="T1361" i="7"/>
  <c r="U1361" i="7" s="1"/>
  <c r="S1361" i="7"/>
  <c r="T1360" i="7"/>
  <c r="U1360" i="7" s="1"/>
  <c r="S1360" i="7"/>
  <c r="AA1359" i="7"/>
  <c r="AB1359" i="7" s="1"/>
  <c r="AC1359" i="7" s="1"/>
  <c r="AD1359" i="7" s="1"/>
  <c r="AE1359" i="7" s="1"/>
  <c r="AF1359" i="7" s="1"/>
  <c r="AG1359" i="7" s="1"/>
  <c r="AH1359" i="7" s="1"/>
  <c r="T1359" i="7"/>
  <c r="U1359" i="7" s="1"/>
  <c r="S1359" i="7"/>
  <c r="T1358" i="7"/>
  <c r="U1358" i="7" s="1"/>
  <c r="S1358" i="7"/>
  <c r="Z1357" i="7"/>
  <c r="AA1357" i="7" s="1"/>
  <c r="AB1357" i="7" s="1"/>
  <c r="AC1357" i="7" s="1"/>
  <c r="AD1357" i="7" s="1"/>
  <c r="AE1357" i="7" s="1"/>
  <c r="AF1357" i="7" s="1"/>
  <c r="AG1357" i="7" s="1"/>
  <c r="AH1357" i="7" s="1"/>
  <c r="T1357" i="7"/>
  <c r="U1357" i="7" s="1"/>
  <c r="S1357" i="7"/>
  <c r="T1356" i="7"/>
  <c r="U1356" i="7" s="1"/>
  <c r="S1356" i="7"/>
  <c r="U1355" i="7"/>
  <c r="T1355" i="7"/>
  <c r="S1355" i="7"/>
  <c r="AA1354" i="7"/>
  <c r="AB1354" i="7" s="1"/>
  <c r="AC1354" i="7" s="1"/>
  <c r="AD1354" i="7" s="1"/>
  <c r="AE1354" i="7" s="1"/>
  <c r="AF1354" i="7" s="1"/>
  <c r="AG1354" i="7" s="1"/>
  <c r="AH1354" i="7" s="1"/>
  <c r="U1354" i="7"/>
  <c r="T1354" i="7"/>
  <c r="S1354" i="7"/>
  <c r="U1353" i="7"/>
  <c r="T1353" i="7"/>
  <c r="S1353" i="7"/>
  <c r="U1352" i="7"/>
  <c r="T1352" i="7"/>
  <c r="S1352" i="7"/>
  <c r="AA1351" i="7"/>
  <c r="AB1351" i="7" s="1"/>
  <c r="AC1351" i="7" s="1"/>
  <c r="AD1351" i="7" s="1"/>
  <c r="AE1351" i="7" s="1"/>
  <c r="AF1351" i="7" s="1"/>
  <c r="AG1351" i="7" s="1"/>
  <c r="AH1351" i="7" s="1"/>
  <c r="U1351" i="7"/>
  <c r="T1351" i="7"/>
  <c r="S1351" i="7"/>
  <c r="U1350" i="7"/>
  <c r="T1350" i="7"/>
  <c r="S1350" i="7"/>
  <c r="U1349" i="7"/>
  <c r="T1349" i="7"/>
  <c r="S1349" i="7"/>
  <c r="T1348" i="7"/>
  <c r="U1348" i="7" s="1"/>
  <c r="S1348" i="7"/>
  <c r="T1347" i="7"/>
  <c r="U1347" i="7" s="1"/>
  <c r="S1347" i="7"/>
  <c r="U1346" i="7"/>
  <c r="T1346" i="7"/>
  <c r="S1346" i="7"/>
  <c r="U1345" i="7"/>
  <c r="T1345" i="7"/>
  <c r="S1345" i="7"/>
  <c r="U1344" i="7"/>
  <c r="V1344" i="7" s="1"/>
  <c r="X1344" i="7" s="1"/>
  <c r="Y1344" i="7" s="1"/>
  <c r="Z1344" i="7" s="1"/>
  <c r="AA1344" i="7" s="1"/>
  <c r="T1344" i="7"/>
  <c r="S1344" i="7"/>
  <c r="U1343" i="7"/>
  <c r="V1343" i="7" s="1"/>
  <c r="X1343" i="7" s="1"/>
  <c r="T1343" i="7"/>
  <c r="S1343" i="7"/>
  <c r="AA1342" i="7"/>
  <c r="AB1342" i="7" s="1"/>
  <c r="AC1342" i="7" s="1"/>
  <c r="AD1342" i="7" s="1"/>
  <c r="AE1342" i="7" s="1"/>
  <c r="AF1342" i="7" s="1"/>
  <c r="AG1342" i="7" s="1"/>
  <c r="AH1342" i="7" s="1"/>
  <c r="T1342" i="7"/>
  <c r="U1342" i="7" s="1"/>
  <c r="S1342" i="7"/>
  <c r="K1342" i="7"/>
  <c r="X1342" i="7" s="1"/>
  <c r="AA1341" i="7"/>
  <c r="AB1341" i="7" s="1"/>
  <c r="AC1341" i="7" s="1"/>
  <c r="AD1341" i="7" s="1"/>
  <c r="AE1341" i="7" s="1"/>
  <c r="AF1341" i="7" s="1"/>
  <c r="AG1341" i="7" s="1"/>
  <c r="AH1341" i="7" s="1"/>
  <c r="T1341" i="7"/>
  <c r="U1341" i="7" s="1"/>
  <c r="S1341" i="7"/>
  <c r="K1341" i="7"/>
  <c r="X1341" i="7" s="1"/>
  <c r="AA1340" i="7"/>
  <c r="AB1340" i="7" s="1"/>
  <c r="AC1340" i="7" s="1"/>
  <c r="AD1340" i="7" s="1"/>
  <c r="AE1340" i="7" s="1"/>
  <c r="AF1340" i="7" s="1"/>
  <c r="AG1340" i="7" s="1"/>
  <c r="AH1340" i="7" s="1"/>
  <c r="T1340" i="7"/>
  <c r="U1340" i="7" s="1"/>
  <c r="S1340" i="7"/>
  <c r="K1340" i="7"/>
  <c r="X1340" i="7" s="1"/>
  <c r="AA1339" i="7"/>
  <c r="AB1339" i="7" s="1"/>
  <c r="AC1339" i="7" s="1"/>
  <c r="AD1339" i="7" s="1"/>
  <c r="AE1339" i="7" s="1"/>
  <c r="AF1339" i="7" s="1"/>
  <c r="AG1339" i="7" s="1"/>
  <c r="AH1339" i="7" s="1"/>
  <c r="T1339" i="7"/>
  <c r="U1339" i="7" s="1"/>
  <c r="S1339" i="7"/>
  <c r="K1339" i="7"/>
  <c r="X1339" i="7" s="1"/>
  <c r="AA1338" i="7"/>
  <c r="AB1338" i="7" s="1"/>
  <c r="AC1338" i="7" s="1"/>
  <c r="AD1338" i="7" s="1"/>
  <c r="AE1338" i="7" s="1"/>
  <c r="AF1338" i="7" s="1"/>
  <c r="AG1338" i="7" s="1"/>
  <c r="AH1338" i="7" s="1"/>
  <c r="T1338" i="7"/>
  <c r="U1338" i="7" s="1"/>
  <c r="S1338" i="7"/>
  <c r="K1338" i="7"/>
  <c r="X1338" i="7" s="1"/>
  <c r="AA1337" i="7"/>
  <c r="AB1337" i="7" s="1"/>
  <c r="AC1337" i="7" s="1"/>
  <c r="AD1337" i="7" s="1"/>
  <c r="AE1337" i="7" s="1"/>
  <c r="AF1337" i="7" s="1"/>
  <c r="AG1337" i="7" s="1"/>
  <c r="AH1337" i="7" s="1"/>
  <c r="U1337" i="7"/>
  <c r="T1337" i="7"/>
  <c r="S1337" i="7"/>
  <c r="K1337" i="7"/>
  <c r="X1337" i="7" s="1"/>
  <c r="AA1336" i="7"/>
  <c r="AB1336" i="7" s="1"/>
  <c r="AC1336" i="7" s="1"/>
  <c r="AD1336" i="7" s="1"/>
  <c r="AE1336" i="7" s="1"/>
  <c r="AF1336" i="7" s="1"/>
  <c r="AG1336" i="7" s="1"/>
  <c r="AH1336" i="7" s="1"/>
  <c r="U1336" i="7"/>
  <c r="T1336" i="7"/>
  <c r="S1336" i="7"/>
  <c r="K1336" i="7"/>
  <c r="X1336" i="7" s="1"/>
  <c r="AA1335" i="7"/>
  <c r="AB1335" i="7" s="1"/>
  <c r="AC1335" i="7" s="1"/>
  <c r="AD1335" i="7" s="1"/>
  <c r="AE1335" i="7" s="1"/>
  <c r="AF1335" i="7" s="1"/>
  <c r="AG1335" i="7" s="1"/>
  <c r="AH1335" i="7" s="1"/>
  <c r="U1335" i="7"/>
  <c r="T1335" i="7"/>
  <c r="S1335" i="7"/>
  <c r="K1335" i="7"/>
  <c r="X1335" i="7" s="1"/>
  <c r="AA1334" i="7"/>
  <c r="AB1334" i="7" s="1"/>
  <c r="AC1334" i="7" s="1"/>
  <c r="AD1334" i="7" s="1"/>
  <c r="AE1334" i="7" s="1"/>
  <c r="AF1334" i="7" s="1"/>
  <c r="AG1334" i="7" s="1"/>
  <c r="AH1334" i="7" s="1"/>
  <c r="U1334" i="7"/>
  <c r="T1334" i="7"/>
  <c r="S1334" i="7"/>
  <c r="K1334" i="7"/>
  <c r="X1334" i="7" s="1"/>
  <c r="AA1333" i="7"/>
  <c r="AB1333" i="7" s="1"/>
  <c r="AC1333" i="7" s="1"/>
  <c r="AD1333" i="7" s="1"/>
  <c r="AE1333" i="7" s="1"/>
  <c r="AF1333" i="7" s="1"/>
  <c r="AG1333" i="7" s="1"/>
  <c r="AH1333" i="7" s="1"/>
  <c r="U1333" i="7"/>
  <c r="T1333" i="7"/>
  <c r="S1333" i="7"/>
  <c r="K1333" i="7"/>
  <c r="X1333" i="7" s="1"/>
  <c r="T1332" i="7"/>
  <c r="U1332" i="7" s="1"/>
  <c r="V1332" i="7" s="1"/>
  <c r="S1332" i="7"/>
  <c r="K1332" i="7"/>
  <c r="U1331" i="7"/>
  <c r="V1331" i="7" s="1"/>
  <c r="T1331" i="7"/>
  <c r="S1331" i="7"/>
  <c r="K1331" i="7"/>
  <c r="U1330" i="7"/>
  <c r="V1330" i="7" s="1"/>
  <c r="T1330" i="7"/>
  <c r="S1330" i="7"/>
  <c r="K1330" i="7"/>
  <c r="U1329" i="7"/>
  <c r="V1329" i="7" s="1"/>
  <c r="T1329" i="7"/>
  <c r="S1329" i="7"/>
  <c r="K1329" i="7"/>
  <c r="U1328" i="7"/>
  <c r="V1328" i="7" s="1"/>
  <c r="T1328" i="7"/>
  <c r="S1328" i="7"/>
  <c r="K1328" i="7"/>
  <c r="U1327" i="7"/>
  <c r="V1327" i="7" s="1"/>
  <c r="T1327" i="7"/>
  <c r="S1327" i="7"/>
  <c r="K1327" i="7"/>
  <c r="AC1326" i="7"/>
  <c r="AD1326" i="7" s="1"/>
  <c r="AE1326" i="7" s="1"/>
  <c r="AF1326" i="7" s="1"/>
  <c r="AG1326" i="7" s="1"/>
  <c r="AH1326" i="7" s="1"/>
  <c r="AA1326" i="7"/>
  <c r="X1326" i="7"/>
  <c r="S1326" i="7"/>
  <c r="U1325" i="7"/>
  <c r="V1325" i="7" s="1"/>
  <c r="X1325" i="7" s="1"/>
  <c r="Y1325" i="7" s="1"/>
  <c r="Z1325" i="7" s="1"/>
  <c r="AA1325" i="7" s="1"/>
  <c r="T1325" i="7"/>
  <c r="S1325" i="7"/>
  <c r="U1324" i="7"/>
  <c r="V1324" i="7" s="1"/>
  <c r="X1324" i="7" s="1"/>
  <c r="Y1324" i="7" s="1"/>
  <c r="AA1324" i="7" s="1"/>
  <c r="T1324" i="7"/>
  <c r="S1324" i="7"/>
  <c r="U1323" i="7"/>
  <c r="V1323" i="7" s="1"/>
  <c r="X1323" i="7" s="1"/>
  <c r="Y1323" i="7" s="1"/>
  <c r="Z1323" i="7" s="1"/>
  <c r="AA1323" i="7" s="1"/>
  <c r="T1323" i="7"/>
  <c r="S1323" i="7"/>
  <c r="U1322" i="7"/>
  <c r="V1322" i="7" s="1"/>
  <c r="X1322" i="7" s="1"/>
  <c r="Y1322" i="7" s="1"/>
  <c r="Z1322" i="7" s="1"/>
  <c r="AA1322" i="7" s="1"/>
  <c r="T1322" i="7"/>
  <c r="S1322" i="7"/>
  <c r="U1321" i="7"/>
  <c r="V1321" i="7" s="1"/>
  <c r="X1321" i="7" s="1"/>
  <c r="Y1321" i="7" s="1"/>
  <c r="Z1321" i="7" s="1"/>
  <c r="AA1321" i="7" s="1"/>
  <c r="T1321" i="7"/>
  <c r="S1321" i="7"/>
  <c r="AA1320" i="7"/>
  <c r="R1320" i="7"/>
  <c r="R1319" i="7"/>
  <c r="Z1318" i="7"/>
  <c r="AA1318" i="7" s="1"/>
  <c r="AB1318" i="7" s="1"/>
  <c r="AC1318" i="7" s="1"/>
  <c r="AD1318" i="7" s="1"/>
  <c r="AE1318" i="7" s="1"/>
  <c r="AF1318" i="7" s="1"/>
  <c r="AG1318" i="7" s="1"/>
  <c r="AH1318" i="7" s="1"/>
  <c r="R1318" i="7"/>
  <c r="Z1317" i="7"/>
  <c r="AA1317" i="7" s="1"/>
  <c r="AB1317" i="7" s="1"/>
  <c r="AC1317" i="7" s="1"/>
  <c r="AD1317" i="7" s="1"/>
  <c r="AE1317" i="7" s="1"/>
  <c r="AF1317" i="7" s="1"/>
  <c r="AG1317" i="7" s="1"/>
  <c r="AH1317" i="7" s="1"/>
  <c r="R1317" i="7"/>
  <c r="AA1316" i="7"/>
  <c r="AB1316" i="7" s="1"/>
  <c r="AC1316" i="7" s="1"/>
  <c r="AD1316" i="7" s="1"/>
  <c r="AE1316" i="7" s="1"/>
  <c r="AF1316" i="7" s="1"/>
  <c r="AG1316" i="7" s="1"/>
  <c r="AH1316" i="7" s="1"/>
  <c r="T1316" i="7"/>
  <c r="U1316" i="7" s="1"/>
  <c r="X1316" i="7" s="1"/>
  <c r="S1316" i="7"/>
  <c r="T1315" i="7"/>
  <c r="U1315" i="7" s="1"/>
  <c r="X1315" i="7" s="1"/>
  <c r="Z1315" i="7" s="1"/>
  <c r="AA1315" i="7" s="1"/>
  <c r="S1315" i="7"/>
  <c r="Z1314" i="7"/>
  <c r="AA1314" i="7" s="1"/>
  <c r="AB1314" i="7" s="1"/>
  <c r="AC1314" i="7" s="1"/>
  <c r="AD1314" i="7" s="1"/>
  <c r="AE1314" i="7" s="1"/>
  <c r="AF1314" i="7" s="1"/>
  <c r="AG1314" i="7" s="1"/>
  <c r="AH1314" i="7" s="1"/>
  <c r="T1314" i="7"/>
  <c r="U1314" i="7" s="1"/>
  <c r="X1314" i="7" s="1"/>
  <c r="S1314" i="7"/>
  <c r="T1313" i="7"/>
  <c r="U1313" i="7" s="1"/>
  <c r="X1313" i="7" s="1"/>
  <c r="Z1313" i="7" s="1"/>
  <c r="AA1313" i="7" s="1"/>
  <c r="S1313" i="7"/>
  <c r="T1312" i="7"/>
  <c r="U1312" i="7" s="1"/>
  <c r="X1312" i="7" s="1"/>
  <c r="S1312" i="7"/>
  <c r="Z1311" i="7"/>
  <c r="AA1311" i="7" s="1"/>
  <c r="AB1311" i="7" s="1"/>
  <c r="AC1311" i="7" s="1"/>
  <c r="AD1311" i="7" s="1"/>
  <c r="AE1311" i="7" s="1"/>
  <c r="AF1311" i="7" s="1"/>
  <c r="AG1311" i="7" s="1"/>
  <c r="AH1311" i="7" s="1"/>
  <c r="T1311" i="7"/>
  <c r="U1311" i="7" s="1"/>
  <c r="X1311" i="7" s="1"/>
  <c r="S1311" i="7"/>
  <c r="R1310" i="7"/>
  <c r="Z1309" i="7"/>
  <c r="AA1309" i="7" s="1"/>
  <c r="AB1309" i="7" s="1"/>
  <c r="AC1309" i="7" s="1"/>
  <c r="AD1309" i="7" s="1"/>
  <c r="AE1309" i="7" s="1"/>
  <c r="AF1309" i="7" s="1"/>
  <c r="AG1309" i="7" s="1"/>
  <c r="AH1309" i="7" s="1"/>
  <c r="R1309" i="7"/>
  <c r="T1308" i="7"/>
  <c r="U1308" i="7" s="1"/>
  <c r="X1308" i="7" s="1"/>
  <c r="Y1308" i="7" s="1"/>
  <c r="Z1308" i="7" s="1"/>
  <c r="AA1308" i="7" s="1"/>
  <c r="S1308" i="7"/>
  <c r="T1307" i="7"/>
  <c r="U1307" i="7" s="1"/>
  <c r="X1307" i="7" s="1"/>
  <c r="S1307" i="7"/>
  <c r="T1306" i="7"/>
  <c r="U1306" i="7" s="1"/>
  <c r="X1306" i="7" s="1"/>
  <c r="Y1306" i="7" s="1"/>
  <c r="Z1306" i="7" s="1"/>
  <c r="AA1306" i="7" s="1"/>
  <c r="S1306" i="7"/>
  <c r="T1305" i="7"/>
  <c r="U1305" i="7" s="1"/>
  <c r="X1305" i="7" s="1"/>
  <c r="Y1305" i="7" s="1"/>
  <c r="Z1305" i="7" s="1"/>
  <c r="AA1305" i="7" s="1"/>
  <c r="S1305" i="7"/>
  <c r="T1304" i="7"/>
  <c r="U1304" i="7" s="1"/>
  <c r="S1304" i="7"/>
  <c r="T1303" i="7"/>
  <c r="U1303" i="7" s="1"/>
  <c r="S1303" i="7"/>
  <c r="T1302" i="7"/>
  <c r="U1302" i="7" s="1"/>
  <c r="V1302" i="7" s="1"/>
  <c r="X1302" i="7" s="1"/>
  <c r="Y1302" i="7" s="1"/>
  <c r="Z1302" i="7" s="1"/>
  <c r="AA1302" i="7" s="1"/>
  <c r="S1302" i="7"/>
  <c r="AC1301" i="7"/>
  <c r="AD1301" i="7" s="1"/>
  <c r="AE1301" i="7" s="1"/>
  <c r="AF1301" i="7" s="1"/>
  <c r="AG1301" i="7" s="1"/>
  <c r="AH1301" i="7" s="1"/>
  <c r="Z1301" i="7"/>
  <c r="AA1301" i="7" s="1"/>
  <c r="T1301" i="7"/>
  <c r="U1301" i="7" s="1"/>
  <c r="S1301" i="7"/>
  <c r="AC1300" i="7"/>
  <c r="AD1300" i="7" s="1"/>
  <c r="AE1300" i="7" s="1"/>
  <c r="AF1300" i="7" s="1"/>
  <c r="AG1300" i="7" s="1"/>
  <c r="AH1300" i="7" s="1"/>
  <c r="Z1300" i="7"/>
  <c r="AA1300" i="7" s="1"/>
  <c r="T1300" i="7"/>
  <c r="U1300" i="7" s="1"/>
  <c r="V1300" i="7" s="1"/>
  <c r="X1300" i="7" s="1"/>
  <c r="S1300" i="7"/>
  <c r="X1299" i="7"/>
  <c r="Y1299" i="7" s="1"/>
  <c r="Z1299" i="7" s="1"/>
  <c r="AA1299" i="7" s="1"/>
  <c r="T1299" i="7"/>
  <c r="U1299" i="7" s="1"/>
  <c r="V1299" i="7" s="1"/>
  <c r="S1299" i="7"/>
  <c r="Z1298" i="7"/>
  <c r="AA1298" i="7" s="1"/>
  <c r="AB1298" i="7" s="1"/>
  <c r="AC1298" i="7" s="1"/>
  <c r="AD1298" i="7" s="1"/>
  <c r="AE1298" i="7" s="1"/>
  <c r="AF1298" i="7" s="1"/>
  <c r="AG1298" i="7" s="1"/>
  <c r="AH1298" i="7" s="1"/>
  <c r="X1298" i="7"/>
  <c r="T1298" i="7"/>
  <c r="U1298" i="7" s="1"/>
  <c r="V1298" i="7" s="1"/>
  <c r="S1298" i="7"/>
  <c r="X1297" i="7"/>
  <c r="T1297" i="7"/>
  <c r="U1297" i="7" s="1"/>
  <c r="V1297" i="7" s="1"/>
  <c r="S1297" i="7"/>
  <c r="X1296" i="7"/>
  <c r="Y1296" i="7" s="1"/>
  <c r="Z1296" i="7" s="1"/>
  <c r="AA1296" i="7" s="1"/>
  <c r="T1296" i="7"/>
  <c r="U1296" i="7" s="1"/>
  <c r="V1296" i="7" s="1"/>
  <c r="S1296" i="7"/>
  <c r="S1295" i="7"/>
  <c r="S1294" i="7"/>
  <c r="Z1293" i="7"/>
  <c r="AA1293" i="7" s="1"/>
  <c r="AB1293" i="7" s="1"/>
  <c r="AC1293" i="7" s="1"/>
  <c r="AD1293" i="7" s="1"/>
  <c r="AE1293" i="7" s="1"/>
  <c r="AF1293" i="7" s="1"/>
  <c r="AG1293" i="7" s="1"/>
  <c r="AH1293" i="7" s="1"/>
  <c r="S1293" i="7"/>
  <c r="Z1292" i="7"/>
  <c r="AA1292" i="7" s="1"/>
  <c r="AB1292" i="7" s="1"/>
  <c r="AC1292" i="7" s="1"/>
  <c r="AD1292" i="7" s="1"/>
  <c r="AE1292" i="7" s="1"/>
  <c r="AF1292" i="7" s="1"/>
  <c r="AG1292" i="7" s="1"/>
  <c r="AH1292" i="7" s="1"/>
  <c r="S1292" i="7"/>
  <c r="S1291" i="7"/>
  <c r="S1290" i="7"/>
  <c r="S1289" i="7"/>
  <c r="Z1288" i="7"/>
  <c r="AA1288" i="7" s="1"/>
  <c r="AB1288" i="7" s="1"/>
  <c r="AC1288" i="7" s="1"/>
  <c r="AD1288" i="7" s="1"/>
  <c r="AE1288" i="7" s="1"/>
  <c r="AF1288" i="7" s="1"/>
  <c r="AG1288" i="7" s="1"/>
  <c r="AH1288" i="7" s="1"/>
  <c r="S1288" i="7"/>
  <c r="S1287" i="7"/>
  <c r="S1286" i="7"/>
  <c r="S1285" i="7"/>
  <c r="Z1284" i="7"/>
  <c r="AA1284" i="7" s="1"/>
  <c r="AB1284" i="7" s="1"/>
  <c r="AC1284" i="7" s="1"/>
  <c r="AD1284" i="7" s="1"/>
  <c r="AE1284" i="7" s="1"/>
  <c r="AF1284" i="7" s="1"/>
  <c r="AG1284" i="7" s="1"/>
  <c r="AH1284" i="7" s="1"/>
  <c r="S1284" i="7"/>
  <c r="S1283" i="7"/>
  <c r="S1282" i="7"/>
  <c r="Z1281" i="7"/>
  <c r="AA1281" i="7" s="1"/>
  <c r="AB1281" i="7" s="1"/>
  <c r="AC1281" i="7" s="1"/>
  <c r="AD1281" i="7" s="1"/>
  <c r="AE1281" i="7" s="1"/>
  <c r="AF1281" i="7" s="1"/>
  <c r="AG1281" i="7" s="1"/>
  <c r="AH1281" i="7" s="1"/>
  <c r="S1281" i="7"/>
  <c r="AA1280" i="7"/>
  <c r="AB1280" i="7" s="1"/>
  <c r="AC1280" i="7" s="1"/>
  <c r="AD1280" i="7" s="1"/>
  <c r="AE1280" i="7" s="1"/>
  <c r="AF1280" i="7" s="1"/>
  <c r="AG1280" i="7" s="1"/>
  <c r="AH1280" i="7" s="1"/>
  <c r="R1280" i="7"/>
  <c r="AA1279" i="7"/>
  <c r="AB1279" i="7" s="1"/>
  <c r="AC1279" i="7" s="1"/>
  <c r="AD1279" i="7" s="1"/>
  <c r="AE1279" i="7" s="1"/>
  <c r="AF1279" i="7" s="1"/>
  <c r="AG1279" i="7" s="1"/>
  <c r="AH1279" i="7" s="1"/>
  <c r="R1279" i="7"/>
  <c r="Z1278" i="7"/>
  <c r="AA1278" i="7" s="1"/>
  <c r="AB1278" i="7" s="1"/>
  <c r="AC1278" i="7" s="1"/>
  <c r="AD1278" i="7" s="1"/>
  <c r="AE1278" i="7" s="1"/>
  <c r="AF1278" i="7" s="1"/>
  <c r="AG1278" i="7" s="1"/>
  <c r="AH1278" i="7" s="1"/>
  <c r="R1278" i="7"/>
  <c r="Z1277" i="7"/>
  <c r="AA1277" i="7" s="1"/>
  <c r="AB1277" i="7" s="1"/>
  <c r="AC1277" i="7" s="1"/>
  <c r="AD1277" i="7" s="1"/>
  <c r="AE1277" i="7" s="1"/>
  <c r="AF1277" i="7" s="1"/>
  <c r="AG1277" i="7" s="1"/>
  <c r="AH1277" i="7" s="1"/>
  <c r="R1277" i="7"/>
  <c r="R1276" i="7"/>
  <c r="Z1275" i="7"/>
  <c r="AA1275" i="7" s="1"/>
  <c r="AB1275" i="7" s="1"/>
  <c r="AC1275" i="7" s="1"/>
  <c r="AD1275" i="7" s="1"/>
  <c r="AE1275" i="7" s="1"/>
  <c r="AF1275" i="7" s="1"/>
  <c r="AG1275" i="7" s="1"/>
  <c r="AH1275" i="7" s="1"/>
  <c r="R1275" i="7"/>
  <c r="T1274" i="7"/>
  <c r="U1274" i="7" s="1"/>
  <c r="S1274" i="7"/>
  <c r="T1273" i="7"/>
  <c r="U1273" i="7" s="1"/>
  <c r="S1273" i="7"/>
  <c r="T1272" i="7"/>
  <c r="U1272" i="7" s="1"/>
  <c r="S1272" i="7"/>
  <c r="T1271" i="7"/>
  <c r="U1271" i="7" s="1"/>
  <c r="S1271" i="7"/>
  <c r="T1270" i="7"/>
  <c r="U1270" i="7" s="1"/>
  <c r="V1270" i="7" s="1"/>
  <c r="X1270" i="7" s="1"/>
  <c r="Y1270" i="7" s="1"/>
  <c r="Z1270" i="7" s="1"/>
  <c r="AA1270" i="7" s="1"/>
  <c r="S1270" i="7"/>
  <c r="T1269" i="7"/>
  <c r="U1269" i="7" s="1"/>
  <c r="S1269" i="7"/>
  <c r="T1268" i="7"/>
  <c r="U1268" i="7" s="1"/>
  <c r="S1268" i="7"/>
  <c r="X1267" i="7"/>
  <c r="Y1267" i="7" s="1"/>
  <c r="Z1267" i="7" s="1"/>
  <c r="AA1267" i="7" s="1"/>
  <c r="S1267" i="7"/>
  <c r="AA1266" i="7"/>
  <c r="AB1266" i="7" s="1"/>
  <c r="AC1266" i="7" s="1"/>
  <c r="AD1266" i="7" s="1"/>
  <c r="AE1266" i="7" s="1"/>
  <c r="AF1266" i="7" s="1"/>
  <c r="AG1266" i="7" s="1"/>
  <c r="AH1266" i="7" s="1"/>
  <c r="S1266" i="7"/>
  <c r="AA1265" i="7"/>
  <c r="AB1265" i="7" s="1"/>
  <c r="AC1265" i="7" s="1"/>
  <c r="AD1265" i="7" s="1"/>
  <c r="AE1265" i="7" s="1"/>
  <c r="AF1265" i="7" s="1"/>
  <c r="AG1265" i="7" s="1"/>
  <c r="AH1265" i="7" s="1"/>
  <c r="S1265" i="7"/>
  <c r="AA1264" i="7"/>
  <c r="AB1264" i="7" s="1"/>
  <c r="AC1264" i="7" s="1"/>
  <c r="AD1264" i="7" s="1"/>
  <c r="AE1264" i="7" s="1"/>
  <c r="AF1264" i="7" s="1"/>
  <c r="AG1264" i="7" s="1"/>
  <c r="AH1264" i="7" s="1"/>
  <c r="S1264" i="7"/>
  <c r="AA1263" i="7"/>
  <c r="AB1263" i="7" s="1"/>
  <c r="AC1263" i="7" s="1"/>
  <c r="AD1263" i="7" s="1"/>
  <c r="AE1263" i="7" s="1"/>
  <c r="AF1263" i="7" s="1"/>
  <c r="AG1263" i="7" s="1"/>
  <c r="AH1263" i="7" s="1"/>
  <c r="S1263" i="7"/>
  <c r="S1262" i="7"/>
  <c r="AA1261" i="7"/>
  <c r="AB1261" i="7" s="1"/>
  <c r="AC1261" i="7" s="1"/>
  <c r="AD1261" i="7" s="1"/>
  <c r="AE1261" i="7" s="1"/>
  <c r="AF1261" i="7" s="1"/>
  <c r="AG1261" i="7" s="1"/>
  <c r="AH1261" i="7" s="1"/>
  <c r="S1261" i="7"/>
  <c r="AA1260" i="7"/>
  <c r="AB1260" i="7" s="1"/>
  <c r="AC1260" i="7" s="1"/>
  <c r="AD1260" i="7" s="1"/>
  <c r="AE1260" i="7" s="1"/>
  <c r="AF1260" i="7" s="1"/>
  <c r="AG1260" i="7" s="1"/>
  <c r="AH1260" i="7" s="1"/>
  <c r="S1260" i="7"/>
  <c r="S1259" i="7"/>
  <c r="AA1258" i="7"/>
  <c r="AB1258" i="7" s="1"/>
  <c r="AC1258" i="7" s="1"/>
  <c r="AD1258" i="7" s="1"/>
  <c r="AE1258" i="7" s="1"/>
  <c r="AF1258" i="7" s="1"/>
  <c r="AG1258" i="7" s="1"/>
  <c r="AH1258" i="7" s="1"/>
  <c r="S1258" i="7"/>
  <c r="S1257" i="7"/>
  <c r="AA1256" i="7"/>
  <c r="AB1256" i="7" s="1"/>
  <c r="AC1256" i="7" s="1"/>
  <c r="AD1256" i="7" s="1"/>
  <c r="AE1256" i="7" s="1"/>
  <c r="AF1256" i="7" s="1"/>
  <c r="AG1256" i="7" s="1"/>
  <c r="AH1256" i="7" s="1"/>
  <c r="S1256" i="7"/>
  <c r="AA1255" i="7"/>
  <c r="AB1255" i="7" s="1"/>
  <c r="AC1255" i="7" s="1"/>
  <c r="AD1255" i="7" s="1"/>
  <c r="AE1255" i="7" s="1"/>
  <c r="AF1255" i="7" s="1"/>
  <c r="AG1255" i="7" s="1"/>
  <c r="AH1255" i="7" s="1"/>
  <c r="S1255" i="7"/>
  <c r="AA1254" i="7"/>
  <c r="AB1254" i="7" s="1"/>
  <c r="AC1254" i="7" s="1"/>
  <c r="AD1254" i="7" s="1"/>
  <c r="AE1254" i="7" s="1"/>
  <c r="AF1254" i="7" s="1"/>
  <c r="AG1254" i="7" s="1"/>
  <c r="AH1254" i="7" s="1"/>
  <c r="S1254" i="7"/>
  <c r="AA1253" i="7"/>
  <c r="AB1253" i="7" s="1"/>
  <c r="AC1253" i="7" s="1"/>
  <c r="AD1253" i="7" s="1"/>
  <c r="AE1253" i="7" s="1"/>
  <c r="AF1253" i="7" s="1"/>
  <c r="AG1253" i="7" s="1"/>
  <c r="AH1253" i="7" s="1"/>
  <c r="S1253" i="7"/>
  <c r="S1252" i="7"/>
  <c r="S1251" i="7"/>
  <c r="AA1250" i="7"/>
  <c r="AB1250" i="7" s="1"/>
  <c r="AC1250" i="7" s="1"/>
  <c r="AD1250" i="7" s="1"/>
  <c r="AE1250" i="7" s="1"/>
  <c r="AF1250" i="7" s="1"/>
  <c r="AG1250" i="7" s="1"/>
  <c r="AH1250" i="7" s="1"/>
  <c r="S1250" i="7"/>
  <c r="AA1249" i="7"/>
  <c r="AB1249" i="7" s="1"/>
  <c r="AC1249" i="7" s="1"/>
  <c r="AD1249" i="7" s="1"/>
  <c r="AE1249" i="7" s="1"/>
  <c r="AF1249" i="7" s="1"/>
  <c r="AG1249" i="7" s="1"/>
  <c r="AH1249" i="7" s="1"/>
  <c r="S1249" i="7"/>
  <c r="AA1248" i="7"/>
  <c r="AB1248" i="7" s="1"/>
  <c r="AC1248" i="7" s="1"/>
  <c r="AD1248" i="7" s="1"/>
  <c r="AE1248" i="7" s="1"/>
  <c r="AF1248" i="7" s="1"/>
  <c r="AG1248" i="7" s="1"/>
  <c r="AH1248" i="7" s="1"/>
  <c r="S1248" i="7"/>
  <c r="S1247" i="7"/>
  <c r="R1246" i="7"/>
  <c r="AA1245" i="7"/>
  <c r="AB1245" i="7" s="1"/>
  <c r="AC1245" i="7" s="1"/>
  <c r="AD1245" i="7" s="1"/>
  <c r="AE1245" i="7" s="1"/>
  <c r="AF1245" i="7" s="1"/>
  <c r="AG1245" i="7" s="1"/>
  <c r="AH1245" i="7" s="1"/>
  <c r="R1245" i="7"/>
  <c r="AA1244" i="7"/>
  <c r="AB1244" i="7" s="1"/>
  <c r="AC1244" i="7" s="1"/>
  <c r="AD1244" i="7" s="1"/>
  <c r="AE1244" i="7" s="1"/>
  <c r="AF1244" i="7" s="1"/>
  <c r="AG1244" i="7" s="1"/>
  <c r="AH1244" i="7" s="1"/>
  <c r="S1244" i="7"/>
  <c r="S1243" i="7"/>
  <c r="S1242" i="7"/>
  <c r="S1241" i="7"/>
  <c r="AC1240" i="7"/>
  <c r="AD1240" i="7" s="1"/>
  <c r="AE1240" i="7" s="1"/>
  <c r="AF1240" i="7" s="1"/>
  <c r="AG1240" i="7" s="1"/>
  <c r="AH1240" i="7" s="1"/>
  <c r="AA1240" i="7"/>
  <c r="S1240" i="7"/>
  <c r="R1239" i="7"/>
  <c r="R1238" i="7"/>
  <c r="R1237" i="7"/>
  <c r="R1236" i="7"/>
  <c r="R1235" i="7"/>
  <c r="R1234" i="7"/>
  <c r="R1233" i="7"/>
  <c r="Z1232" i="7"/>
  <c r="AA1232" i="7" s="1"/>
  <c r="AB1232" i="7" s="1"/>
  <c r="AC1232" i="7" s="1"/>
  <c r="AD1232" i="7" s="1"/>
  <c r="AE1232" i="7" s="1"/>
  <c r="AF1232" i="7" s="1"/>
  <c r="AG1232" i="7" s="1"/>
  <c r="AH1232" i="7" s="1"/>
  <c r="S1232" i="7"/>
  <c r="S1231" i="7"/>
  <c r="Z1230" i="7"/>
  <c r="AA1230" i="7" s="1"/>
  <c r="AB1230" i="7" s="1"/>
  <c r="AC1230" i="7" s="1"/>
  <c r="AD1230" i="7" s="1"/>
  <c r="AE1230" i="7" s="1"/>
  <c r="AF1230" i="7" s="1"/>
  <c r="AG1230" i="7" s="1"/>
  <c r="AH1230" i="7" s="1"/>
  <c r="S1230" i="7"/>
  <c r="Z1229" i="7"/>
  <c r="AA1229" i="7" s="1"/>
  <c r="AB1229" i="7" s="1"/>
  <c r="AC1229" i="7" s="1"/>
  <c r="AD1229" i="7" s="1"/>
  <c r="AE1229" i="7" s="1"/>
  <c r="AF1229" i="7" s="1"/>
  <c r="AG1229" i="7" s="1"/>
  <c r="AH1229" i="7" s="1"/>
  <c r="S1229" i="7"/>
  <c r="S1228" i="7"/>
  <c r="AC1227" i="7"/>
  <c r="AD1227" i="7" s="1"/>
  <c r="AE1227" i="7" s="1"/>
  <c r="AF1227" i="7" s="1"/>
  <c r="AG1227" i="7" s="1"/>
  <c r="AH1227" i="7" s="1"/>
  <c r="AA1227" i="7"/>
  <c r="R1227" i="7"/>
  <c r="Z1226" i="7"/>
  <c r="AA1226" i="7" s="1"/>
  <c r="AB1226" i="7" s="1"/>
  <c r="AC1226" i="7" s="1"/>
  <c r="AD1226" i="7" s="1"/>
  <c r="AE1226" i="7" s="1"/>
  <c r="AF1226" i="7" s="1"/>
  <c r="AG1226" i="7" s="1"/>
  <c r="AH1226" i="7" s="1"/>
  <c r="R1226" i="7"/>
  <c r="S1225" i="7"/>
  <c r="Z1224" i="7"/>
  <c r="AA1224" i="7" s="1"/>
  <c r="AB1224" i="7" s="1"/>
  <c r="AC1224" i="7" s="1"/>
  <c r="AD1224" i="7" s="1"/>
  <c r="AE1224" i="7" s="1"/>
  <c r="AF1224" i="7" s="1"/>
  <c r="AG1224" i="7" s="1"/>
  <c r="AH1224" i="7" s="1"/>
  <c r="S1224" i="7"/>
  <c r="S1223" i="7"/>
  <c r="S1222" i="7"/>
  <c r="Z1221" i="7"/>
  <c r="AA1221" i="7" s="1"/>
  <c r="AB1221" i="7" s="1"/>
  <c r="AC1221" i="7" s="1"/>
  <c r="AD1221" i="7" s="1"/>
  <c r="AE1221" i="7" s="1"/>
  <c r="AF1221" i="7" s="1"/>
  <c r="AG1221" i="7" s="1"/>
  <c r="AH1221" i="7" s="1"/>
  <c r="S1221" i="7"/>
  <c r="Z1220" i="7"/>
  <c r="AA1220" i="7" s="1"/>
  <c r="AB1220" i="7" s="1"/>
  <c r="AC1220" i="7" s="1"/>
  <c r="AD1220" i="7" s="1"/>
  <c r="AE1220" i="7" s="1"/>
  <c r="AF1220" i="7" s="1"/>
  <c r="AG1220" i="7" s="1"/>
  <c r="AH1220" i="7" s="1"/>
  <c r="S1220" i="7"/>
  <c r="S1219" i="7"/>
  <c r="Z1218" i="7"/>
  <c r="AA1218" i="7" s="1"/>
  <c r="AB1218" i="7" s="1"/>
  <c r="AC1218" i="7" s="1"/>
  <c r="AD1218" i="7" s="1"/>
  <c r="AE1218" i="7" s="1"/>
  <c r="AF1218" i="7" s="1"/>
  <c r="AG1218" i="7" s="1"/>
  <c r="AH1218" i="7" s="1"/>
  <c r="S1218" i="7"/>
  <c r="Z1217" i="7"/>
  <c r="AA1217" i="7" s="1"/>
  <c r="AB1217" i="7" s="1"/>
  <c r="AC1217" i="7" s="1"/>
  <c r="AD1217" i="7" s="1"/>
  <c r="AE1217" i="7" s="1"/>
  <c r="AF1217" i="7" s="1"/>
  <c r="AG1217" i="7" s="1"/>
  <c r="AH1217" i="7" s="1"/>
  <c r="S1217" i="7"/>
  <c r="S1216" i="7"/>
  <c r="S1215" i="7"/>
  <c r="S1214" i="7"/>
  <c r="S1213" i="7"/>
  <c r="S1212" i="7"/>
  <c r="S1211" i="7"/>
  <c r="S1210" i="7"/>
  <c r="R1209" i="7"/>
  <c r="Z1208" i="7"/>
  <c r="AA1208" i="7" s="1"/>
  <c r="AB1208" i="7" s="1"/>
  <c r="AC1208" i="7" s="1"/>
  <c r="AD1208" i="7" s="1"/>
  <c r="AE1208" i="7" s="1"/>
  <c r="AF1208" i="7" s="1"/>
  <c r="AG1208" i="7" s="1"/>
  <c r="AH1208" i="7" s="1"/>
  <c r="R1208" i="7"/>
  <c r="T1207" i="7"/>
  <c r="U1207" i="7" s="1"/>
  <c r="S1207" i="7"/>
  <c r="Z1206" i="7"/>
  <c r="AA1206" i="7" s="1"/>
  <c r="AB1206" i="7" s="1"/>
  <c r="AC1206" i="7" s="1"/>
  <c r="AD1206" i="7" s="1"/>
  <c r="AE1206" i="7" s="1"/>
  <c r="AF1206" i="7" s="1"/>
  <c r="AG1206" i="7" s="1"/>
  <c r="AH1206" i="7" s="1"/>
  <c r="T1206" i="7"/>
  <c r="U1206" i="7" s="1"/>
  <c r="S1206" i="7"/>
  <c r="T1205" i="7"/>
  <c r="U1205" i="7" s="1"/>
  <c r="S1205" i="7"/>
  <c r="T1204" i="7"/>
  <c r="U1204" i="7" s="1"/>
  <c r="V1204" i="7" s="1"/>
  <c r="X1204" i="7" s="1"/>
  <c r="Y1204" i="7" s="1"/>
  <c r="Z1204" i="7" s="1"/>
  <c r="AA1204" i="7" s="1"/>
  <c r="S1204" i="7"/>
  <c r="T1203" i="7"/>
  <c r="U1203" i="7" s="1"/>
  <c r="S1203" i="7"/>
  <c r="T1202" i="7"/>
  <c r="U1202" i="7" s="1"/>
  <c r="S1202" i="7"/>
  <c r="T1201" i="7"/>
  <c r="U1201" i="7" s="1"/>
  <c r="S1201" i="7"/>
  <c r="T1200" i="7"/>
  <c r="U1200" i="7" s="1"/>
  <c r="X1200" i="7" s="1"/>
  <c r="Y1200" i="7" s="1"/>
  <c r="Z1200" i="7" s="1"/>
  <c r="AA1200" i="7" s="1"/>
  <c r="S1200" i="7"/>
  <c r="T1199" i="7"/>
  <c r="U1199" i="7" s="1"/>
  <c r="X1199" i="7" s="1"/>
  <c r="Z1199" i="7" s="1"/>
  <c r="AA1199" i="7" s="1"/>
  <c r="S1199" i="7"/>
  <c r="T1198" i="7"/>
  <c r="U1198" i="7" s="1"/>
  <c r="X1198" i="7" s="1"/>
  <c r="Y1198" i="7" s="1"/>
  <c r="Z1198" i="7" s="1"/>
  <c r="AA1198" i="7" s="1"/>
  <c r="S1198" i="7"/>
  <c r="T1197" i="7"/>
  <c r="U1197" i="7" s="1"/>
  <c r="X1197" i="7" s="1"/>
  <c r="Y1197" i="7" s="1"/>
  <c r="Z1197" i="7" s="1"/>
  <c r="AA1197" i="7" s="1"/>
  <c r="S1197" i="7"/>
  <c r="Z1196" i="7"/>
  <c r="AA1196" i="7" s="1"/>
  <c r="AB1196" i="7" s="1"/>
  <c r="AC1196" i="7" s="1"/>
  <c r="AD1196" i="7" s="1"/>
  <c r="AE1196" i="7" s="1"/>
  <c r="AF1196" i="7" s="1"/>
  <c r="AG1196" i="7" s="1"/>
  <c r="AH1196" i="7" s="1"/>
  <c r="T1196" i="7"/>
  <c r="U1196" i="7" s="1"/>
  <c r="X1196" i="7" s="1"/>
  <c r="S1196" i="7"/>
  <c r="Z1195" i="7"/>
  <c r="AA1195" i="7" s="1"/>
  <c r="AB1195" i="7" s="1"/>
  <c r="AC1195" i="7" s="1"/>
  <c r="AD1195" i="7" s="1"/>
  <c r="AE1195" i="7" s="1"/>
  <c r="AF1195" i="7" s="1"/>
  <c r="AG1195" i="7" s="1"/>
  <c r="AH1195" i="7" s="1"/>
  <c r="T1195" i="7"/>
  <c r="U1195" i="7" s="1"/>
  <c r="X1195" i="7" s="1"/>
  <c r="S1195" i="7"/>
  <c r="Z1194" i="7"/>
  <c r="AA1194" i="7" s="1"/>
  <c r="AB1194" i="7" s="1"/>
  <c r="AC1194" i="7" s="1"/>
  <c r="AD1194" i="7" s="1"/>
  <c r="AE1194" i="7" s="1"/>
  <c r="AF1194" i="7" s="1"/>
  <c r="AG1194" i="7" s="1"/>
  <c r="AH1194" i="7" s="1"/>
  <c r="T1194" i="7"/>
  <c r="U1194" i="7" s="1"/>
  <c r="X1194" i="7" s="1"/>
  <c r="S1194" i="7"/>
  <c r="AC1193" i="7"/>
  <c r="AD1193" i="7" s="1"/>
  <c r="T1193" i="7"/>
  <c r="U1193" i="7" s="1"/>
  <c r="X1193" i="7" s="1"/>
  <c r="Z1193" i="7" s="1"/>
  <c r="AA1193" i="7" s="1"/>
  <c r="S1193" i="7"/>
  <c r="Z1192" i="7"/>
  <c r="AA1192" i="7" s="1"/>
  <c r="AB1192" i="7" s="1"/>
  <c r="AC1192" i="7" s="1"/>
  <c r="AD1192" i="7" s="1"/>
  <c r="AE1192" i="7" s="1"/>
  <c r="AF1192" i="7" s="1"/>
  <c r="AG1192" i="7" s="1"/>
  <c r="AH1192" i="7" s="1"/>
  <c r="S1192" i="7"/>
  <c r="S1191" i="7"/>
  <c r="Z1190" i="7"/>
  <c r="AA1190" i="7" s="1"/>
  <c r="AB1190" i="7" s="1"/>
  <c r="AC1190" i="7" s="1"/>
  <c r="AD1190" i="7" s="1"/>
  <c r="AE1190" i="7" s="1"/>
  <c r="AF1190" i="7" s="1"/>
  <c r="AG1190" i="7" s="1"/>
  <c r="AH1190" i="7" s="1"/>
  <c r="S1190" i="7"/>
  <c r="R1189" i="7"/>
  <c r="R1188" i="7"/>
  <c r="Z1187" i="7"/>
  <c r="AA1187" i="7" s="1"/>
  <c r="AB1187" i="7" s="1"/>
  <c r="AC1187" i="7" s="1"/>
  <c r="AD1187" i="7" s="1"/>
  <c r="AE1187" i="7" s="1"/>
  <c r="AF1187" i="7" s="1"/>
  <c r="AG1187" i="7" s="1"/>
  <c r="AH1187" i="7" s="1"/>
  <c r="R1187" i="7"/>
  <c r="Z1186" i="7"/>
  <c r="AA1186" i="7" s="1"/>
  <c r="AB1186" i="7" s="1"/>
  <c r="AC1186" i="7" s="1"/>
  <c r="AD1186" i="7" s="1"/>
  <c r="AE1186" i="7" s="1"/>
  <c r="AF1186" i="7" s="1"/>
  <c r="AG1186" i="7" s="1"/>
  <c r="AH1186" i="7" s="1"/>
  <c r="R1186" i="7"/>
  <c r="T1185" i="7"/>
  <c r="U1185" i="7" s="1"/>
  <c r="S1185" i="7"/>
  <c r="Z1184" i="7"/>
  <c r="AA1184" i="7" s="1"/>
  <c r="AB1184" i="7" s="1"/>
  <c r="AC1184" i="7" s="1"/>
  <c r="AD1184" i="7" s="1"/>
  <c r="AE1184" i="7" s="1"/>
  <c r="AF1184" i="7" s="1"/>
  <c r="AG1184" i="7" s="1"/>
  <c r="AH1184" i="7" s="1"/>
  <c r="T1184" i="7"/>
  <c r="U1184" i="7" s="1"/>
  <c r="S1184" i="7"/>
  <c r="AA1183" i="7"/>
  <c r="AB1183" i="7" s="1"/>
  <c r="AC1183" i="7" s="1"/>
  <c r="AD1183" i="7" s="1"/>
  <c r="AE1183" i="7" s="1"/>
  <c r="AF1183" i="7" s="1"/>
  <c r="AG1183" i="7" s="1"/>
  <c r="AH1183" i="7" s="1"/>
  <c r="T1183" i="7"/>
  <c r="U1183" i="7" s="1"/>
  <c r="S1183" i="7"/>
  <c r="AA1182" i="7"/>
  <c r="AB1182" i="7" s="1"/>
  <c r="AC1182" i="7" s="1"/>
  <c r="AD1182" i="7" s="1"/>
  <c r="AE1182" i="7" s="1"/>
  <c r="AF1182" i="7" s="1"/>
  <c r="AG1182" i="7" s="1"/>
  <c r="AH1182" i="7" s="1"/>
  <c r="T1182" i="7"/>
  <c r="U1182" i="7" s="1"/>
  <c r="S1182" i="7"/>
  <c r="T1181" i="7"/>
  <c r="U1181" i="7" s="1"/>
  <c r="S1181" i="7"/>
  <c r="Z1180" i="7"/>
  <c r="AA1180" i="7" s="1"/>
  <c r="AB1180" i="7" s="1"/>
  <c r="AC1180" i="7" s="1"/>
  <c r="AD1180" i="7" s="1"/>
  <c r="AE1180" i="7" s="1"/>
  <c r="AF1180" i="7" s="1"/>
  <c r="AG1180" i="7" s="1"/>
  <c r="AH1180" i="7" s="1"/>
  <c r="T1180" i="7"/>
  <c r="U1180" i="7" s="1"/>
  <c r="S1180" i="7"/>
  <c r="T1179" i="7"/>
  <c r="U1179" i="7" s="1"/>
  <c r="S1179" i="7"/>
  <c r="T1178" i="7"/>
  <c r="U1178" i="7" s="1"/>
  <c r="V1178" i="7" s="1"/>
  <c r="X1178" i="7" s="1"/>
  <c r="Y1178" i="7" s="1"/>
  <c r="Z1178" i="7" s="1"/>
  <c r="AA1178" i="7" s="1"/>
  <c r="S1178" i="7"/>
  <c r="T1177" i="7"/>
  <c r="U1177" i="7" s="1"/>
  <c r="S1177" i="7"/>
  <c r="Z1176" i="7"/>
  <c r="AA1176" i="7" s="1"/>
  <c r="AB1176" i="7" s="1"/>
  <c r="AC1176" i="7" s="1"/>
  <c r="AD1176" i="7" s="1"/>
  <c r="AE1176" i="7" s="1"/>
  <c r="AF1176" i="7" s="1"/>
  <c r="AG1176" i="7" s="1"/>
  <c r="AH1176" i="7" s="1"/>
  <c r="T1176" i="7"/>
  <c r="U1176" i="7" s="1"/>
  <c r="S1176" i="7"/>
  <c r="T1175" i="7"/>
  <c r="U1175" i="7" s="1"/>
  <c r="S1175" i="7"/>
  <c r="T1174" i="7"/>
  <c r="U1174" i="7" s="1"/>
  <c r="S1174" i="7"/>
  <c r="T1173" i="7"/>
  <c r="U1173" i="7" s="1"/>
  <c r="S1173" i="7"/>
  <c r="Z1172" i="7"/>
  <c r="AA1172" i="7" s="1"/>
  <c r="AB1172" i="7" s="1"/>
  <c r="AC1172" i="7" s="1"/>
  <c r="AD1172" i="7" s="1"/>
  <c r="AE1172" i="7" s="1"/>
  <c r="AF1172" i="7" s="1"/>
  <c r="AG1172" i="7" s="1"/>
  <c r="AH1172" i="7" s="1"/>
  <c r="S1172" i="7"/>
  <c r="Z1171" i="7"/>
  <c r="AA1171" i="7" s="1"/>
  <c r="AB1171" i="7" s="1"/>
  <c r="AC1171" i="7" s="1"/>
  <c r="AD1171" i="7" s="1"/>
  <c r="AE1171" i="7" s="1"/>
  <c r="AF1171" i="7" s="1"/>
  <c r="AG1171" i="7" s="1"/>
  <c r="AH1171" i="7" s="1"/>
  <c r="S1171" i="7"/>
  <c r="S1170" i="7"/>
  <c r="S1169" i="7"/>
  <c r="Z1168" i="7"/>
  <c r="AA1168" i="7" s="1"/>
  <c r="AB1168" i="7" s="1"/>
  <c r="AC1168" i="7" s="1"/>
  <c r="AD1168" i="7" s="1"/>
  <c r="AE1168" i="7" s="1"/>
  <c r="AF1168" i="7" s="1"/>
  <c r="AG1168" i="7" s="1"/>
  <c r="AH1168" i="7" s="1"/>
  <c r="S1168" i="7"/>
  <c r="Z1167" i="7"/>
  <c r="AA1167" i="7" s="1"/>
  <c r="AB1167" i="7" s="1"/>
  <c r="AC1167" i="7" s="1"/>
  <c r="AD1167" i="7" s="1"/>
  <c r="AE1167" i="7" s="1"/>
  <c r="AF1167" i="7" s="1"/>
  <c r="AG1167" i="7" s="1"/>
  <c r="AH1167" i="7" s="1"/>
  <c r="S1167" i="7"/>
  <c r="Z1166" i="7"/>
  <c r="AA1166" i="7" s="1"/>
  <c r="AB1166" i="7" s="1"/>
  <c r="AC1166" i="7" s="1"/>
  <c r="AD1166" i="7" s="1"/>
  <c r="AE1166" i="7" s="1"/>
  <c r="AF1166" i="7" s="1"/>
  <c r="AG1166" i="7" s="1"/>
  <c r="AH1166" i="7" s="1"/>
  <c r="S1166" i="7"/>
  <c r="Z1165" i="7"/>
  <c r="AA1165" i="7" s="1"/>
  <c r="AB1165" i="7" s="1"/>
  <c r="AC1165" i="7" s="1"/>
  <c r="AD1165" i="7" s="1"/>
  <c r="AE1165" i="7" s="1"/>
  <c r="AF1165" i="7" s="1"/>
  <c r="AG1165" i="7" s="1"/>
  <c r="AH1165" i="7" s="1"/>
  <c r="S1165" i="7"/>
  <c r="Z1164" i="7"/>
  <c r="AA1164" i="7" s="1"/>
  <c r="AB1164" i="7" s="1"/>
  <c r="AC1164" i="7" s="1"/>
  <c r="AD1164" i="7" s="1"/>
  <c r="AE1164" i="7" s="1"/>
  <c r="AF1164" i="7" s="1"/>
  <c r="AG1164" i="7" s="1"/>
  <c r="AH1164" i="7" s="1"/>
  <c r="S1164" i="7"/>
  <c r="AA1163" i="7"/>
  <c r="AB1163" i="7" s="1"/>
  <c r="AC1163" i="7" s="1"/>
  <c r="AD1163" i="7" s="1"/>
  <c r="AE1163" i="7" s="1"/>
  <c r="AF1163" i="7" s="1"/>
  <c r="AG1163" i="7" s="1"/>
  <c r="AH1163" i="7" s="1"/>
  <c r="S1163" i="7"/>
  <c r="AA1162" i="7"/>
  <c r="AB1162" i="7" s="1"/>
  <c r="AC1162" i="7" s="1"/>
  <c r="AD1162" i="7" s="1"/>
  <c r="AE1162" i="7" s="1"/>
  <c r="AF1162" i="7" s="1"/>
  <c r="AG1162" i="7" s="1"/>
  <c r="AH1162" i="7" s="1"/>
  <c r="S1162" i="7"/>
  <c r="Z1161" i="7"/>
  <c r="AA1161" i="7" s="1"/>
  <c r="AB1161" i="7" s="1"/>
  <c r="AC1161" i="7" s="1"/>
  <c r="AD1161" i="7" s="1"/>
  <c r="AE1161" i="7" s="1"/>
  <c r="AF1161" i="7" s="1"/>
  <c r="AG1161" i="7" s="1"/>
  <c r="AH1161" i="7" s="1"/>
  <c r="S1161" i="7"/>
  <c r="Z1160" i="7"/>
  <c r="AA1160" i="7" s="1"/>
  <c r="AB1160" i="7" s="1"/>
  <c r="AC1160" i="7" s="1"/>
  <c r="AD1160" i="7" s="1"/>
  <c r="AE1160" i="7" s="1"/>
  <c r="AF1160" i="7" s="1"/>
  <c r="AG1160" i="7" s="1"/>
  <c r="AH1160" i="7" s="1"/>
  <c r="S1160" i="7"/>
  <c r="Z1159" i="7"/>
  <c r="AA1159" i="7" s="1"/>
  <c r="AB1159" i="7" s="1"/>
  <c r="AC1159" i="7" s="1"/>
  <c r="AD1159" i="7" s="1"/>
  <c r="AE1159" i="7" s="1"/>
  <c r="AF1159" i="7" s="1"/>
  <c r="AG1159" i="7" s="1"/>
  <c r="AH1159" i="7" s="1"/>
  <c r="S1159" i="7"/>
  <c r="S1158" i="7"/>
  <c r="Z1157" i="7"/>
  <c r="AA1157" i="7" s="1"/>
  <c r="AB1157" i="7" s="1"/>
  <c r="AC1157" i="7" s="1"/>
  <c r="AD1157" i="7" s="1"/>
  <c r="AE1157" i="7" s="1"/>
  <c r="AF1157" i="7" s="1"/>
  <c r="AG1157" i="7" s="1"/>
  <c r="AH1157" i="7" s="1"/>
  <c r="S1157" i="7"/>
  <c r="Z1156" i="7"/>
  <c r="AA1156" i="7" s="1"/>
  <c r="AB1156" i="7" s="1"/>
  <c r="AC1156" i="7" s="1"/>
  <c r="AD1156" i="7" s="1"/>
  <c r="AE1156" i="7" s="1"/>
  <c r="AF1156" i="7" s="1"/>
  <c r="AG1156" i="7" s="1"/>
  <c r="AH1156" i="7" s="1"/>
  <c r="S1156" i="7"/>
  <c r="Z1155" i="7"/>
  <c r="AA1155" i="7" s="1"/>
  <c r="AB1155" i="7" s="1"/>
  <c r="AC1155" i="7" s="1"/>
  <c r="AD1155" i="7" s="1"/>
  <c r="AE1155" i="7" s="1"/>
  <c r="AF1155" i="7" s="1"/>
  <c r="AG1155" i="7" s="1"/>
  <c r="AH1155" i="7" s="1"/>
  <c r="S1155" i="7"/>
  <c r="S1154" i="7"/>
  <c r="AA1153" i="7"/>
  <c r="AB1153" i="7" s="1"/>
  <c r="AC1153" i="7" s="1"/>
  <c r="AD1153" i="7" s="1"/>
  <c r="AE1153" i="7" s="1"/>
  <c r="AF1153" i="7" s="1"/>
  <c r="AG1153" i="7" s="1"/>
  <c r="AH1153" i="7" s="1"/>
  <c r="S1153" i="7"/>
  <c r="Z1152" i="7"/>
  <c r="AA1152" i="7" s="1"/>
  <c r="AB1152" i="7" s="1"/>
  <c r="AC1152" i="7" s="1"/>
  <c r="AD1152" i="7" s="1"/>
  <c r="AE1152" i="7" s="1"/>
  <c r="AF1152" i="7" s="1"/>
  <c r="AG1152" i="7" s="1"/>
  <c r="AH1152" i="7" s="1"/>
  <c r="S1152" i="7"/>
  <c r="Z1151" i="7"/>
  <c r="AA1151" i="7" s="1"/>
  <c r="AB1151" i="7" s="1"/>
  <c r="AC1151" i="7" s="1"/>
  <c r="AD1151" i="7" s="1"/>
  <c r="AE1151" i="7" s="1"/>
  <c r="AF1151" i="7" s="1"/>
  <c r="AG1151" i="7" s="1"/>
  <c r="AH1151" i="7" s="1"/>
  <c r="S1151" i="7"/>
  <c r="Z1150" i="7"/>
  <c r="AA1150" i="7" s="1"/>
  <c r="AB1150" i="7" s="1"/>
  <c r="AC1150" i="7" s="1"/>
  <c r="AD1150" i="7" s="1"/>
  <c r="AE1150" i="7" s="1"/>
  <c r="AF1150" i="7" s="1"/>
  <c r="AG1150" i="7" s="1"/>
  <c r="AH1150" i="7" s="1"/>
  <c r="S1150" i="7"/>
  <c r="Z1149" i="7"/>
  <c r="AA1149" i="7" s="1"/>
  <c r="AB1149" i="7" s="1"/>
  <c r="AC1149" i="7" s="1"/>
  <c r="AD1149" i="7" s="1"/>
  <c r="AE1149" i="7" s="1"/>
  <c r="AF1149" i="7" s="1"/>
  <c r="AG1149" i="7" s="1"/>
  <c r="AH1149" i="7" s="1"/>
  <c r="S1149" i="7"/>
  <c r="S1148" i="7"/>
  <c r="Z1147" i="7"/>
  <c r="AA1147" i="7" s="1"/>
  <c r="AB1147" i="7" s="1"/>
  <c r="AC1147" i="7" s="1"/>
  <c r="AD1147" i="7" s="1"/>
  <c r="AE1147" i="7" s="1"/>
  <c r="AF1147" i="7" s="1"/>
  <c r="AG1147" i="7" s="1"/>
  <c r="AH1147" i="7" s="1"/>
  <c r="S1147" i="7"/>
  <c r="Z1146" i="7"/>
  <c r="AA1146" i="7" s="1"/>
  <c r="AB1146" i="7" s="1"/>
  <c r="AC1146" i="7" s="1"/>
  <c r="AD1146" i="7" s="1"/>
  <c r="AE1146" i="7" s="1"/>
  <c r="AF1146" i="7" s="1"/>
  <c r="AG1146" i="7" s="1"/>
  <c r="AH1146" i="7" s="1"/>
  <c r="S1146" i="7"/>
  <c r="Z1145" i="7"/>
  <c r="AA1145" i="7" s="1"/>
  <c r="AB1145" i="7" s="1"/>
  <c r="AC1145" i="7" s="1"/>
  <c r="AD1145" i="7" s="1"/>
  <c r="AE1145" i="7" s="1"/>
  <c r="AF1145" i="7" s="1"/>
  <c r="AG1145" i="7" s="1"/>
  <c r="AH1145" i="7" s="1"/>
  <c r="S1145" i="7"/>
  <c r="Z1144" i="7"/>
  <c r="AA1144" i="7" s="1"/>
  <c r="AB1144" i="7" s="1"/>
  <c r="AC1144" i="7" s="1"/>
  <c r="AD1144" i="7" s="1"/>
  <c r="AE1144" i="7" s="1"/>
  <c r="AF1144" i="7" s="1"/>
  <c r="AG1144" i="7" s="1"/>
  <c r="AH1144" i="7" s="1"/>
  <c r="S1144" i="7"/>
  <c r="Z1143" i="7"/>
  <c r="AA1143" i="7" s="1"/>
  <c r="AB1143" i="7" s="1"/>
  <c r="AC1143" i="7" s="1"/>
  <c r="AD1143" i="7" s="1"/>
  <c r="AE1143" i="7" s="1"/>
  <c r="AF1143" i="7" s="1"/>
  <c r="AG1143" i="7" s="1"/>
  <c r="AH1143" i="7" s="1"/>
  <c r="S1143" i="7"/>
  <c r="Z1142" i="7"/>
  <c r="AA1142" i="7" s="1"/>
  <c r="AB1142" i="7" s="1"/>
  <c r="AC1142" i="7" s="1"/>
  <c r="AD1142" i="7" s="1"/>
  <c r="AE1142" i="7" s="1"/>
  <c r="AF1142" i="7" s="1"/>
  <c r="AG1142" i="7" s="1"/>
  <c r="AH1142" i="7" s="1"/>
  <c r="S1142" i="7"/>
  <c r="Z1141" i="7"/>
  <c r="AA1141" i="7" s="1"/>
  <c r="AB1141" i="7" s="1"/>
  <c r="AC1141" i="7" s="1"/>
  <c r="AD1141" i="7" s="1"/>
  <c r="AE1141" i="7" s="1"/>
  <c r="AF1141" i="7" s="1"/>
  <c r="AG1141" i="7" s="1"/>
  <c r="AH1141" i="7" s="1"/>
  <c r="R1141" i="7"/>
  <c r="Z1140" i="7"/>
  <c r="AA1140" i="7" s="1"/>
  <c r="AB1140" i="7" s="1"/>
  <c r="AC1140" i="7" s="1"/>
  <c r="AD1140" i="7" s="1"/>
  <c r="AE1140" i="7" s="1"/>
  <c r="AF1140" i="7" s="1"/>
  <c r="AG1140" i="7" s="1"/>
  <c r="AH1140" i="7" s="1"/>
  <c r="R1140" i="7"/>
  <c r="Z1139" i="7"/>
  <c r="AA1139" i="7" s="1"/>
  <c r="AB1139" i="7" s="1"/>
  <c r="AC1139" i="7" s="1"/>
  <c r="AD1139" i="7" s="1"/>
  <c r="AE1139" i="7" s="1"/>
  <c r="AF1139" i="7" s="1"/>
  <c r="AG1139" i="7" s="1"/>
  <c r="AH1139" i="7" s="1"/>
  <c r="T1139" i="7"/>
  <c r="U1139" i="7" s="1"/>
  <c r="X1139" i="7" s="1"/>
  <c r="S1139" i="7"/>
  <c r="Z1138" i="7"/>
  <c r="AA1138" i="7" s="1"/>
  <c r="AB1138" i="7" s="1"/>
  <c r="AC1138" i="7" s="1"/>
  <c r="AD1138" i="7" s="1"/>
  <c r="AE1138" i="7" s="1"/>
  <c r="AF1138" i="7" s="1"/>
  <c r="AG1138" i="7" s="1"/>
  <c r="AH1138" i="7" s="1"/>
  <c r="T1138" i="7"/>
  <c r="U1138" i="7" s="1"/>
  <c r="X1138" i="7" s="1"/>
  <c r="S1138" i="7"/>
  <c r="Z1137" i="7"/>
  <c r="AA1137" i="7" s="1"/>
  <c r="AB1137" i="7" s="1"/>
  <c r="AC1137" i="7" s="1"/>
  <c r="AD1137" i="7" s="1"/>
  <c r="AE1137" i="7" s="1"/>
  <c r="AF1137" i="7" s="1"/>
  <c r="AG1137" i="7" s="1"/>
  <c r="AH1137" i="7" s="1"/>
  <c r="T1137" i="7"/>
  <c r="U1137" i="7" s="1"/>
  <c r="X1137" i="7" s="1"/>
  <c r="S1137" i="7"/>
  <c r="Z1136" i="7"/>
  <c r="AA1136" i="7" s="1"/>
  <c r="AB1136" i="7" s="1"/>
  <c r="AC1136" i="7" s="1"/>
  <c r="AD1136" i="7" s="1"/>
  <c r="AE1136" i="7" s="1"/>
  <c r="AF1136" i="7" s="1"/>
  <c r="AG1136" i="7" s="1"/>
  <c r="AH1136" i="7" s="1"/>
  <c r="T1136" i="7"/>
  <c r="U1136" i="7" s="1"/>
  <c r="X1136" i="7" s="1"/>
  <c r="S1136" i="7"/>
  <c r="Z1135" i="7"/>
  <c r="AA1135" i="7" s="1"/>
  <c r="AB1135" i="7" s="1"/>
  <c r="AC1135" i="7" s="1"/>
  <c r="AD1135" i="7" s="1"/>
  <c r="AE1135" i="7" s="1"/>
  <c r="AF1135" i="7" s="1"/>
  <c r="AG1135" i="7" s="1"/>
  <c r="AH1135" i="7" s="1"/>
  <c r="S1135" i="7"/>
  <c r="Z1134" i="7"/>
  <c r="AA1134" i="7" s="1"/>
  <c r="AB1134" i="7" s="1"/>
  <c r="AC1134" i="7" s="1"/>
  <c r="AD1134" i="7" s="1"/>
  <c r="AE1134" i="7" s="1"/>
  <c r="AF1134" i="7" s="1"/>
  <c r="AG1134" i="7" s="1"/>
  <c r="AH1134" i="7" s="1"/>
  <c r="S1134" i="7"/>
  <c r="S1133" i="7"/>
  <c r="Z1132" i="7"/>
  <c r="AA1132" i="7" s="1"/>
  <c r="AB1132" i="7" s="1"/>
  <c r="AC1132" i="7" s="1"/>
  <c r="AD1132" i="7" s="1"/>
  <c r="AE1132" i="7" s="1"/>
  <c r="AF1132" i="7" s="1"/>
  <c r="AG1132" i="7" s="1"/>
  <c r="AH1132" i="7" s="1"/>
  <c r="S1132" i="7"/>
  <c r="AA1131" i="7"/>
  <c r="AB1131" i="7" s="1"/>
  <c r="AC1131" i="7" s="1"/>
  <c r="AD1131" i="7" s="1"/>
  <c r="AE1131" i="7" s="1"/>
  <c r="AF1131" i="7" s="1"/>
  <c r="AG1131" i="7" s="1"/>
  <c r="AH1131" i="7" s="1"/>
  <c r="S1131" i="7"/>
  <c r="Z1130" i="7"/>
  <c r="AA1130" i="7" s="1"/>
  <c r="AB1130" i="7" s="1"/>
  <c r="AC1130" i="7" s="1"/>
  <c r="AD1130" i="7" s="1"/>
  <c r="AE1130" i="7" s="1"/>
  <c r="AF1130" i="7" s="1"/>
  <c r="AG1130" i="7" s="1"/>
  <c r="AH1130" i="7" s="1"/>
  <c r="S1130" i="7"/>
  <c r="Z1129" i="7"/>
  <c r="AA1129" i="7" s="1"/>
  <c r="AB1129" i="7" s="1"/>
  <c r="AC1129" i="7" s="1"/>
  <c r="AD1129" i="7" s="1"/>
  <c r="AE1129" i="7" s="1"/>
  <c r="AF1129" i="7" s="1"/>
  <c r="AG1129" i="7" s="1"/>
  <c r="AH1129" i="7" s="1"/>
  <c r="S1129" i="7"/>
  <c r="Z1128" i="7"/>
  <c r="AA1128" i="7" s="1"/>
  <c r="AB1128" i="7" s="1"/>
  <c r="AC1128" i="7" s="1"/>
  <c r="AD1128" i="7" s="1"/>
  <c r="AE1128" i="7" s="1"/>
  <c r="AF1128" i="7" s="1"/>
  <c r="AG1128" i="7" s="1"/>
  <c r="AH1128" i="7" s="1"/>
  <c r="S1128" i="7"/>
  <c r="R1127" i="7"/>
  <c r="Z1126" i="7"/>
  <c r="AA1126" i="7" s="1"/>
  <c r="AB1126" i="7" s="1"/>
  <c r="AC1126" i="7" s="1"/>
  <c r="AD1126" i="7" s="1"/>
  <c r="AE1126" i="7" s="1"/>
  <c r="AF1126" i="7" s="1"/>
  <c r="AG1126" i="7" s="1"/>
  <c r="AH1126" i="7" s="1"/>
  <c r="R1126" i="7"/>
  <c r="Z1125" i="7"/>
  <c r="AA1125" i="7" s="1"/>
  <c r="AB1125" i="7" s="1"/>
  <c r="AC1125" i="7" s="1"/>
  <c r="AD1125" i="7" s="1"/>
  <c r="AE1125" i="7" s="1"/>
  <c r="AF1125" i="7" s="1"/>
  <c r="AG1125" i="7" s="1"/>
  <c r="AH1125" i="7" s="1"/>
  <c r="T1125" i="7"/>
  <c r="U1125" i="7" s="1"/>
  <c r="X1125" i="7" s="1"/>
  <c r="S1125" i="7"/>
  <c r="Z1124" i="7"/>
  <c r="AA1124" i="7" s="1"/>
  <c r="AB1124" i="7" s="1"/>
  <c r="AC1124" i="7" s="1"/>
  <c r="AD1124" i="7" s="1"/>
  <c r="AE1124" i="7" s="1"/>
  <c r="AF1124" i="7" s="1"/>
  <c r="AG1124" i="7" s="1"/>
  <c r="AH1124" i="7" s="1"/>
  <c r="T1124" i="7"/>
  <c r="U1124" i="7" s="1"/>
  <c r="X1124" i="7" s="1"/>
  <c r="S1124" i="7"/>
  <c r="T1123" i="7"/>
  <c r="U1123" i="7" s="1"/>
  <c r="X1123" i="7" s="1"/>
  <c r="S1123" i="7"/>
  <c r="Z1122" i="7"/>
  <c r="AA1122" i="7" s="1"/>
  <c r="AB1122" i="7" s="1"/>
  <c r="AC1122" i="7" s="1"/>
  <c r="AD1122" i="7" s="1"/>
  <c r="AE1122" i="7" s="1"/>
  <c r="AF1122" i="7" s="1"/>
  <c r="AG1122" i="7" s="1"/>
  <c r="AH1122" i="7" s="1"/>
  <c r="T1122" i="7"/>
  <c r="U1122" i="7" s="1"/>
  <c r="X1122" i="7" s="1"/>
  <c r="S1122" i="7"/>
  <c r="Z1121" i="7"/>
  <c r="AA1121" i="7" s="1"/>
  <c r="AB1121" i="7" s="1"/>
  <c r="AC1121" i="7" s="1"/>
  <c r="AD1121" i="7" s="1"/>
  <c r="AE1121" i="7" s="1"/>
  <c r="AF1121" i="7" s="1"/>
  <c r="AG1121" i="7" s="1"/>
  <c r="AH1121" i="7" s="1"/>
  <c r="T1121" i="7"/>
  <c r="U1121" i="7" s="1"/>
  <c r="X1121" i="7" s="1"/>
  <c r="S1121" i="7"/>
  <c r="Z1120" i="7"/>
  <c r="AA1120" i="7" s="1"/>
  <c r="AB1120" i="7" s="1"/>
  <c r="AC1120" i="7" s="1"/>
  <c r="AD1120" i="7" s="1"/>
  <c r="AE1120" i="7" s="1"/>
  <c r="AF1120" i="7" s="1"/>
  <c r="AG1120" i="7" s="1"/>
  <c r="AH1120" i="7" s="1"/>
  <c r="T1120" i="7"/>
  <c r="U1120" i="7" s="1"/>
  <c r="X1120" i="7" s="1"/>
  <c r="S1120" i="7"/>
  <c r="Z1119" i="7"/>
  <c r="AA1119" i="7" s="1"/>
  <c r="AB1119" i="7" s="1"/>
  <c r="AC1119" i="7" s="1"/>
  <c r="AD1119" i="7" s="1"/>
  <c r="AE1119" i="7" s="1"/>
  <c r="AF1119" i="7" s="1"/>
  <c r="AG1119" i="7" s="1"/>
  <c r="AH1119" i="7" s="1"/>
  <c r="T1119" i="7"/>
  <c r="U1119" i="7" s="1"/>
  <c r="X1119" i="7" s="1"/>
  <c r="S1119" i="7"/>
  <c r="Z1118" i="7"/>
  <c r="AA1118" i="7" s="1"/>
  <c r="AB1118" i="7" s="1"/>
  <c r="AC1118" i="7" s="1"/>
  <c r="AD1118" i="7" s="1"/>
  <c r="AE1118" i="7" s="1"/>
  <c r="AF1118" i="7" s="1"/>
  <c r="AG1118" i="7" s="1"/>
  <c r="AH1118" i="7" s="1"/>
  <c r="T1118" i="7"/>
  <c r="U1118" i="7" s="1"/>
  <c r="X1118" i="7" s="1"/>
  <c r="S1118" i="7"/>
  <c r="Z1117" i="7"/>
  <c r="AA1117" i="7" s="1"/>
  <c r="AB1117" i="7" s="1"/>
  <c r="AC1117" i="7" s="1"/>
  <c r="AD1117" i="7" s="1"/>
  <c r="AE1117" i="7" s="1"/>
  <c r="AF1117" i="7" s="1"/>
  <c r="AG1117" i="7" s="1"/>
  <c r="AH1117" i="7" s="1"/>
  <c r="T1117" i="7"/>
  <c r="U1117" i="7" s="1"/>
  <c r="X1117" i="7" s="1"/>
  <c r="S1117" i="7"/>
  <c r="Z1116" i="7"/>
  <c r="AA1116" i="7" s="1"/>
  <c r="AB1116" i="7" s="1"/>
  <c r="AC1116" i="7" s="1"/>
  <c r="AD1116" i="7" s="1"/>
  <c r="AE1116" i="7" s="1"/>
  <c r="AF1116" i="7" s="1"/>
  <c r="AG1116" i="7" s="1"/>
  <c r="AH1116" i="7" s="1"/>
  <c r="T1116" i="7"/>
  <c r="U1116" i="7" s="1"/>
  <c r="X1116" i="7" s="1"/>
  <c r="S1116" i="7"/>
  <c r="AA1115" i="7"/>
  <c r="AB1115" i="7" s="1"/>
  <c r="AC1115" i="7" s="1"/>
  <c r="AD1115" i="7" s="1"/>
  <c r="AE1115" i="7" s="1"/>
  <c r="AF1115" i="7" s="1"/>
  <c r="AG1115" i="7" s="1"/>
  <c r="AH1115" i="7" s="1"/>
  <c r="T1115" i="7"/>
  <c r="U1115" i="7" s="1"/>
  <c r="X1115" i="7" s="1"/>
  <c r="S1115" i="7"/>
  <c r="Z1114" i="7"/>
  <c r="AA1114" i="7" s="1"/>
  <c r="AB1114" i="7" s="1"/>
  <c r="AC1114" i="7" s="1"/>
  <c r="AD1114" i="7" s="1"/>
  <c r="AE1114" i="7" s="1"/>
  <c r="AF1114" i="7" s="1"/>
  <c r="AG1114" i="7" s="1"/>
  <c r="AH1114" i="7" s="1"/>
  <c r="T1114" i="7"/>
  <c r="U1114" i="7" s="1"/>
  <c r="X1114" i="7" s="1"/>
  <c r="S1114" i="7"/>
  <c r="Z1113" i="7"/>
  <c r="AA1113" i="7" s="1"/>
  <c r="AB1113" i="7" s="1"/>
  <c r="AC1113" i="7" s="1"/>
  <c r="AD1113" i="7" s="1"/>
  <c r="AE1113" i="7" s="1"/>
  <c r="AF1113" i="7" s="1"/>
  <c r="AG1113" i="7" s="1"/>
  <c r="AH1113" i="7" s="1"/>
  <c r="T1113" i="7"/>
  <c r="U1113" i="7" s="1"/>
  <c r="X1113" i="7" s="1"/>
  <c r="S1113" i="7"/>
  <c r="T1112" i="7"/>
  <c r="U1112" i="7" s="1"/>
  <c r="X1112" i="7" s="1"/>
  <c r="S1112" i="7"/>
  <c r="T1111" i="7"/>
  <c r="U1111" i="7" s="1"/>
  <c r="X1111" i="7" s="1"/>
  <c r="S1111" i="7"/>
  <c r="T1110" i="7"/>
  <c r="U1110" i="7" s="1"/>
  <c r="X1110" i="7" s="1"/>
  <c r="S1110" i="7"/>
  <c r="Z1109" i="7"/>
  <c r="AA1109" i="7" s="1"/>
  <c r="AB1109" i="7" s="1"/>
  <c r="AC1109" i="7" s="1"/>
  <c r="AD1109" i="7" s="1"/>
  <c r="AE1109" i="7" s="1"/>
  <c r="AF1109" i="7" s="1"/>
  <c r="AG1109" i="7" s="1"/>
  <c r="AH1109" i="7" s="1"/>
  <c r="T1109" i="7"/>
  <c r="U1109" i="7" s="1"/>
  <c r="X1109" i="7" s="1"/>
  <c r="S1109" i="7"/>
  <c r="Z1108" i="7"/>
  <c r="AA1108" i="7" s="1"/>
  <c r="AB1108" i="7" s="1"/>
  <c r="AC1108" i="7" s="1"/>
  <c r="AD1108" i="7" s="1"/>
  <c r="AE1108" i="7" s="1"/>
  <c r="AF1108" i="7" s="1"/>
  <c r="AG1108" i="7" s="1"/>
  <c r="AH1108" i="7" s="1"/>
  <c r="T1108" i="7"/>
  <c r="U1108" i="7" s="1"/>
  <c r="X1108" i="7" s="1"/>
  <c r="S1108" i="7"/>
  <c r="T1107" i="7"/>
  <c r="U1107" i="7" s="1"/>
  <c r="X1107" i="7" s="1"/>
  <c r="S1107" i="7"/>
  <c r="T1106" i="7"/>
  <c r="U1106" i="7" s="1"/>
  <c r="X1106" i="7" s="1"/>
  <c r="Y1106" i="7" s="1"/>
  <c r="Z1106" i="7" s="1"/>
  <c r="AA1106" i="7" s="1"/>
  <c r="S1106" i="7"/>
  <c r="T1105" i="7"/>
  <c r="U1105" i="7" s="1"/>
  <c r="X1105" i="7" s="1"/>
  <c r="Y1105" i="7" s="1"/>
  <c r="Z1105" i="7" s="1"/>
  <c r="AA1105" i="7" s="1"/>
  <c r="S1105" i="7"/>
  <c r="T1104" i="7"/>
  <c r="U1104" i="7" s="1"/>
  <c r="X1104" i="7" s="1"/>
  <c r="S1104" i="7"/>
  <c r="Z1103" i="7"/>
  <c r="AA1103" i="7" s="1"/>
  <c r="AB1103" i="7" s="1"/>
  <c r="AC1103" i="7" s="1"/>
  <c r="AD1103" i="7" s="1"/>
  <c r="AE1103" i="7" s="1"/>
  <c r="AF1103" i="7" s="1"/>
  <c r="AG1103" i="7" s="1"/>
  <c r="AH1103" i="7" s="1"/>
  <c r="T1103" i="7"/>
  <c r="U1103" i="7" s="1"/>
  <c r="X1103" i="7" s="1"/>
  <c r="S1103" i="7"/>
  <c r="Z1102" i="7"/>
  <c r="AA1102" i="7" s="1"/>
  <c r="AB1102" i="7" s="1"/>
  <c r="AC1102" i="7" s="1"/>
  <c r="AD1102" i="7" s="1"/>
  <c r="AE1102" i="7" s="1"/>
  <c r="AF1102" i="7" s="1"/>
  <c r="AG1102" i="7" s="1"/>
  <c r="AH1102" i="7" s="1"/>
  <c r="T1102" i="7"/>
  <c r="U1102" i="7" s="1"/>
  <c r="X1102" i="7" s="1"/>
  <c r="S1102" i="7"/>
  <c r="T1101" i="7"/>
  <c r="U1101" i="7" s="1"/>
  <c r="X1101" i="7" s="1"/>
  <c r="S1101" i="7"/>
  <c r="T1100" i="7"/>
  <c r="U1100" i="7" s="1"/>
  <c r="X1100" i="7" s="1"/>
  <c r="S1100" i="7"/>
  <c r="T1099" i="7"/>
  <c r="U1099" i="7" s="1"/>
  <c r="X1099" i="7" s="1"/>
  <c r="S1099" i="7"/>
  <c r="T1098" i="7"/>
  <c r="U1098" i="7" s="1"/>
  <c r="X1098" i="7" s="1"/>
  <c r="S1098" i="7"/>
  <c r="T1097" i="7"/>
  <c r="U1097" i="7" s="1"/>
  <c r="X1097" i="7" s="1"/>
  <c r="S1097" i="7"/>
  <c r="Z1096" i="7"/>
  <c r="AA1096" i="7" s="1"/>
  <c r="AB1096" i="7" s="1"/>
  <c r="AC1096" i="7" s="1"/>
  <c r="AD1096" i="7" s="1"/>
  <c r="AE1096" i="7" s="1"/>
  <c r="AF1096" i="7" s="1"/>
  <c r="AG1096" i="7" s="1"/>
  <c r="AH1096" i="7" s="1"/>
  <c r="T1096" i="7"/>
  <c r="U1096" i="7" s="1"/>
  <c r="X1096" i="7" s="1"/>
  <c r="S1096" i="7"/>
  <c r="Z1095" i="7"/>
  <c r="AA1095" i="7" s="1"/>
  <c r="AB1095" i="7" s="1"/>
  <c r="AC1095" i="7" s="1"/>
  <c r="AD1095" i="7" s="1"/>
  <c r="AE1095" i="7" s="1"/>
  <c r="AF1095" i="7" s="1"/>
  <c r="AG1095" i="7" s="1"/>
  <c r="AH1095" i="7" s="1"/>
  <c r="T1095" i="7"/>
  <c r="U1095" i="7" s="1"/>
  <c r="X1095" i="7" s="1"/>
  <c r="S1095" i="7"/>
  <c r="T1094" i="7"/>
  <c r="U1094" i="7" s="1"/>
  <c r="X1094" i="7" s="1"/>
  <c r="S1094" i="7"/>
  <c r="T1093" i="7"/>
  <c r="U1093" i="7" s="1"/>
  <c r="X1093" i="7" s="1"/>
  <c r="S1093" i="7"/>
  <c r="T1092" i="7"/>
  <c r="U1092" i="7" s="1"/>
  <c r="X1092" i="7" s="1"/>
  <c r="S1092" i="7"/>
  <c r="T1091" i="7"/>
  <c r="U1091" i="7" s="1"/>
  <c r="X1091" i="7" s="1"/>
  <c r="S1091" i="7"/>
  <c r="T1090" i="7"/>
  <c r="U1090" i="7" s="1"/>
  <c r="X1090" i="7" s="1"/>
  <c r="S1090" i="7"/>
  <c r="T1089" i="7"/>
  <c r="U1089" i="7" s="1"/>
  <c r="X1089" i="7" s="1"/>
  <c r="Y1089" i="7" s="1"/>
  <c r="Z1089" i="7" s="1"/>
  <c r="AA1089" i="7" s="1"/>
  <c r="S1089" i="7"/>
  <c r="AA1088" i="7"/>
  <c r="AB1088" i="7" s="1"/>
  <c r="AC1088" i="7" s="1"/>
  <c r="AD1088" i="7" s="1"/>
  <c r="AE1088" i="7" s="1"/>
  <c r="AF1088" i="7" s="1"/>
  <c r="AG1088" i="7" s="1"/>
  <c r="AH1088" i="7" s="1"/>
  <c r="S1088" i="7"/>
  <c r="S1087" i="7"/>
  <c r="AA1086" i="7"/>
  <c r="AB1086" i="7" s="1"/>
  <c r="AC1086" i="7" s="1"/>
  <c r="AD1086" i="7" s="1"/>
  <c r="AE1086" i="7" s="1"/>
  <c r="AF1086" i="7" s="1"/>
  <c r="AG1086" i="7" s="1"/>
  <c r="AH1086" i="7" s="1"/>
  <c r="S1086" i="7"/>
  <c r="AA1085" i="7"/>
  <c r="AB1085" i="7" s="1"/>
  <c r="AC1085" i="7" s="1"/>
  <c r="AD1085" i="7" s="1"/>
  <c r="AE1085" i="7" s="1"/>
  <c r="AF1085" i="7" s="1"/>
  <c r="AG1085" i="7" s="1"/>
  <c r="AH1085" i="7" s="1"/>
  <c r="R1085" i="7"/>
  <c r="AA1084" i="7"/>
  <c r="AB1084" i="7" s="1"/>
  <c r="AC1084" i="7" s="1"/>
  <c r="AD1084" i="7" s="1"/>
  <c r="AE1084" i="7" s="1"/>
  <c r="AF1084" i="7" s="1"/>
  <c r="AG1084" i="7" s="1"/>
  <c r="AH1084" i="7" s="1"/>
  <c r="R1084" i="7"/>
  <c r="Z1083" i="7"/>
  <c r="AA1083" i="7" s="1"/>
  <c r="AB1083" i="7" s="1"/>
  <c r="AC1083" i="7" s="1"/>
  <c r="AD1083" i="7" s="1"/>
  <c r="AE1083" i="7" s="1"/>
  <c r="AF1083" i="7" s="1"/>
  <c r="AG1083" i="7" s="1"/>
  <c r="AH1083" i="7" s="1"/>
  <c r="R1083" i="7"/>
  <c r="Z1082" i="7"/>
  <c r="AA1082" i="7" s="1"/>
  <c r="AB1082" i="7" s="1"/>
  <c r="AC1082" i="7" s="1"/>
  <c r="AD1082" i="7" s="1"/>
  <c r="AE1082" i="7" s="1"/>
  <c r="AF1082" i="7" s="1"/>
  <c r="AG1082" i="7" s="1"/>
  <c r="AH1082" i="7" s="1"/>
  <c r="R1082" i="7"/>
  <c r="Z1081" i="7"/>
  <c r="AA1081" i="7" s="1"/>
  <c r="AB1081" i="7" s="1"/>
  <c r="AC1081" i="7" s="1"/>
  <c r="AD1081" i="7" s="1"/>
  <c r="AE1081" i="7" s="1"/>
  <c r="AF1081" i="7" s="1"/>
  <c r="AG1081" i="7" s="1"/>
  <c r="AH1081" i="7" s="1"/>
  <c r="T1081" i="7"/>
  <c r="U1081" i="7" s="1"/>
  <c r="S1081" i="7"/>
  <c r="AA1080" i="7"/>
  <c r="AB1080" i="7" s="1"/>
  <c r="AC1080" i="7" s="1"/>
  <c r="AD1080" i="7" s="1"/>
  <c r="AE1080" i="7" s="1"/>
  <c r="AF1080" i="7" s="1"/>
  <c r="AG1080" i="7" s="1"/>
  <c r="AH1080" i="7" s="1"/>
  <c r="T1080" i="7"/>
  <c r="U1080" i="7" s="1"/>
  <c r="S1080" i="7"/>
  <c r="AA1079" i="7"/>
  <c r="AB1079" i="7" s="1"/>
  <c r="AC1079" i="7" s="1"/>
  <c r="AD1079" i="7" s="1"/>
  <c r="AE1079" i="7" s="1"/>
  <c r="AF1079" i="7" s="1"/>
  <c r="AG1079" i="7" s="1"/>
  <c r="AH1079" i="7" s="1"/>
  <c r="T1079" i="7"/>
  <c r="U1079" i="7" s="1"/>
  <c r="S1079" i="7"/>
  <c r="AA1078" i="7"/>
  <c r="AB1078" i="7" s="1"/>
  <c r="AC1078" i="7" s="1"/>
  <c r="AD1078" i="7" s="1"/>
  <c r="AE1078" i="7" s="1"/>
  <c r="AF1078" i="7" s="1"/>
  <c r="AG1078" i="7" s="1"/>
  <c r="AH1078" i="7" s="1"/>
  <c r="T1078" i="7"/>
  <c r="U1078" i="7" s="1"/>
  <c r="S1078" i="7"/>
  <c r="T1077" i="7"/>
  <c r="U1077" i="7" s="1"/>
  <c r="S1077" i="7"/>
  <c r="AA1076" i="7"/>
  <c r="AB1076" i="7" s="1"/>
  <c r="AC1076" i="7" s="1"/>
  <c r="AD1076" i="7" s="1"/>
  <c r="AE1076" i="7" s="1"/>
  <c r="AF1076" i="7" s="1"/>
  <c r="AG1076" i="7" s="1"/>
  <c r="AH1076" i="7" s="1"/>
  <c r="T1076" i="7"/>
  <c r="U1076" i="7" s="1"/>
  <c r="S1076" i="7"/>
  <c r="T1075" i="7"/>
  <c r="U1075" i="7" s="1"/>
  <c r="S1075" i="7"/>
  <c r="T1074" i="7"/>
  <c r="U1074" i="7" s="1"/>
  <c r="V1074" i="7" s="1"/>
  <c r="X1074" i="7" s="1"/>
  <c r="Y1074" i="7" s="1"/>
  <c r="Z1074" i="7" s="1"/>
  <c r="AA1074" i="7" s="1"/>
  <c r="S1074" i="7"/>
  <c r="T1073" i="7"/>
  <c r="U1073" i="7" s="1"/>
  <c r="S1073" i="7"/>
  <c r="AA1072" i="7"/>
  <c r="AB1072" i="7" s="1"/>
  <c r="AC1072" i="7" s="1"/>
  <c r="AD1072" i="7" s="1"/>
  <c r="AE1072" i="7" s="1"/>
  <c r="AF1072" i="7" s="1"/>
  <c r="AG1072" i="7" s="1"/>
  <c r="AH1072" i="7" s="1"/>
  <c r="T1072" i="7"/>
  <c r="U1072" i="7" s="1"/>
  <c r="S1072" i="7"/>
  <c r="AA1071" i="7"/>
  <c r="AB1071" i="7" s="1"/>
  <c r="AC1071" i="7" s="1"/>
  <c r="AD1071" i="7" s="1"/>
  <c r="AE1071" i="7" s="1"/>
  <c r="AF1071" i="7" s="1"/>
  <c r="AG1071" i="7" s="1"/>
  <c r="AH1071" i="7" s="1"/>
  <c r="T1071" i="7"/>
  <c r="U1071" i="7" s="1"/>
  <c r="S1071" i="7"/>
  <c r="AA1070" i="7"/>
  <c r="AB1070" i="7" s="1"/>
  <c r="AC1070" i="7" s="1"/>
  <c r="AD1070" i="7" s="1"/>
  <c r="AE1070" i="7" s="1"/>
  <c r="AF1070" i="7" s="1"/>
  <c r="AG1070" i="7" s="1"/>
  <c r="AH1070" i="7" s="1"/>
  <c r="T1070" i="7"/>
  <c r="U1070" i="7" s="1"/>
  <c r="S1070" i="7"/>
  <c r="AA1069" i="7"/>
  <c r="AB1069" i="7" s="1"/>
  <c r="AC1069" i="7" s="1"/>
  <c r="AD1069" i="7" s="1"/>
  <c r="AE1069" i="7" s="1"/>
  <c r="AF1069" i="7" s="1"/>
  <c r="AG1069" i="7" s="1"/>
  <c r="AH1069" i="7" s="1"/>
  <c r="T1069" i="7"/>
  <c r="U1069" i="7" s="1"/>
  <c r="S1069" i="7"/>
  <c r="T1068" i="7"/>
  <c r="U1068" i="7" s="1"/>
  <c r="V1068" i="7" s="1"/>
  <c r="X1068" i="7" s="1"/>
  <c r="Z1068" i="7" s="1"/>
  <c r="AA1068" i="7" s="1"/>
  <c r="S1068" i="7"/>
  <c r="T1067" i="7"/>
  <c r="U1067" i="7" s="1"/>
  <c r="V1067" i="7" s="1"/>
  <c r="X1067" i="7" s="1"/>
  <c r="S1067" i="7"/>
  <c r="T1066" i="7"/>
  <c r="U1066" i="7" s="1"/>
  <c r="V1066" i="7" s="1"/>
  <c r="X1066" i="7" s="1"/>
  <c r="Y1066" i="7" s="1"/>
  <c r="Z1066" i="7" s="1"/>
  <c r="AA1066" i="7" s="1"/>
  <c r="S1066" i="7"/>
  <c r="T1065" i="7"/>
  <c r="U1065" i="7" s="1"/>
  <c r="V1065" i="7" s="1"/>
  <c r="X1065" i="7" s="1"/>
  <c r="S1065" i="7"/>
  <c r="T1064" i="7"/>
  <c r="U1064" i="7" s="1"/>
  <c r="V1064" i="7" s="1"/>
  <c r="X1064" i="7" s="1"/>
  <c r="S1064" i="7"/>
  <c r="Z1063" i="7"/>
  <c r="AA1063" i="7" s="1"/>
  <c r="AB1063" i="7" s="1"/>
  <c r="AC1063" i="7" s="1"/>
  <c r="AD1063" i="7" s="1"/>
  <c r="AE1063" i="7" s="1"/>
  <c r="AF1063" i="7" s="1"/>
  <c r="AG1063" i="7" s="1"/>
  <c r="AH1063" i="7" s="1"/>
  <c r="T1063" i="7"/>
  <c r="U1063" i="7" s="1"/>
  <c r="V1063" i="7" s="1"/>
  <c r="X1063" i="7" s="1"/>
  <c r="S1063" i="7"/>
  <c r="Z1062" i="7"/>
  <c r="AA1062" i="7" s="1"/>
  <c r="AB1062" i="7" s="1"/>
  <c r="AC1062" i="7" s="1"/>
  <c r="AD1062" i="7" s="1"/>
  <c r="AE1062" i="7" s="1"/>
  <c r="AF1062" i="7" s="1"/>
  <c r="AG1062" i="7" s="1"/>
  <c r="AH1062" i="7" s="1"/>
  <c r="T1062" i="7"/>
  <c r="U1062" i="7" s="1"/>
  <c r="V1062" i="7" s="1"/>
  <c r="X1062" i="7" s="1"/>
  <c r="S1062" i="7"/>
  <c r="T1061" i="7"/>
  <c r="U1061" i="7" s="1"/>
  <c r="V1061" i="7" s="1"/>
  <c r="X1061" i="7" s="1"/>
  <c r="S1061" i="7"/>
  <c r="T1060" i="7"/>
  <c r="U1060" i="7" s="1"/>
  <c r="V1060" i="7" s="1"/>
  <c r="X1060" i="7" s="1"/>
  <c r="Z1060" i="7" s="1"/>
  <c r="AA1060" i="7" s="1"/>
  <c r="S1060" i="7"/>
  <c r="T1059" i="7"/>
  <c r="U1059" i="7" s="1"/>
  <c r="V1059" i="7" s="1"/>
  <c r="X1059" i="7" s="1"/>
  <c r="S1059" i="7"/>
  <c r="T1058" i="7"/>
  <c r="U1058" i="7" s="1"/>
  <c r="V1058" i="7" s="1"/>
  <c r="X1058" i="7" s="1"/>
  <c r="S1058" i="7"/>
  <c r="T1057" i="7"/>
  <c r="U1057" i="7" s="1"/>
  <c r="V1057" i="7" s="1"/>
  <c r="X1057" i="7" s="1"/>
  <c r="S1057" i="7"/>
  <c r="T1056" i="7"/>
  <c r="U1056" i="7" s="1"/>
  <c r="V1056" i="7" s="1"/>
  <c r="X1056" i="7" s="1"/>
  <c r="S1056" i="7"/>
  <c r="T1055" i="7"/>
  <c r="U1055" i="7" s="1"/>
  <c r="X1055" i="7" s="1"/>
  <c r="S1055" i="7"/>
  <c r="T1054" i="7"/>
  <c r="U1054" i="7" s="1"/>
  <c r="X1054" i="7" s="1"/>
  <c r="S1054" i="7"/>
  <c r="T1053" i="7"/>
  <c r="U1053" i="7" s="1"/>
  <c r="X1053" i="7" s="1"/>
  <c r="S1053" i="7"/>
  <c r="T1052" i="7"/>
  <c r="U1052" i="7" s="1"/>
  <c r="X1052" i="7" s="1"/>
  <c r="S1052" i="7"/>
  <c r="T1051" i="7"/>
  <c r="U1051" i="7" s="1"/>
  <c r="X1051" i="7" s="1"/>
  <c r="S1051" i="7"/>
  <c r="T1050" i="7"/>
  <c r="U1050" i="7" s="1"/>
  <c r="X1050" i="7" s="1"/>
  <c r="S1050" i="7"/>
  <c r="T1049" i="7"/>
  <c r="U1049" i="7" s="1"/>
  <c r="X1049" i="7" s="1"/>
  <c r="S1049" i="7"/>
  <c r="T1048" i="7"/>
  <c r="U1048" i="7" s="1"/>
  <c r="X1048" i="7" s="1"/>
  <c r="S1048" i="7"/>
  <c r="T1047" i="7"/>
  <c r="U1047" i="7" s="1"/>
  <c r="X1047" i="7" s="1"/>
  <c r="Z1047" i="7" s="1"/>
  <c r="AA1047" i="7" s="1"/>
  <c r="S1047" i="7"/>
  <c r="T1046" i="7"/>
  <c r="U1046" i="7" s="1"/>
  <c r="X1046" i="7" s="1"/>
  <c r="Y1046" i="7" s="1"/>
  <c r="Z1046" i="7" s="1"/>
  <c r="AA1046" i="7" s="1"/>
  <c r="S1046" i="7"/>
  <c r="T1045" i="7"/>
  <c r="U1045" i="7" s="1"/>
  <c r="X1045" i="7" s="1"/>
  <c r="Y1045" i="7" s="1"/>
  <c r="Z1045" i="7" s="1"/>
  <c r="AA1045" i="7" s="1"/>
  <c r="S1045" i="7"/>
  <c r="Z1044" i="7"/>
  <c r="AA1044" i="7" s="1"/>
  <c r="AB1044" i="7" s="1"/>
  <c r="AC1044" i="7" s="1"/>
  <c r="AD1044" i="7" s="1"/>
  <c r="AE1044" i="7" s="1"/>
  <c r="AF1044" i="7" s="1"/>
  <c r="AG1044" i="7" s="1"/>
  <c r="AH1044" i="7" s="1"/>
  <c r="T1044" i="7"/>
  <c r="U1044" i="7" s="1"/>
  <c r="X1044" i="7" s="1"/>
  <c r="S1044" i="7"/>
  <c r="Z1043" i="7"/>
  <c r="AA1043" i="7" s="1"/>
  <c r="AB1043" i="7" s="1"/>
  <c r="AC1043" i="7" s="1"/>
  <c r="AD1043" i="7" s="1"/>
  <c r="AE1043" i="7" s="1"/>
  <c r="AF1043" i="7" s="1"/>
  <c r="AG1043" i="7" s="1"/>
  <c r="AH1043" i="7" s="1"/>
  <c r="T1043" i="7"/>
  <c r="U1043" i="7" s="1"/>
  <c r="X1043" i="7" s="1"/>
  <c r="S1043" i="7"/>
  <c r="T1042" i="7"/>
  <c r="U1042" i="7" s="1"/>
  <c r="X1042" i="7" s="1"/>
  <c r="S1042" i="7"/>
  <c r="T1041" i="7"/>
  <c r="U1041" i="7" s="1"/>
  <c r="X1041" i="7" s="1"/>
  <c r="Y1041" i="7" s="1"/>
  <c r="Z1041" i="7" s="1"/>
  <c r="AA1041" i="7" s="1"/>
  <c r="S1041" i="7"/>
  <c r="T1040" i="7"/>
  <c r="U1040" i="7" s="1"/>
  <c r="X1040" i="7" s="1"/>
  <c r="S1040" i="7"/>
  <c r="T1039" i="7"/>
  <c r="U1039" i="7" s="1"/>
  <c r="X1039" i="7" s="1"/>
  <c r="S1039" i="7"/>
  <c r="T1038" i="7"/>
  <c r="U1038" i="7" s="1"/>
  <c r="X1038" i="7" s="1"/>
  <c r="S1038" i="7"/>
  <c r="X1037" i="7"/>
  <c r="S1037" i="7"/>
  <c r="X1036" i="7"/>
  <c r="T1036" i="7"/>
  <c r="U1036" i="7" s="1"/>
  <c r="S1036" i="7"/>
  <c r="T1035" i="7"/>
  <c r="U1035" i="7" s="1"/>
  <c r="V1035" i="7" s="1"/>
  <c r="X1035" i="7" s="1"/>
  <c r="S1035" i="7"/>
  <c r="T1034" i="7"/>
  <c r="U1034" i="7" s="1"/>
  <c r="X1034" i="7" s="1"/>
  <c r="S1034" i="7"/>
  <c r="T1033" i="7"/>
  <c r="U1033" i="7" s="1"/>
  <c r="X1033" i="7" s="1"/>
  <c r="S1033" i="7"/>
  <c r="T1032" i="7"/>
  <c r="U1032" i="7" s="1"/>
  <c r="X1032" i="7" s="1"/>
  <c r="S1032" i="7"/>
  <c r="T1031" i="7"/>
  <c r="U1031" i="7" s="1"/>
  <c r="X1031" i="7" s="1"/>
  <c r="S1031" i="7"/>
  <c r="T1030" i="7"/>
  <c r="U1030" i="7" s="1"/>
  <c r="X1030" i="7" s="1"/>
  <c r="S1030" i="7"/>
  <c r="Z1029" i="7"/>
  <c r="AA1029" i="7" s="1"/>
  <c r="AB1029" i="7" s="1"/>
  <c r="AC1029" i="7" s="1"/>
  <c r="AD1029" i="7" s="1"/>
  <c r="AE1029" i="7" s="1"/>
  <c r="AF1029" i="7" s="1"/>
  <c r="AG1029" i="7" s="1"/>
  <c r="AH1029" i="7" s="1"/>
  <c r="T1029" i="7"/>
  <c r="S1029" i="7"/>
  <c r="R1028" i="7"/>
  <c r="AA1027" i="7"/>
  <c r="AB1027" i="7" s="1"/>
  <c r="AC1027" i="7" s="1"/>
  <c r="AD1027" i="7" s="1"/>
  <c r="AE1027" i="7" s="1"/>
  <c r="AF1027" i="7" s="1"/>
  <c r="AG1027" i="7" s="1"/>
  <c r="AH1027" i="7" s="1"/>
  <c r="R1027" i="7"/>
  <c r="R1026" i="7"/>
  <c r="AA1025" i="7"/>
  <c r="AB1025" i="7" s="1"/>
  <c r="AC1025" i="7" s="1"/>
  <c r="AD1025" i="7" s="1"/>
  <c r="AE1025" i="7" s="1"/>
  <c r="AF1025" i="7" s="1"/>
  <c r="AG1025" i="7" s="1"/>
  <c r="AH1025" i="7" s="1"/>
  <c r="T1025" i="7"/>
  <c r="U1025" i="7" s="1"/>
  <c r="S1025" i="7"/>
  <c r="AA1024" i="7"/>
  <c r="AB1024" i="7" s="1"/>
  <c r="AC1024" i="7" s="1"/>
  <c r="AD1024" i="7" s="1"/>
  <c r="AE1024" i="7" s="1"/>
  <c r="AF1024" i="7" s="1"/>
  <c r="AG1024" i="7" s="1"/>
  <c r="AH1024" i="7" s="1"/>
  <c r="T1024" i="7"/>
  <c r="U1024" i="7" s="1"/>
  <c r="S1024" i="7"/>
  <c r="T1023" i="7"/>
  <c r="U1023" i="7" s="1"/>
  <c r="S1023" i="7"/>
  <c r="AA1022" i="7"/>
  <c r="AB1022" i="7" s="1"/>
  <c r="AC1022" i="7" s="1"/>
  <c r="AD1022" i="7" s="1"/>
  <c r="AE1022" i="7" s="1"/>
  <c r="AF1022" i="7" s="1"/>
  <c r="AG1022" i="7" s="1"/>
  <c r="AH1022" i="7" s="1"/>
  <c r="T1022" i="7"/>
  <c r="U1022" i="7" s="1"/>
  <c r="S1022" i="7"/>
  <c r="T1021" i="7"/>
  <c r="U1021" i="7" s="1"/>
  <c r="V1021" i="7" s="1"/>
  <c r="X1021" i="7" s="1"/>
  <c r="Y1021" i="7" s="1"/>
  <c r="Z1021" i="7" s="1"/>
  <c r="AA1021" i="7" s="1"/>
  <c r="S1021" i="7"/>
  <c r="AA1020" i="7"/>
  <c r="AB1020" i="7" s="1"/>
  <c r="AC1020" i="7" s="1"/>
  <c r="AD1020" i="7" s="1"/>
  <c r="AE1020" i="7" s="1"/>
  <c r="AF1020" i="7" s="1"/>
  <c r="AG1020" i="7" s="1"/>
  <c r="AH1020" i="7" s="1"/>
  <c r="T1020" i="7"/>
  <c r="U1020" i="7" s="1"/>
  <c r="V1020" i="7" s="1"/>
  <c r="X1020" i="7" s="1"/>
  <c r="S1020" i="7"/>
  <c r="V1019" i="7"/>
  <c r="X1019" i="7" s="1"/>
  <c r="T1019" i="7"/>
  <c r="S1019" i="7"/>
  <c r="V1018" i="7"/>
  <c r="X1018" i="7" s="1"/>
  <c r="T1018" i="7"/>
  <c r="S1018" i="7"/>
  <c r="V1017" i="7"/>
  <c r="X1017" i="7" s="1"/>
  <c r="T1017" i="7"/>
  <c r="S1017" i="7"/>
  <c r="V1016" i="7"/>
  <c r="X1016" i="7" s="1"/>
  <c r="T1016" i="7"/>
  <c r="S1016" i="7"/>
  <c r="T1015" i="7"/>
  <c r="U1015" i="7" s="1"/>
  <c r="X1015" i="7" s="1"/>
  <c r="AA1015" i="7" s="1"/>
  <c r="S1015" i="7"/>
  <c r="T1014" i="7"/>
  <c r="U1014" i="7" s="1"/>
  <c r="X1014" i="7" s="1"/>
  <c r="AA1014" i="7" s="1"/>
  <c r="S1014" i="7"/>
  <c r="T1013" i="7"/>
  <c r="U1013" i="7" s="1"/>
  <c r="X1013" i="7" s="1"/>
  <c r="AA1013" i="7" s="1"/>
  <c r="S1013" i="7"/>
  <c r="T1012" i="7"/>
  <c r="U1012" i="7" s="1"/>
  <c r="X1012" i="7" s="1"/>
  <c r="AA1012" i="7" s="1"/>
  <c r="S1012" i="7"/>
  <c r="S1011" i="7"/>
  <c r="S1010" i="7"/>
  <c r="AA1009" i="7"/>
  <c r="AB1009" i="7" s="1"/>
  <c r="AC1009" i="7" s="1"/>
  <c r="AD1009" i="7" s="1"/>
  <c r="AE1009" i="7" s="1"/>
  <c r="AF1009" i="7" s="1"/>
  <c r="AG1009" i="7" s="1"/>
  <c r="AH1009" i="7" s="1"/>
  <c r="S1009" i="7"/>
  <c r="S1008" i="7"/>
  <c r="S1007" i="7"/>
  <c r="S1006" i="7"/>
  <c r="S1005" i="7"/>
  <c r="S1004" i="7"/>
  <c r="R1003" i="7"/>
  <c r="R1002" i="7"/>
  <c r="R1001" i="7"/>
  <c r="R1000" i="7"/>
  <c r="T999" i="7"/>
  <c r="U999" i="7" s="1"/>
  <c r="V999" i="7" s="1"/>
  <c r="X999" i="7" s="1"/>
  <c r="Z999" i="7" s="1"/>
  <c r="AA999" i="7" s="1"/>
  <c r="S999" i="7"/>
  <c r="T998" i="7"/>
  <c r="U998" i="7" s="1"/>
  <c r="V998" i="7" s="1"/>
  <c r="X998" i="7" s="1"/>
  <c r="S998" i="7"/>
  <c r="T997" i="7"/>
  <c r="U997" i="7" s="1"/>
  <c r="V997" i="7" s="1"/>
  <c r="X997" i="7" s="1"/>
  <c r="Y997" i="7" s="1"/>
  <c r="Z997" i="7" s="1"/>
  <c r="AA997" i="7" s="1"/>
  <c r="S997" i="7"/>
  <c r="T996" i="7"/>
  <c r="U996" i="7" s="1"/>
  <c r="V996" i="7" s="1"/>
  <c r="X996" i="7" s="1"/>
  <c r="Y996" i="7" s="1"/>
  <c r="Z996" i="7" s="1"/>
  <c r="AA996" i="7" s="1"/>
  <c r="S996" i="7"/>
  <c r="S995" i="7"/>
  <c r="AC994" i="7"/>
  <c r="AD994" i="7" s="1"/>
  <c r="AE994" i="7" s="1"/>
  <c r="AF994" i="7" s="1"/>
  <c r="AG994" i="7" s="1"/>
  <c r="AH994" i="7" s="1"/>
  <c r="AA994" i="7"/>
  <c r="S994" i="7"/>
  <c r="S993" i="7"/>
  <c r="S992" i="7"/>
  <c r="AA991" i="7"/>
  <c r="AB991" i="7" s="1"/>
  <c r="AC991" i="7" s="1"/>
  <c r="AD991" i="7" s="1"/>
  <c r="AE991" i="7" s="1"/>
  <c r="AF991" i="7" s="1"/>
  <c r="AG991" i="7" s="1"/>
  <c r="AH991" i="7" s="1"/>
  <c r="S991" i="7"/>
  <c r="R990" i="7"/>
  <c r="R989" i="7"/>
  <c r="T988" i="7"/>
  <c r="U988" i="7" s="1"/>
  <c r="X988" i="7" s="1"/>
  <c r="Z988" i="7" s="1"/>
  <c r="AA988" i="7" s="1"/>
  <c r="S988" i="7"/>
  <c r="T987" i="7"/>
  <c r="U987" i="7" s="1"/>
  <c r="X987" i="7" s="1"/>
  <c r="Z987" i="7" s="1"/>
  <c r="AA987" i="7" s="1"/>
  <c r="S987" i="7"/>
  <c r="T986" i="7"/>
  <c r="U986" i="7" s="1"/>
  <c r="X986" i="7" s="1"/>
  <c r="S986" i="7"/>
  <c r="AA985" i="7"/>
  <c r="AB985" i="7" s="1"/>
  <c r="AC985" i="7" s="1"/>
  <c r="AD985" i="7" s="1"/>
  <c r="AE985" i="7" s="1"/>
  <c r="AF985" i="7" s="1"/>
  <c r="AG985" i="7" s="1"/>
  <c r="AH985" i="7" s="1"/>
  <c r="T985" i="7"/>
  <c r="U985" i="7" s="1"/>
  <c r="X985" i="7" s="1"/>
  <c r="S985" i="7"/>
  <c r="AA984" i="7"/>
  <c r="AB984" i="7" s="1"/>
  <c r="AC984" i="7" s="1"/>
  <c r="AD984" i="7" s="1"/>
  <c r="AE984" i="7" s="1"/>
  <c r="AF984" i="7" s="1"/>
  <c r="AG984" i="7" s="1"/>
  <c r="AH984" i="7" s="1"/>
  <c r="T984" i="7"/>
  <c r="U984" i="7" s="1"/>
  <c r="X984" i="7" s="1"/>
  <c r="S984" i="7"/>
  <c r="T983" i="7"/>
  <c r="U983" i="7" s="1"/>
  <c r="X983" i="7" s="1"/>
  <c r="Z983" i="7" s="1"/>
  <c r="AA983" i="7" s="1"/>
  <c r="S983" i="7"/>
  <c r="T982" i="7"/>
  <c r="U982" i="7" s="1"/>
  <c r="X982" i="7" s="1"/>
  <c r="Y982" i="7" s="1"/>
  <c r="Z982" i="7" s="1"/>
  <c r="AA982" i="7" s="1"/>
  <c r="S982" i="7"/>
  <c r="T981" i="7"/>
  <c r="U981" i="7" s="1"/>
  <c r="X981" i="7" s="1"/>
  <c r="S981" i="7"/>
  <c r="T980" i="7"/>
  <c r="U980" i="7" s="1"/>
  <c r="X980" i="7" s="1"/>
  <c r="Z980" i="7" s="1"/>
  <c r="AA980" i="7" s="1"/>
  <c r="S980" i="7"/>
  <c r="T979" i="7"/>
  <c r="U979" i="7" s="1"/>
  <c r="X979" i="7" s="1"/>
  <c r="Y979" i="7" s="1"/>
  <c r="Z979" i="7" s="1"/>
  <c r="AA979" i="7" s="1"/>
  <c r="S979" i="7"/>
  <c r="T978" i="7"/>
  <c r="U978" i="7" s="1"/>
  <c r="X978" i="7" s="1"/>
  <c r="S978" i="7"/>
  <c r="T977" i="7"/>
  <c r="U977" i="7" s="1"/>
  <c r="X977" i="7" s="1"/>
  <c r="Y977" i="7" s="1"/>
  <c r="Z977" i="7" s="1"/>
  <c r="AA977" i="7" s="1"/>
  <c r="S977" i="7"/>
  <c r="T976" i="7"/>
  <c r="U976" i="7" s="1"/>
  <c r="X976" i="7" s="1"/>
  <c r="Z976" i="7" s="1"/>
  <c r="AA976" i="7" s="1"/>
  <c r="S976" i="7"/>
  <c r="T975" i="7"/>
  <c r="U975" i="7" s="1"/>
  <c r="X975" i="7" s="1"/>
  <c r="Y975" i="7" s="1"/>
  <c r="Z975" i="7" s="1"/>
  <c r="AA975" i="7" s="1"/>
  <c r="S975" i="7"/>
  <c r="T974" i="7"/>
  <c r="U974" i="7" s="1"/>
  <c r="X974" i="7" s="1"/>
  <c r="S974" i="7"/>
  <c r="T973" i="7"/>
  <c r="U973" i="7" s="1"/>
  <c r="X973" i="7" s="1"/>
  <c r="Y973" i="7" s="1"/>
  <c r="Z973" i="7" s="1"/>
  <c r="AA973" i="7" s="1"/>
  <c r="S973" i="7"/>
  <c r="T972" i="7"/>
  <c r="U972" i="7" s="1"/>
  <c r="X972" i="7" s="1"/>
  <c r="S972" i="7"/>
  <c r="T971" i="7"/>
  <c r="U971" i="7" s="1"/>
  <c r="X971" i="7" s="1"/>
  <c r="S971" i="7"/>
  <c r="T970" i="7"/>
  <c r="U970" i="7" s="1"/>
  <c r="X970" i="7" s="1"/>
  <c r="Y970" i="7" s="1"/>
  <c r="Z970" i="7" s="1"/>
  <c r="AA970" i="7" s="1"/>
  <c r="S970" i="7"/>
  <c r="S969" i="7"/>
  <c r="S968" i="7"/>
  <c r="S967" i="7"/>
  <c r="S966" i="7"/>
  <c r="S965" i="7"/>
  <c r="S964" i="7"/>
  <c r="S963" i="7"/>
  <c r="S962" i="7"/>
  <c r="AA961" i="7"/>
  <c r="AB961" i="7" s="1"/>
  <c r="AC961" i="7" s="1"/>
  <c r="AD961" i="7" s="1"/>
  <c r="AE961" i="7" s="1"/>
  <c r="AF961" i="7" s="1"/>
  <c r="AG961" i="7" s="1"/>
  <c r="AH961" i="7" s="1"/>
  <c r="S961" i="7"/>
  <c r="S960" i="7"/>
  <c r="S953" i="7"/>
  <c r="S952" i="7"/>
  <c r="AC951" i="7"/>
  <c r="AD951" i="7" s="1"/>
  <c r="AE951" i="7" s="1"/>
  <c r="AF951" i="7" s="1"/>
  <c r="AG951" i="7" s="1"/>
  <c r="AH951" i="7" s="1"/>
  <c r="Z951" i="7"/>
  <c r="AA951" i="7" s="1"/>
  <c r="S951" i="7"/>
  <c r="AC950" i="7"/>
  <c r="AD950" i="7" s="1"/>
  <c r="AE950" i="7" s="1"/>
  <c r="AF950" i="7" s="1"/>
  <c r="AG950" i="7" s="1"/>
  <c r="AH950" i="7" s="1"/>
  <c r="Z950" i="7"/>
  <c r="AA950" i="7" s="1"/>
  <c r="X950" i="7"/>
  <c r="S950" i="7"/>
  <c r="X949" i="7"/>
  <c r="S949" i="7"/>
  <c r="T948" i="7"/>
  <c r="U948" i="7" s="1"/>
  <c r="X948" i="7" s="1"/>
  <c r="Z948" i="7" s="1"/>
  <c r="AA948" i="7" s="1"/>
  <c r="S948" i="7"/>
  <c r="T947" i="7"/>
  <c r="U947" i="7" s="1"/>
  <c r="X947" i="7" s="1"/>
  <c r="Y947" i="7" s="1"/>
  <c r="Z947" i="7" s="1"/>
  <c r="AA947" i="7" s="1"/>
  <c r="S947" i="7"/>
  <c r="T946" i="7"/>
  <c r="U946" i="7" s="1"/>
  <c r="X946" i="7" s="1"/>
  <c r="Y946" i="7" s="1"/>
  <c r="Z946" i="7" s="1"/>
  <c r="AA946" i="7" s="1"/>
  <c r="S946" i="7"/>
  <c r="T945" i="7"/>
  <c r="U945" i="7" s="1"/>
  <c r="X945" i="7" s="1"/>
  <c r="Y945" i="7" s="1"/>
  <c r="Z945" i="7" s="1"/>
  <c r="AA945" i="7" s="1"/>
  <c r="S945" i="7"/>
  <c r="Z944" i="7"/>
  <c r="AA944" i="7" s="1"/>
  <c r="AB944" i="7" s="1"/>
  <c r="AC944" i="7" s="1"/>
  <c r="AD944" i="7" s="1"/>
  <c r="AE944" i="7" s="1"/>
  <c r="AF944" i="7" s="1"/>
  <c r="AG944" i="7" s="1"/>
  <c r="AH944" i="7" s="1"/>
  <c r="T944" i="7"/>
  <c r="U944" i="7" s="1"/>
  <c r="X944" i="7" s="1"/>
  <c r="S944" i="7"/>
  <c r="AC943" i="7"/>
  <c r="AD943" i="7" s="1"/>
  <c r="AE943" i="7" s="1"/>
  <c r="AF943" i="7" s="1"/>
  <c r="AG943" i="7" s="1"/>
  <c r="AH943" i="7" s="1"/>
  <c r="T943" i="7"/>
  <c r="U943" i="7" s="1"/>
  <c r="X943" i="7" s="1"/>
  <c r="S943" i="7"/>
  <c r="T942" i="7"/>
  <c r="U942" i="7" s="1"/>
  <c r="X942" i="7" s="1"/>
  <c r="Y942" i="7" s="1"/>
  <c r="Z942" i="7" s="1"/>
  <c r="AA942" i="7" s="1"/>
  <c r="S942" i="7"/>
  <c r="AC941" i="7"/>
  <c r="AD941" i="7" s="1"/>
  <c r="AE941" i="7" s="1"/>
  <c r="AF941" i="7" s="1"/>
  <c r="AG941" i="7" s="1"/>
  <c r="AH941" i="7" s="1"/>
  <c r="T941" i="7"/>
  <c r="U941" i="7" s="1"/>
  <c r="X941" i="7" s="1"/>
  <c r="S941" i="7"/>
  <c r="AC940" i="7"/>
  <c r="AD940" i="7" s="1"/>
  <c r="AE940" i="7" s="1"/>
  <c r="AF940" i="7" s="1"/>
  <c r="AG940" i="7" s="1"/>
  <c r="AH940" i="7" s="1"/>
  <c r="T940" i="7"/>
  <c r="U940" i="7" s="1"/>
  <c r="X940" i="7" s="1"/>
  <c r="S940" i="7"/>
  <c r="T939" i="7"/>
  <c r="U939" i="7" s="1"/>
  <c r="X939" i="7" s="1"/>
  <c r="Y939" i="7" s="1"/>
  <c r="Z939" i="7" s="1"/>
  <c r="AA939" i="7" s="1"/>
  <c r="S939" i="7"/>
  <c r="T938" i="7"/>
  <c r="U938" i="7" s="1"/>
  <c r="X938" i="7" s="1"/>
  <c r="S938" i="7"/>
  <c r="AC937" i="7"/>
  <c r="AD937" i="7" s="1"/>
  <c r="AE937" i="7" s="1"/>
  <c r="AF937" i="7" s="1"/>
  <c r="AG937" i="7" s="1"/>
  <c r="AH937" i="7" s="1"/>
  <c r="T937" i="7"/>
  <c r="U937" i="7" s="1"/>
  <c r="X937" i="7" s="1"/>
  <c r="S937" i="7"/>
  <c r="T936" i="7"/>
  <c r="U936" i="7" s="1"/>
  <c r="X936" i="7" s="1"/>
  <c r="Y936" i="7" s="1"/>
  <c r="Z936" i="7" s="1"/>
  <c r="AA936" i="7" s="1"/>
  <c r="S936" i="7"/>
  <c r="T935" i="7"/>
  <c r="U935" i="7" s="1"/>
  <c r="X935" i="7" s="1"/>
  <c r="S935" i="7"/>
  <c r="T934" i="7"/>
  <c r="U934" i="7" s="1"/>
  <c r="X934" i="7" s="1"/>
  <c r="Y934" i="7" s="1"/>
  <c r="Z934" i="7" s="1"/>
  <c r="AA934" i="7" s="1"/>
  <c r="S934" i="7"/>
  <c r="T933" i="7"/>
  <c r="U933" i="7" s="1"/>
  <c r="S933" i="7"/>
  <c r="T932" i="7"/>
  <c r="U932" i="7" s="1"/>
  <c r="S932" i="7"/>
  <c r="AA931" i="7"/>
  <c r="AB931" i="7" s="1"/>
  <c r="AC931" i="7" s="1"/>
  <c r="AD931" i="7" s="1"/>
  <c r="AE931" i="7" s="1"/>
  <c r="AF931" i="7" s="1"/>
  <c r="AG931" i="7" s="1"/>
  <c r="AH931" i="7" s="1"/>
  <c r="T931" i="7"/>
  <c r="U931" i="7" s="1"/>
  <c r="V931" i="7" s="1"/>
  <c r="X931" i="7" s="1"/>
  <c r="S931" i="7"/>
  <c r="AA930" i="7"/>
  <c r="AB930" i="7" s="1"/>
  <c r="AC930" i="7" s="1"/>
  <c r="AD930" i="7" s="1"/>
  <c r="AE930" i="7" s="1"/>
  <c r="AF930" i="7" s="1"/>
  <c r="AG930" i="7" s="1"/>
  <c r="AH930" i="7" s="1"/>
  <c r="T930" i="7"/>
  <c r="U930" i="7" s="1"/>
  <c r="V930" i="7" s="1"/>
  <c r="X930" i="7" s="1"/>
  <c r="S930" i="7"/>
  <c r="T929" i="7"/>
  <c r="U929" i="7" s="1"/>
  <c r="S929" i="7"/>
  <c r="T928" i="7"/>
  <c r="U928" i="7" s="1"/>
  <c r="S928" i="7"/>
  <c r="T927" i="7"/>
  <c r="U927" i="7" s="1"/>
  <c r="S927" i="7"/>
  <c r="T926" i="7"/>
  <c r="U926" i="7" s="1"/>
  <c r="S926" i="7"/>
  <c r="T925" i="7"/>
  <c r="U925" i="7" s="1"/>
  <c r="S925" i="7"/>
  <c r="T924" i="7"/>
  <c r="U924" i="7" s="1"/>
  <c r="S924" i="7"/>
  <c r="Z923" i="7"/>
  <c r="AA923" i="7" s="1"/>
  <c r="AB923" i="7" s="1"/>
  <c r="AC923" i="7" s="1"/>
  <c r="AD923" i="7" s="1"/>
  <c r="AE923" i="7" s="1"/>
  <c r="AF923" i="7" s="1"/>
  <c r="AG923" i="7" s="1"/>
  <c r="AH923" i="7" s="1"/>
  <c r="T923" i="7"/>
  <c r="U923" i="7" s="1"/>
  <c r="S923" i="7"/>
  <c r="T922" i="7"/>
  <c r="U922" i="7" s="1"/>
  <c r="S922" i="7"/>
  <c r="T921" i="7"/>
  <c r="U921" i="7" s="1"/>
  <c r="V921" i="7" s="1"/>
  <c r="X921" i="7" s="1"/>
  <c r="Y921" i="7" s="1"/>
  <c r="Z921" i="7" s="1"/>
  <c r="AA921" i="7" s="1"/>
  <c r="S921" i="7"/>
  <c r="T920" i="7"/>
  <c r="U920" i="7" s="1"/>
  <c r="V920" i="7" s="1"/>
  <c r="X920" i="7" s="1"/>
  <c r="Y920" i="7" s="1"/>
  <c r="Z920" i="7" s="1"/>
  <c r="AA920" i="7" s="1"/>
  <c r="S920" i="7"/>
  <c r="AC919" i="7"/>
  <c r="AD919" i="7" s="1"/>
  <c r="AE919" i="7" s="1"/>
  <c r="AF919" i="7" s="1"/>
  <c r="AG919" i="7" s="1"/>
  <c r="AH919" i="7" s="1"/>
  <c r="AA919" i="7"/>
  <c r="U919" i="7"/>
  <c r="X919" i="7" s="1"/>
  <c r="S919" i="7"/>
  <c r="T918" i="7"/>
  <c r="U918" i="7" s="1"/>
  <c r="X918" i="7" s="1"/>
  <c r="Y918" i="7" s="1"/>
  <c r="S918" i="7"/>
  <c r="T917" i="7"/>
  <c r="U917" i="7" s="1"/>
  <c r="X917" i="7" s="1"/>
  <c r="Z917" i="7" s="1"/>
  <c r="AA917" i="7" s="1"/>
  <c r="S917" i="7"/>
  <c r="T916" i="7"/>
  <c r="U916" i="7" s="1"/>
  <c r="X916" i="7" s="1"/>
  <c r="Z916" i="7" s="1"/>
  <c r="AA916" i="7" s="1"/>
  <c r="S916" i="7"/>
  <c r="AC915" i="7"/>
  <c r="AD915" i="7" s="1"/>
  <c r="AE915" i="7" s="1"/>
  <c r="AF915" i="7" s="1"/>
  <c r="AG915" i="7" s="1"/>
  <c r="AH915" i="7" s="1"/>
  <c r="T915" i="7"/>
  <c r="U915" i="7" s="1"/>
  <c r="X915" i="7" s="1"/>
  <c r="S915" i="7"/>
  <c r="U914" i="7"/>
  <c r="X914" i="7" s="1"/>
  <c r="S914" i="7"/>
  <c r="U913" i="7"/>
  <c r="X913" i="7" s="1"/>
  <c r="S913" i="7"/>
  <c r="U912" i="7"/>
  <c r="X912" i="7" s="1"/>
  <c r="S912" i="7"/>
  <c r="T911" i="7"/>
  <c r="U911" i="7" s="1"/>
  <c r="S911" i="7"/>
  <c r="T910" i="7"/>
  <c r="U910" i="7" s="1"/>
  <c r="S910" i="7"/>
  <c r="T909" i="7"/>
  <c r="U909" i="7" s="1"/>
  <c r="S909" i="7"/>
  <c r="T908" i="7"/>
  <c r="U908" i="7" s="1"/>
  <c r="S908" i="7"/>
  <c r="T907" i="7"/>
  <c r="U907" i="7" s="1"/>
  <c r="S907" i="7"/>
  <c r="Z906" i="7"/>
  <c r="AA906" i="7" s="1"/>
  <c r="AB906" i="7" s="1"/>
  <c r="AC906" i="7" s="1"/>
  <c r="AD906" i="7" s="1"/>
  <c r="AE906" i="7" s="1"/>
  <c r="AF906" i="7" s="1"/>
  <c r="AG906" i="7" s="1"/>
  <c r="AH906" i="7" s="1"/>
  <c r="T906" i="7"/>
  <c r="U906" i="7" s="1"/>
  <c r="S906" i="7"/>
  <c r="Z905" i="7"/>
  <c r="AA905" i="7" s="1"/>
  <c r="AB905" i="7" s="1"/>
  <c r="AC905" i="7" s="1"/>
  <c r="AD905" i="7" s="1"/>
  <c r="AE905" i="7" s="1"/>
  <c r="AF905" i="7" s="1"/>
  <c r="AG905" i="7" s="1"/>
  <c r="AH905" i="7" s="1"/>
  <c r="T905" i="7"/>
  <c r="U905" i="7" s="1"/>
  <c r="S905" i="7"/>
  <c r="T904" i="7"/>
  <c r="U904" i="7" s="1"/>
  <c r="S904" i="7"/>
  <c r="T903" i="7"/>
  <c r="U903" i="7" s="1"/>
  <c r="S903" i="7"/>
  <c r="Z902" i="7"/>
  <c r="AA902" i="7" s="1"/>
  <c r="AB902" i="7" s="1"/>
  <c r="AC902" i="7" s="1"/>
  <c r="AD902" i="7" s="1"/>
  <c r="AE902" i="7" s="1"/>
  <c r="AF902" i="7" s="1"/>
  <c r="AG902" i="7" s="1"/>
  <c r="AH902" i="7" s="1"/>
  <c r="T902" i="7"/>
  <c r="U902" i="7" s="1"/>
  <c r="S902" i="7"/>
  <c r="T901" i="7"/>
  <c r="U901" i="7" s="1"/>
  <c r="S901" i="7"/>
  <c r="AC900" i="7"/>
  <c r="AD900" i="7" s="1"/>
  <c r="T900" i="7"/>
  <c r="U900" i="7" s="1"/>
  <c r="S900" i="7"/>
  <c r="T899" i="7"/>
  <c r="U899" i="7" s="1"/>
  <c r="S899" i="7"/>
  <c r="T898" i="7"/>
  <c r="U898" i="7" s="1"/>
  <c r="S898" i="7"/>
  <c r="T897" i="7"/>
  <c r="U897" i="7" s="1"/>
  <c r="S897" i="7"/>
  <c r="T896" i="7"/>
  <c r="U896" i="7" s="1"/>
  <c r="S896" i="7"/>
  <c r="Z895" i="7"/>
  <c r="AA895" i="7" s="1"/>
  <c r="AB895" i="7" s="1"/>
  <c r="AC895" i="7" s="1"/>
  <c r="AD895" i="7" s="1"/>
  <c r="AE895" i="7" s="1"/>
  <c r="AF895" i="7" s="1"/>
  <c r="AG895" i="7" s="1"/>
  <c r="AH895" i="7" s="1"/>
  <c r="T895" i="7"/>
  <c r="U895" i="7" s="1"/>
  <c r="S895" i="7"/>
  <c r="T894" i="7"/>
  <c r="U894" i="7" s="1"/>
  <c r="S894" i="7"/>
  <c r="Z893" i="7"/>
  <c r="AA893" i="7" s="1"/>
  <c r="AB893" i="7" s="1"/>
  <c r="AC893" i="7" s="1"/>
  <c r="AD893" i="7" s="1"/>
  <c r="AE893" i="7" s="1"/>
  <c r="AF893" i="7" s="1"/>
  <c r="AG893" i="7" s="1"/>
  <c r="AH893" i="7" s="1"/>
  <c r="T893" i="7"/>
  <c r="U893" i="7" s="1"/>
  <c r="S893" i="7"/>
  <c r="T892" i="7"/>
  <c r="U892" i="7" s="1"/>
  <c r="S892" i="7"/>
  <c r="T891" i="7"/>
  <c r="U891" i="7" s="1"/>
  <c r="S891" i="7"/>
  <c r="Z890" i="7"/>
  <c r="AA890" i="7" s="1"/>
  <c r="AB890" i="7" s="1"/>
  <c r="AC890" i="7" s="1"/>
  <c r="AD890" i="7" s="1"/>
  <c r="AE890" i="7" s="1"/>
  <c r="AF890" i="7" s="1"/>
  <c r="AG890" i="7" s="1"/>
  <c r="AH890" i="7" s="1"/>
  <c r="T890" i="7"/>
  <c r="U890" i="7" s="1"/>
  <c r="S890" i="7"/>
  <c r="T889" i="7"/>
  <c r="U889" i="7" s="1"/>
  <c r="V889" i="7" s="1"/>
  <c r="X889" i="7" s="1"/>
  <c r="S889" i="7"/>
  <c r="T888" i="7"/>
  <c r="U888" i="7" s="1"/>
  <c r="V888" i="7" s="1"/>
  <c r="X888" i="7" s="1"/>
  <c r="Y888" i="7" s="1"/>
  <c r="Z888" i="7" s="1"/>
  <c r="AA888" i="7" s="1"/>
  <c r="S888" i="7"/>
  <c r="Z887" i="7"/>
  <c r="AA887" i="7" s="1"/>
  <c r="AB887" i="7" s="1"/>
  <c r="AC887" i="7" s="1"/>
  <c r="AD887" i="7" s="1"/>
  <c r="AE887" i="7" s="1"/>
  <c r="AF887" i="7" s="1"/>
  <c r="AG887" i="7" s="1"/>
  <c r="AH887" i="7" s="1"/>
  <c r="S887" i="7"/>
  <c r="Z886" i="7"/>
  <c r="AA886" i="7" s="1"/>
  <c r="AB886" i="7" s="1"/>
  <c r="AC886" i="7" s="1"/>
  <c r="AD886" i="7" s="1"/>
  <c r="AE886" i="7" s="1"/>
  <c r="AF886" i="7" s="1"/>
  <c r="AG886" i="7" s="1"/>
  <c r="AH886" i="7" s="1"/>
  <c r="S886" i="7"/>
  <c r="Z885" i="7"/>
  <c r="AA885" i="7" s="1"/>
  <c r="AB885" i="7" s="1"/>
  <c r="AC885" i="7" s="1"/>
  <c r="AD885" i="7" s="1"/>
  <c r="AE885" i="7" s="1"/>
  <c r="AF885" i="7" s="1"/>
  <c r="AG885" i="7" s="1"/>
  <c r="AH885" i="7" s="1"/>
  <c r="S885" i="7"/>
  <c r="Z884" i="7"/>
  <c r="AA884" i="7" s="1"/>
  <c r="AB884" i="7" s="1"/>
  <c r="AC884" i="7" s="1"/>
  <c r="AD884" i="7" s="1"/>
  <c r="AE884" i="7" s="1"/>
  <c r="AF884" i="7" s="1"/>
  <c r="AG884" i="7" s="1"/>
  <c r="AH884" i="7" s="1"/>
  <c r="S884" i="7"/>
  <c r="Z883" i="7"/>
  <c r="AA883" i="7" s="1"/>
  <c r="AB883" i="7" s="1"/>
  <c r="AC883" i="7" s="1"/>
  <c r="AD883" i="7" s="1"/>
  <c r="AE883" i="7" s="1"/>
  <c r="AF883" i="7" s="1"/>
  <c r="AG883" i="7" s="1"/>
  <c r="AH883" i="7" s="1"/>
  <c r="S883" i="7"/>
  <c r="Z882" i="7"/>
  <c r="AA882" i="7" s="1"/>
  <c r="AB882" i="7" s="1"/>
  <c r="AC882" i="7" s="1"/>
  <c r="AD882" i="7" s="1"/>
  <c r="AE882" i="7" s="1"/>
  <c r="AF882" i="7" s="1"/>
  <c r="AG882" i="7" s="1"/>
  <c r="AH882" i="7" s="1"/>
  <c r="S882" i="7"/>
  <c r="S881" i="7"/>
  <c r="S880" i="7"/>
  <c r="Z879" i="7"/>
  <c r="AA879" i="7" s="1"/>
  <c r="AB879" i="7" s="1"/>
  <c r="AC879" i="7" s="1"/>
  <c r="AD879" i="7" s="1"/>
  <c r="AE879" i="7" s="1"/>
  <c r="AF879" i="7" s="1"/>
  <c r="AG879" i="7" s="1"/>
  <c r="AH879" i="7" s="1"/>
  <c r="S879" i="7"/>
  <c r="Z878" i="7"/>
  <c r="AA878" i="7" s="1"/>
  <c r="AB878" i="7" s="1"/>
  <c r="AC878" i="7" s="1"/>
  <c r="AD878" i="7" s="1"/>
  <c r="AE878" i="7" s="1"/>
  <c r="AF878" i="7" s="1"/>
  <c r="AG878" i="7" s="1"/>
  <c r="AH878" i="7" s="1"/>
  <c r="S878" i="7"/>
  <c r="S877" i="7"/>
  <c r="Z876" i="7"/>
  <c r="AA876" i="7" s="1"/>
  <c r="AB876" i="7" s="1"/>
  <c r="AC876" i="7" s="1"/>
  <c r="AD876" i="7" s="1"/>
  <c r="AE876" i="7" s="1"/>
  <c r="AF876" i="7" s="1"/>
  <c r="AG876" i="7" s="1"/>
  <c r="AH876" i="7" s="1"/>
  <c r="S876" i="7"/>
  <c r="Z875" i="7"/>
  <c r="AA875" i="7" s="1"/>
  <c r="AB875" i="7" s="1"/>
  <c r="AC875" i="7" s="1"/>
  <c r="AD875" i="7" s="1"/>
  <c r="AE875" i="7" s="1"/>
  <c r="AF875" i="7" s="1"/>
  <c r="AG875" i="7" s="1"/>
  <c r="AH875" i="7" s="1"/>
  <c r="S875" i="7"/>
  <c r="S874" i="7"/>
  <c r="Z873" i="7"/>
  <c r="AA873" i="7" s="1"/>
  <c r="AB873" i="7" s="1"/>
  <c r="AC873" i="7" s="1"/>
  <c r="AD873" i="7" s="1"/>
  <c r="AE873" i="7" s="1"/>
  <c r="AF873" i="7" s="1"/>
  <c r="AG873" i="7" s="1"/>
  <c r="AH873" i="7" s="1"/>
  <c r="S873" i="7"/>
  <c r="Z872" i="7"/>
  <c r="AA872" i="7" s="1"/>
  <c r="AB872" i="7" s="1"/>
  <c r="AC872" i="7" s="1"/>
  <c r="AD872" i="7" s="1"/>
  <c r="AE872" i="7" s="1"/>
  <c r="AF872" i="7" s="1"/>
  <c r="AG872" i="7" s="1"/>
  <c r="AH872" i="7" s="1"/>
  <c r="R872" i="7"/>
  <c r="Z871" i="7"/>
  <c r="AA871" i="7" s="1"/>
  <c r="AB871" i="7" s="1"/>
  <c r="AC871" i="7" s="1"/>
  <c r="AD871" i="7" s="1"/>
  <c r="AE871" i="7" s="1"/>
  <c r="AF871" i="7" s="1"/>
  <c r="AG871" i="7" s="1"/>
  <c r="AH871" i="7" s="1"/>
  <c r="R871" i="7"/>
  <c r="Z870" i="7"/>
  <c r="AA870" i="7" s="1"/>
  <c r="AB870" i="7" s="1"/>
  <c r="AC870" i="7" s="1"/>
  <c r="AD870" i="7" s="1"/>
  <c r="AE870" i="7" s="1"/>
  <c r="AF870" i="7" s="1"/>
  <c r="AG870" i="7" s="1"/>
  <c r="AH870" i="7" s="1"/>
  <c r="T870" i="7"/>
  <c r="U870" i="7" s="1"/>
  <c r="V870" i="7" s="1"/>
  <c r="X870" i="7" s="1"/>
  <c r="S870" i="7"/>
  <c r="Z869" i="7"/>
  <c r="AA869" i="7" s="1"/>
  <c r="AB869" i="7" s="1"/>
  <c r="AC869" i="7" s="1"/>
  <c r="AD869" i="7" s="1"/>
  <c r="AE869" i="7" s="1"/>
  <c r="AF869" i="7" s="1"/>
  <c r="AG869" i="7" s="1"/>
  <c r="AH869" i="7" s="1"/>
  <c r="T869" i="7"/>
  <c r="U869" i="7" s="1"/>
  <c r="S869" i="7"/>
  <c r="Z868" i="7"/>
  <c r="AA868" i="7" s="1"/>
  <c r="AB868" i="7" s="1"/>
  <c r="AC868" i="7" s="1"/>
  <c r="AD868" i="7" s="1"/>
  <c r="AE868" i="7" s="1"/>
  <c r="AF868" i="7" s="1"/>
  <c r="AG868" i="7" s="1"/>
  <c r="AH868" i="7" s="1"/>
  <c r="U868" i="7"/>
  <c r="S868" i="7"/>
  <c r="Z867" i="7"/>
  <c r="AA867" i="7" s="1"/>
  <c r="AB867" i="7" s="1"/>
  <c r="AC867" i="7" s="1"/>
  <c r="AD867" i="7" s="1"/>
  <c r="AE867" i="7" s="1"/>
  <c r="AF867" i="7" s="1"/>
  <c r="AG867" i="7" s="1"/>
  <c r="AH867" i="7" s="1"/>
  <c r="U867" i="7"/>
  <c r="S867" i="7"/>
  <c r="Z866" i="7"/>
  <c r="AA866" i="7" s="1"/>
  <c r="AB866" i="7" s="1"/>
  <c r="AC866" i="7" s="1"/>
  <c r="AD866" i="7" s="1"/>
  <c r="AE866" i="7" s="1"/>
  <c r="AF866" i="7" s="1"/>
  <c r="AG866" i="7" s="1"/>
  <c r="AH866" i="7" s="1"/>
  <c r="U866" i="7"/>
  <c r="S866" i="7"/>
  <c r="U865" i="7"/>
  <c r="S865" i="7"/>
  <c r="U864" i="7"/>
  <c r="S864" i="7"/>
  <c r="Z863" i="7"/>
  <c r="AA863" i="7" s="1"/>
  <c r="AB863" i="7" s="1"/>
  <c r="AC863" i="7" s="1"/>
  <c r="AD863" i="7" s="1"/>
  <c r="AE863" i="7" s="1"/>
  <c r="AF863" i="7" s="1"/>
  <c r="AG863" i="7" s="1"/>
  <c r="AH863" i="7" s="1"/>
  <c r="U863" i="7"/>
  <c r="S863" i="7"/>
  <c r="AA862" i="7"/>
  <c r="AB862" i="7" s="1"/>
  <c r="AC862" i="7" s="1"/>
  <c r="AD862" i="7" s="1"/>
  <c r="AE862" i="7" s="1"/>
  <c r="AF862" i="7" s="1"/>
  <c r="AG862" i="7" s="1"/>
  <c r="AH862" i="7" s="1"/>
  <c r="U862" i="7"/>
  <c r="S862" i="7"/>
  <c r="U861" i="7"/>
  <c r="S861" i="7"/>
  <c r="Z860" i="7"/>
  <c r="AA860" i="7" s="1"/>
  <c r="AB860" i="7" s="1"/>
  <c r="AC860" i="7" s="1"/>
  <c r="AD860" i="7" s="1"/>
  <c r="AE860" i="7" s="1"/>
  <c r="AF860" i="7" s="1"/>
  <c r="AG860" i="7" s="1"/>
  <c r="AH860" i="7" s="1"/>
  <c r="U860" i="7"/>
  <c r="S860" i="7"/>
  <c r="Z859" i="7"/>
  <c r="AA859" i="7" s="1"/>
  <c r="AB859" i="7" s="1"/>
  <c r="AC859" i="7" s="1"/>
  <c r="AD859" i="7" s="1"/>
  <c r="AE859" i="7" s="1"/>
  <c r="AF859" i="7" s="1"/>
  <c r="AG859" i="7" s="1"/>
  <c r="AH859" i="7" s="1"/>
  <c r="U859" i="7"/>
  <c r="S859" i="7"/>
  <c r="Z858" i="7"/>
  <c r="AA858" i="7" s="1"/>
  <c r="AB858" i="7" s="1"/>
  <c r="AC858" i="7" s="1"/>
  <c r="AD858" i="7" s="1"/>
  <c r="AE858" i="7" s="1"/>
  <c r="AF858" i="7" s="1"/>
  <c r="AG858" i="7" s="1"/>
  <c r="AH858" i="7" s="1"/>
  <c r="U858" i="7"/>
  <c r="S858" i="7"/>
  <c r="U857" i="7"/>
  <c r="S857" i="7"/>
  <c r="U856" i="7"/>
  <c r="S856" i="7"/>
  <c r="U855" i="7"/>
  <c r="S855" i="7"/>
  <c r="U854" i="7"/>
  <c r="S854" i="7"/>
  <c r="AA853" i="7"/>
  <c r="AB853" i="7" s="1"/>
  <c r="AC853" i="7" s="1"/>
  <c r="AD853" i="7" s="1"/>
  <c r="AE853" i="7" s="1"/>
  <c r="AF853" i="7" s="1"/>
  <c r="AG853" i="7" s="1"/>
  <c r="AH853" i="7" s="1"/>
  <c r="U853" i="7"/>
  <c r="S853" i="7"/>
  <c r="U852" i="7"/>
  <c r="S852" i="7"/>
  <c r="R851" i="7"/>
  <c r="Z850" i="7"/>
  <c r="AA850" i="7" s="1"/>
  <c r="AB850" i="7" s="1"/>
  <c r="AC850" i="7" s="1"/>
  <c r="AD850" i="7" s="1"/>
  <c r="AE850" i="7" s="1"/>
  <c r="AF850" i="7" s="1"/>
  <c r="AG850" i="7" s="1"/>
  <c r="AH850" i="7" s="1"/>
  <c r="R850" i="7"/>
  <c r="Z849" i="7"/>
  <c r="AA849" i="7" s="1"/>
  <c r="AB849" i="7" s="1"/>
  <c r="AC849" i="7" s="1"/>
  <c r="AD849" i="7" s="1"/>
  <c r="AE849" i="7" s="1"/>
  <c r="AF849" i="7" s="1"/>
  <c r="AG849" i="7" s="1"/>
  <c r="AH849" i="7" s="1"/>
  <c r="U849" i="7"/>
  <c r="T849" i="7"/>
  <c r="S849" i="7"/>
  <c r="Z848" i="7"/>
  <c r="AA848" i="7" s="1"/>
  <c r="AB848" i="7" s="1"/>
  <c r="AC848" i="7" s="1"/>
  <c r="AD848" i="7" s="1"/>
  <c r="AE848" i="7" s="1"/>
  <c r="AF848" i="7" s="1"/>
  <c r="AG848" i="7" s="1"/>
  <c r="AH848" i="7" s="1"/>
  <c r="U848" i="7"/>
  <c r="T848" i="7"/>
  <c r="S848" i="7"/>
  <c r="U847" i="7"/>
  <c r="T847" i="7"/>
  <c r="S847" i="7"/>
  <c r="U846" i="7"/>
  <c r="T846" i="7"/>
  <c r="S846" i="7"/>
  <c r="U845" i="7"/>
  <c r="T845" i="7"/>
  <c r="S845" i="7"/>
  <c r="Z844" i="7"/>
  <c r="AA844" i="7" s="1"/>
  <c r="AB844" i="7" s="1"/>
  <c r="AC844" i="7" s="1"/>
  <c r="AD844" i="7" s="1"/>
  <c r="AE844" i="7" s="1"/>
  <c r="AF844" i="7" s="1"/>
  <c r="AG844" i="7" s="1"/>
  <c r="AH844" i="7" s="1"/>
  <c r="U844" i="7"/>
  <c r="T844" i="7"/>
  <c r="S844" i="7"/>
  <c r="Z843" i="7"/>
  <c r="AA843" i="7" s="1"/>
  <c r="AB843" i="7" s="1"/>
  <c r="AC843" i="7" s="1"/>
  <c r="AD843" i="7" s="1"/>
  <c r="AE843" i="7" s="1"/>
  <c r="AF843" i="7" s="1"/>
  <c r="AG843" i="7" s="1"/>
  <c r="AH843" i="7" s="1"/>
  <c r="U843" i="7"/>
  <c r="T843" i="7"/>
  <c r="S843" i="7"/>
  <c r="Z842" i="7"/>
  <c r="AA842" i="7" s="1"/>
  <c r="AB842" i="7" s="1"/>
  <c r="AC842" i="7" s="1"/>
  <c r="AD842" i="7" s="1"/>
  <c r="AE842" i="7" s="1"/>
  <c r="AF842" i="7" s="1"/>
  <c r="AG842" i="7" s="1"/>
  <c r="AH842" i="7" s="1"/>
  <c r="T842" i="7"/>
  <c r="U842" i="7" s="1"/>
  <c r="S842" i="7"/>
  <c r="T841" i="7"/>
  <c r="U841" i="7" s="1"/>
  <c r="S841" i="7"/>
  <c r="Z840" i="7"/>
  <c r="AA840" i="7" s="1"/>
  <c r="AB840" i="7" s="1"/>
  <c r="AC840" i="7" s="1"/>
  <c r="AD840" i="7" s="1"/>
  <c r="AE840" i="7" s="1"/>
  <c r="AF840" i="7" s="1"/>
  <c r="AG840" i="7" s="1"/>
  <c r="AH840" i="7" s="1"/>
  <c r="T840" i="7"/>
  <c r="U840" i="7" s="1"/>
  <c r="S840" i="7"/>
  <c r="T839" i="7"/>
  <c r="U839" i="7" s="1"/>
  <c r="S839" i="7"/>
  <c r="T838" i="7"/>
  <c r="U838" i="7" s="1"/>
  <c r="S838" i="7"/>
  <c r="T837" i="7"/>
  <c r="U837" i="7" s="1"/>
  <c r="S837" i="7"/>
  <c r="T836" i="7"/>
  <c r="U836" i="7" s="1"/>
  <c r="S836" i="7"/>
  <c r="T835" i="7"/>
  <c r="U835" i="7" s="1"/>
  <c r="V835" i="7" s="1"/>
  <c r="X835" i="7" s="1"/>
  <c r="Y835" i="7" s="1"/>
  <c r="Z835" i="7" s="1"/>
  <c r="AA835" i="7" s="1"/>
  <c r="S835" i="7"/>
  <c r="T834" i="7"/>
  <c r="U834" i="7" s="1"/>
  <c r="S834" i="7"/>
  <c r="T833" i="7"/>
  <c r="U833" i="7" s="1"/>
  <c r="S833" i="7"/>
  <c r="T832" i="7"/>
  <c r="U832" i="7" s="1"/>
  <c r="S832" i="7"/>
  <c r="AC831" i="7"/>
  <c r="AD831" i="7" s="1"/>
  <c r="AE831" i="7" s="1"/>
  <c r="AF831" i="7" s="1"/>
  <c r="AG831" i="7" s="1"/>
  <c r="AH831" i="7" s="1"/>
  <c r="AA831" i="7"/>
  <c r="U831" i="7"/>
  <c r="T831" i="7"/>
  <c r="S831" i="7"/>
  <c r="Z830" i="7"/>
  <c r="AA830" i="7" s="1"/>
  <c r="AB830" i="7" s="1"/>
  <c r="AC830" i="7" s="1"/>
  <c r="AD830" i="7" s="1"/>
  <c r="AE830" i="7" s="1"/>
  <c r="AF830" i="7" s="1"/>
  <c r="AG830" i="7" s="1"/>
  <c r="AH830" i="7" s="1"/>
  <c r="U830" i="7"/>
  <c r="T830" i="7"/>
  <c r="S830" i="7"/>
  <c r="Z829" i="7"/>
  <c r="AA829" i="7" s="1"/>
  <c r="AB829" i="7" s="1"/>
  <c r="AC829" i="7" s="1"/>
  <c r="AD829" i="7" s="1"/>
  <c r="AE829" i="7" s="1"/>
  <c r="AF829" i="7" s="1"/>
  <c r="AG829" i="7" s="1"/>
  <c r="AH829" i="7" s="1"/>
  <c r="U829" i="7"/>
  <c r="T829" i="7"/>
  <c r="S829" i="7"/>
  <c r="Z828" i="7"/>
  <c r="AA828" i="7" s="1"/>
  <c r="AB828" i="7" s="1"/>
  <c r="AC828" i="7" s="1"/>
  <c r="AD828" i="7" s="1"/>
  <c r="AE828" i="7" s="1"/>
  <c r="AF828" i="7" s="1"/>
  <c r="AG828" i="7" s="1"/>
  <c r="AH828" i="7" s="1"/>
  <c r="U828" i="7"/>
  <c r="T828" i="7"/>
  <c r="S828" i="7"/>
  <c r="Z827" i="7"/>
  <c r="AA827" i="7" s="1"/>
  <c r="AB827" i="7" s="1"/>
  <c r="AC827" i="7" s="1"/>
  <c r="AD827" i="7" s="1"/>
  <c r="AE827" i="7" s="1"/>
  <c r="AF827" i="7" s="1"/>
  <c r="AG827" i="7" s="1"/>
  <c r="AH827" i="7" s="1"/>
  <c r="U827" i="7"/>
  <c r="T827" i="7"/>
  <c r="S827" i="7"/>
  <c r="Z826" i="7"/>
  <c r="AA826" i="7" s="1"/>
  <c r="AB826" i="7" s="1"/>
  <c r="AC826" i="7" s="1"/>
  <c r="AD826" i="7" s="1"/>
  <c r="AE826" i="7" s="1"/>
  <c r="AF826" i="7" s="1"/>
  <c r="AG826" i="7" s="1"/>
  <c r="AH826" i="7" s="1"/>
  <c r="U826" i="7"/>
  <c r="T826" i="7"/>
  <c r="S826" i="7"/>
  <c r="Z825" i="7"/>
  <c r="AA825" i="7" s="1"/>
  <c r="AB825" i="7" s="1"/>
  <c r="AC825" i="7" s="1"/>
  <c r="AD825" i="7" s="1"/>
  <c r="AE825" i="7" s="1"/>
  <c r="AF825" i="7" s="1"/>
  <c r="AG825" i="7" s="1"/>
  <c r="AH825" i="7" s="1"/>
  <c r="U825" i="7"/>
  <c r="T825" i="7"/>
  <c r="S825" i="7"/>
  <c r="Z824" i="7"/>
  <c r="AA824" i="7" s="1"/>
  <c r="AB824" i="7" s="1"/>
  <c r="AC824" i="7" s="1"/>
  <c r="AD824" i="7" s="1"/>
  <c r="AE824" i="7" s="1"/>
  <c r="AF824" i="7" s="1"/>
  <c r="AG824" i="7" s="1"/>
  <c r="AH824" i="7" s="1"/>
  <c r="U824" i="7"/>
  <c r="T824" i="7"/>
  <c r="S824" i="7"/>
  <c r="Z823" i="7"/>
  <c r="AA823" i="7" s="1"/>
  <c r="AB823" i="7" s="1"/>
  <c r="AC823" i="7" s="1"/>
  <c r="AD823" i="7" s="1"/>
  <c r="AE823" i="7" s="1"/>
  <c r="AF823" i="7" s="1"/>
  <c r="AG823" i="7" s="1"/>
  <c r="AH823" i="7" s="1"/>
  <c r="U823" i="7"/>
  <c r="T823" i="7"/>
  <c r="S823" i="7"/>
  <c r="Z822" i="7"/>
  <c r="AA822" i="7" s="1"/>
  <c r="AB822" i="7" s="1"/>
  <c r="AC822" i="7" s="1"/>
  <c r="AD822" i="7" s="1"/>
  <c r="AE822" i="7" s="1"/>
  <c r="AF822" i="7" s="1"/>
  <c r="AG822" i="7" s="1"/>
  <c r="AH822" i="7" s="1"/>
  <c r="U822" i="7"/>
  <c r="T822" i="7"/>
  <c r="S822" i="7"/>
  <c r="U821" i="7"/>
  <c r="T821" i="7"/>
  <c r="S821" i="7"/>
  <c r="Z820" i="7"/>
  <c r="AA820" i="7" s="1"/>
  <c r="AB820" i="7" s="1"/>
  <c r="AC820" i="7" s="1"/>
  <c r="AD820" i="7" s="1"/>
  <c r="AE820" i="7" s="1"/>
  <c r="AF820" i="7" s="1"/>
  <c r="AG820" i="7" s="1"/>
  <c r="AH820" i="7" s="1"/>
  <c r="U820" i="7"/>
  <c r="T820" i="7"/>
  <c r="S820" i="7"/>
  <c r="U819" i="7"/>
  <c r="T819" i="7"/>
  <c r="S819" i="7"/>
  <c r="Z818" i="7"/>
  <c r="AA818" i="7" s="1"/>
  <c r="AB818" i="7" s="1"/>
  <c r="AC818" i="7" s="1"/>
  <c r="AD818" i="7" s="1"/>
  <c r="AE818" i="7" s="1"/>
  <c r="AF818" i="7" s="1"/>
  <c r="AG818" i="7" s="1"/>
  <c r="AH818" i="7" s="1"/>
  <c r="U818" i="7"/>
  <c r="T818" i="7"/>
  <c r="S818" i="7"/>
  <c r="Z817" i="7"/>
  <c r="AA817" i="7" s="1"/>
  <c r="AB817" i="7" s="1"/>
  <c r="AC817" i="7" s="1"/>
  <c r="AD817" i="7" s="1"/>
  <c r="AE817" i="7" s="1"/>
  <c r="AF817" i="7" s="1"/>
  <c r="AG817" i="7" s="1"/>
  <c r="AH817" i="7" s="1"/>
  <c r="U817" i="7"/>
  <c r="T817" i="7"/>
  <c r="S817" i="7"/>
  <c r="Z816" i="7"/>
  <c r="AA816" i="7" s="1"/>
  <c r="AB816" i="7" s="1"/>
  <c r="AC816" i="7" s="1"/>
  <c r="AD816" i="7" s="1"/>
  <c r="AE816" i="7" s="1"/>
  <c r="AF816" i="7" s="1"/>
  <c r="AG816" i="7" s="1"/>
  <c r="AH816" i="7" s="1"/>
  <c r="U816" i="7"/>
  <c r="T816" i="7"/>
  <c r="S816" i="7"/>
  <c r="Z815" i="7"/>
  <c r="AA815" i="7" s="1"/>
  <c r="AB815" i="7" s="1"/>
  <c r="AC815" i="7" s="1"/>
  <c r="AD815" i="7" s="1"/>
  <c r="AE815" i="7" s="1"/>
  <c r="AF815" i="7" s="1"/>
  <c r="AG815" i="7" s="1"/>
  <c r="AH815" i="7" s="1"/>
  <c r="U815" i="7"/>
  <c r="T815" i="7"/>
  <c r="S815" i="7"/>
  <c r="Z814" i="7"/>
  <c r="AA814" i="7" s="1"/>
  <c r="AB814" i="7" s="1"/>
  <c r="AC814" i="7" s="1"/>
  <c r="AD814" i="7" s="1"/>
  <c r="AE814" i="7" s="1"/>
  <c r="AF814" i="7" s="1"/>
  <c r="AG814" i="7" s="1"/>
  <c r="AH814" i="7" s="1"/>
  <c r="U814" i="7"/>
  <c r="V814" i="7" s="1"/>
  <c r="X814" i="7" s="1"/>
  <c r="T814" i="7"/>
  <c r="S814" i="7"/>
  <c r="Z813" i="7"/>
  <c r="AA813" i="7" s="1"/>
  <c r="AB813" i="7" s="1"/>
  <c r="AC813" i="7" s="1"/>
  <c r="AD813" i="7" s="1"/>
  <c r="AE813" i="7" s="1"/>
  <c r="AF813" i="7" s="1"/>
  <c r="AG813" i="7" s="1"/>
  <c r="AH813" i="7" s="1"/>
  <c r="U813" i="7"/>
  <c r="T813" i="7"/>
  <c r="S813" i="7"/>
  <c r="Z812" i="7"/>
  <c r="AA812" i="7" s="1"/>
  <c r="AB812" i="7" s="1"/>
  <c r="AC812" i="7" s="1"/>
  <c r="AD812" i="7" s="1"/>
  <c r="AE812" i="7" s="1"/>
  <c r="AF812" i="7" s="1"/>
  <c r="AG812" i="7" s="1"/>
  <c r="AH812" i="7" s="1"/>
  <c r="U812" i="7"/>
  <c r="V812" i="7" s="1"/>
  <c r="X812" i="7" s="1"/>
  <c r="T812" i="7"/>
  <c r="S812" i="7"/>
  <c r="Z811" i="7"/>
  <c r="AA811" i="7" s="1"/>
  <c r="AB811" i="7" s="1"/>
  <c r="AC811" i="7" s="1"/>
  <c r="AD811" i="7" s="1"/>
  <c r="AE811" i="7" s="1"/>
  <c r="AF811" i="7" s="1"/>
  <c r="AG811" i="7" s="1"/>
  <c r="AH811" i="7" s="1"/>
  <c r="U811" i="7"/>
  <c r="T811" i="7"/>
  <c r="S811" i="7"/>
  <c r="Z810" i="7"/>
  <c r="AA810" i="7" s="1"/>
  <c r="AB810" i="7" s="1"/>
  <c r="AC810" i="7" s="1"/>
  <c r="AD810" i="7" s="1"/>
  <c r="AE810" i="7" s="1"/>
  <c r="AF810" i="7" s="1"/>
  <c r="AG810" i="7" s="1"/>
  <c r="AH810" i="7" s="1"/>
  <c r="U810" i="7"/>
  <c r="T810" i="7"/>
  <c r="S810" i="7"/>
  <c r="Z809" i="7"/>
  <c r="AA809" i="7" s="1"/>
  <c r="AB809" i="7" s="1"/>
  <c r="AC809" i="7" s="1"/>
  <c r="AD809" i="7" s="1"/>
  <c r="AE809" i="7" s="1"/>
  <c r="AF809" i="7" s="1"/>
  <c r="AG809" i="7" s="1"/>
  <c r="AH809" i="7" s="1"/>
  <c r="U809" i="7"/>
  <c r="T809" i="7"/>
  <c r="S809" i="7"/>
  <c r="Z808" i="7"/>
  <c r="AA808" i="7" s="1"/>
  <c r="AB808" i="7" s="1"/>
  <c r="AC808" i="7" s="1"/>
  <c r="AD808" i="7" s="1"/>
  <c r="AE808" i="7" s="1"/>
  <c r="AF808" i="7" s="1"/>
  <c r="AG808" i="7" s="1"/>
  <c r="AH808" i="7" s="1"/>
  <c r="U808" i="7"/>
  <c r="T808" i="7"/>
  <c r="S808" i="7"/>
  <c r="U807" i="7"/>
  <c r="T807" i="7"/>
  <c r="S807" i="7"/>
  <c r="Z806" i="7"/>
  <c r="AA806" i="7" s="1"/>
  <c r="AB806" i="7" s="1"/>
  <c r="AC806" i="7" s="1"/>
  <c r="AD806" i="7" s="1"/>
  <c r="AE806" i="7" s="1"/>
  <c r="AF806" i="7" s="1"/>
  <c r="AG806" i="7" s="1"/>
  <c r="AH806" i="7" s="1"/>
  <c r="U806" i="7"/>
  <c r="T806" i="7"/>
  <c r="S806" i="7"/>
  <c r="Z805" i="7"/>
  <c r="AA805" i="7" s="1"/>
  <c r="AB805" i="7" s="1"/>
  <c r="AC805" i="7" s="1"/>
  <c r="AD805" i="7" s="1"/>
  <c r="AE805" i="7" s="1"/>
  <c r="AF805" i="7" s="1"/>
  <c r="AG805" i="7" s="1"/>
  <c r="AH805" i="7" s="1"/>
  <c r="U805" i="7"/>
  <c r="T805" i="7"/>
  <c r="S805" i="7"/>
  <c r="Z804" i="7"/>
  <c r="AA804" i="7" s="1"/>
  <c r="AB804" i="7" s="1"/>
  <c r="AC804" i="7" s="1"/>
  <c r="AD804" i="7" s="1"/>
  <c r="AE804" i="7" s="1"/>
  <c r="AF804" i="7" s="1"/>
  <c r="AG804" i="7" s="1"/>
  <c r="AH804" i="7" s="1"/>
  <c r="U804" i="7"/>
  <c r="T804" i="7"/>
  <c r="S804" i="7"/>
  <c r="Z803" i="7"/>
  <c r="AA803" i="7" s="1"/>
  <c r="AB803" i="7" s="1"/>
  <c r="AC803" i="7" s="1"/>
  <c r="AD803" i="7" s="1"/>
  <c r="AE803" i="7" s="1"/>
  <c r="AF803" i="7" s="1"/>
  <c r="AG803" i="7" s="1"/>
  <c r="AH803" i="7" s="1"/>
  <c r="U803" i="7"/>
  <c r="T803" i="7"/>
  <c r="S803" i="7"/>
  <c r="U802" i="7"/>
  <c r="T802" i="7"/>
  <c r="S802" i="7"/>
  <c r="Z801" i="7"/>
  <c r="AA801" i="7" s="1"/>
  <c r="AB801" i="7" s="1"/>
  <c r="AC801" i="7" s="1"/>
  <c r="AD801" i="7" s="1"/>
  <c r="AE801" i="7" s="1"/>
  <c r="AF801" i="7" s="1"/>
  <c r="AG801" i="7" s="1"/>
  <c r="AH801" i="7" s="1"/>
  <c r="U801" i="7"/>
  <c r="T801" i="7"/>
  <c r="S801" i="7"/>
  <c r="U800" i="7"/>
  <c r="T800" i="7"/>
  <c r="S800" i="7"/>
  <c r="Z799" i="7"/>
  <c r="AA799" i="7" s="1"/>
  <c r="AB799" i="7" s="1"/>
  <c r="AC799" i="7" s="1"/>
  <c r="AD799" i="7" s="1"/>
  <c r="AE799" i="7" s="1"/>
  <c r="AF799" i="7" s="1"/>
  <c r="AG799" i="7" s="1"/>
  <c r="AH799" i="7" s="1"/>
  <c r="U799" i="7"/>
  <c r="T799" i="7"/>
  <c r="S799" i="7"/>
  <c r="Z798" i="7"/>
  <c r="AA798" i="7" s="1"/>
  <c r="AB798" i="7" s="1"/>
  <c r="AC798" i="7" s="1"/>
  <c r="AD798" i="7" s="1"/>
  <c r="AE798" i="7" s="1"/>
  <c r="AF798" i="7" s="1"/>
  <c r="AG798" i="7" s="1"/>
  <c r="AH798" i="7" s="1"/>
  <c r="U798" i="7"/>
  <c r="T798" i="7"/>
  <c r="S798" i="7"/>
  <c r="Z797" i="7"/>
  <c r="AA797" i="7" s="1"/>
  <c r="AB797" i="7" s="1"/>
  <c r="AC797" i="7" s="1"/>
  <c r="AD797" i="7" s="1"/>
  <c r="AE797" i="7" s="1"/>
  <c r="AF797" i="7" s="1"/>
  <c r="AG797" i="7" s="1"/>
  <c r="AH797" i="7" s="1"/>
  <c r="U797" i="7"/>
  <c r="T797" i="7"/>
  <c r="S797" i="7"/>
  <c r="Z796" i="7"/>
  <c r="AA796" i="7" s="1"/>
  <c r="AB796" i="7" s="1"/>
  <c r="AC796" i="7" s="1"/>
  <c r="AD796" i="7" s="1"/>
  <c r="AE796" i="7" s="1"/>
  <c r="AF796" i="7" s="1"/>
  <c r="AG796" i="7" s="1"/>
  <c r="AH796" i="7" s="1"/>
  <c r="U796" i="7"/>
  <c r="T796" i="7"/>
  <c r="S796" i="7"/>
  <c r="Z795" i="7"/>
  <c r="AA795" i="7" s="1"/>
  <c r="AB795" i="7" s="1"/>
  <c r="AC795" i="7" s="1"/>
  <c r="AD795" i="7" s="1"/>
  <c r="AE795" i="7" s="1"/>
  <c r="AF795" i="7" s="1"/>
  <c r="AG795" i="7" s="1"/>
  <c r="AH795" i="7" s="1"/>
  <c r="U795" i="7"/>
  <c r="T795" i="7"/>
  <c r="S795" i="7"/>
  <c r="Z794" i="7"/>
  <c r="AA794" i="7" s="1"/>
  <c r="AB794" i="7" s="1"/>
  <c r="AC794" i="7" s="1"/>
  <c r="AD794" i="7" s="1"/>
  <c r="AE794" i="7" s="1"/>
  <c r="AF794" i="7" s="1"/>
  <c r="AG794" i="7" s="1"/>
  <c r="AH794" i="7" s="1"/>
  <c r="U794" i="7"/>
  <c r="V794" i="7" s="1"/>
  <c r="X794" i="7" s="1"/>
  <c r="T794" i="7"/>
  <c r="S794" i="7"/>
  <c r="Z793" i="7"/>
  <c r="AA793" i="7" s="1"/>
  <c r="AB793" i="7" s="1"/>
  <c r="AC793" i="7" s="1"/>
  <c r="AD793" i="7" s="1"/>
  <c r="AE793" i="7" s="1"/>
  <c r="AF793" i="7" s="1"/>
  <c r="AG793" i="7" s="1"/>
  <c r="AH793" i="7" s="1"/>
  <c r="U793" i="7"/>
  <c r="V793" i="7" s="1"/>
  <c r="X793" i="7" s="1"/>
  <c r="T793" i="7"/>
  <c r="S793" i="7"/>
  <c r="T792" i="7"/>
  <c r="U792" i="7" s="1"/>
  <c r="S792" i="7"/>
  <c r="Z791" i="7"/>
  <c r="AA791" i="7" s="1"/>
  <c r="AB791" i="7" s="1"/>
  <c r="AC791" i="7" s="1"/>
  <c r="AD791" i="7" s="1"/>
  <c r="AE791" i="7" s="1"/>
  <c r="AF791" i="7" s="1"/>
  <c r="AG791" i="7" s="1"/>
  <c r="AH791" i="7" s="1"/>
  <c r="T791" i="7"/>
  <c r="U791" i="7" s="1"/>
  <c r="S791" i="7"/>
  <c r="Z790" i="7"/>
  <c r="AA790" i="7" s="1"/>
  <c r="AB790" i="7" s="1"/>
  <c r="AC790" i="7" s="1"/>
  <c r="AD790" i="7" s="1"/>
  <c r="AE790" i="7" s="1"/>
  <c r="AF790" i="7" s="1"/>
  <c r="AG790" i="7" s="1"/>
  <c r="AH790" i="7" s="1"/>
  <c r="T790" i="7"/>
  <c r="U790" i="7" s="1"/>
  <c r="S790" i="7"/>
  <c r="T789" i="7"/>
  <c r="U789" i="7" s="1"/>
  <c r="S789" i="7"/>
  <c r="T788" i="7"/>
  <c r="U788" i="7" s="1"/>
  <c r="S788" i="7"/>
  <c r="Z787" i="7"/>
  <c r="AA787" i="7" s="1"/>
  <c r="AB787" i="7" s="1"/>
  <c r="AC787" i="7" s="1"/>
  <c r="AD787" i="7" s="1"/>
  <c r="AE787" i="7" s="1"/>
  <c r="AF787" i="7" s="1"/>
  <c r="AG787" i="7" s="1"/>
  <c r="AH787" i="7" s="1"/>
  <c r="T787" i="7"/>
  <c r="U787" i="7" s="1"/>
  <c r="S787" i="7"/>
  <c r="Z786" i="7"/>
  <c r="AA786" i="7" s="1"/>
  <c r="AB786" i="7" s="1"/>
  <c r="AC786" i="7" s="1"/>
  <c r="AD786" i="7" s="1"/>
  <c r="AE786" i="7" s="1"/>
  <c r="AF786" i="7" s="1"/>
  <c r="AG786" i="7" s="1"/>
  <c r="AH786" i="7" s="1"/>
  <c r="T786" i="7"/>
  <c r="U786" i="7" s="1"/>
  <c r="S786" i="7"/>
  <c r="Z785" i="7"/>
  <c r="AA785" i="7" s="1"/>
  <c r="AB785" i="7" s="1"/>
  <c r="AC785" i="7" s="1"/>
  <c r="AD785" i="7" s="1"/>
  <c r="AE785" i="7" s="1"/>
  <c r="AF785" i="7" s="1"/>
  <c r="AG785" i="7" s="1"/>
  <c r="AH785" i="7" s="1"/>
  <c r="T785" i="7"/>
  <c r="U785" i="7" s="1"/>
  <c r="S785" i="7"/>
  <c r="T784" i="7"/>
  <c r="U784" i="7" s="1"/>
  <c r="S784" i="7"/>
  <c r="Z783" i="7"/>
  <c r="AA783" i="7" s="1"/>
  <c r="AB783" i="7" s="1"/>
  <c r="AC783" i="7" s="1"/>
  <c r="AD783" i="7" s="1"/>
  <c r="AE783" i="7" s="1"/>
  <c r="AF783" i="7" s="1"/>
  <c r="AG783" i="7" s="1"/>
  <c r="AH783" i="7" s="1"/>
  <c r="T783" i="7"/>
  <c r="U783" i="7" s="1"/>
  <c r="S783" i="7"/>
  <c r="Z782" i="7"/>
  <c r="AA782" i="7" s="1"/>
  <c r="AB782" i="7" s="1"/>
  <c r="AC782" i="7" s="1"/>
  <c r="AD782" i="7" s="1"/>
  <c r="AE782" i="7" s="1"/>
  <c r="AF782" i="7" s="1"/>
  <c r="AG782" i="7" s="1"/>
  <c r="AH782" i="7" s="1"/>
  <c r="T782" i="7"/>
  <c r="U782" i="7" s="1"/>
  <c r="S782" i="7"/>
  <c r="Z781" i="7"/>
  <c r="AA781" i="7" s="1"/>
  <c r="AB781" i="7" s="1"/>
  <c r="AC781" i="7" s="1"/>
  <c r="AD781" i="7" s="1"/>
  <c r="AE781" i="7" s="1"/>
  <c r="AF781" i="7" s="1"/>
  <c r="AG781" i="7" s="1"/>
  <c r="AH781" i="7" s="1"/>
  <c r="T781" i="7"/>
  <c r="U781" i="7" s="1"/>
  <c r="S781" i="7"/>
  <c r="T780" i="7"/>
  <c r="U780" i="7" s="1"/>
  <c r="S780" i="7"/>
  <c r="Z779" i="7"/>
  <c r="AA779" i="7" s="1"/>
  <c r="AB779" i="7" s="1"/>
  <c r="AC779" i="7" s="1"/>
  <c r="AD779" i="7" s="1"/>
  <c r="AE779" i="7" s="1"/>
  <c r="AF779" i="7" s="1"/>
  <c r="AG779" i="7" s="1"/>
  <c r="AH779" i="7" s="1"/>
  <c r="T779" i="7"/>
  <c r="U779" i="7" s="1"/>
  <c r="S779" i="7"/>
  <c r="Z778" i="7"/>
  <c r="AA778" i="7" s="1"/>
  <c r="AB778" i="7" s="1"/>
  <c r="AC778" i="7" s="1"/>
  <c r="AD778" i="7" s="1"/>
  <c r="AE778" i="7" s="1"/>
  <c r="AF778" i="7" s="1"/>
  <c r="AG778" i="7" s="1"/>
  <c r="AH778" i="7" s="1"/>
  <c r="T778" i="7"/>
  <c r="U778" i="7" s="1"/>
  <c r="S778" i="7"/>
  <c r="Z777" i="7"/>
  <c r="AA777" i="7" s="1"/>
  <c r="AB777" i="7" s="1"/>
  <c r="AC777" i="7" s="1"/>
  <c r="AD777" i="7" s="1"/>
  <c r="AE777" i="7" s="1"/>
  <c r="AF777" i="7" s="1"/>
  <c r="AG777" i="7" s="1"/>
  <c r="AH777" i="7" s="1"/>
  <c r="T777" i="7"/>
  <c r="U777" i="7" s="1"/>
  <c r="V777" i="7" s="1"/>
  <c r="X777" i="7" s="1"/>
  <c r="S777" i="7"/>
  <c r="Z776" i="7"/>
  <c r="AA776" i="7" s="1"/>
  <c r="AB776" i="7" s="1"/>
  <c r="AC776" i="7" s="1"/>
  <c r="AD776" i="7" s="1"/>
  <c r="AE776" i="7" s="1"/>
  <c r="AF776" i="7" s="1"/>
  <c r="AG776" i="7" s="1"/>
  <c r="AH776" i="7" s="1"/>
  <c r="T776" i="7"/>
  <c r="U776" i="7" s="1"/>
  <c r="S776" i="7"/>
  <c r="Z775" i="7"/>
  <c r="AA775" i="7" s="1"/>
  <c r="AB775" i="7" s="1"/>
  <c r="AC775" i="7" s="1"/>
  <c r="AD775" i="7" s="1"/>
  <c r="AE775" i="7" s="1"/>
  <c r="AF775" i="7" s="1"/>
  <c r="AG775" i="7" s="1"/>
  <c r="AH775" i="7" s="1"/>
  <c r="T775" i="7"/>
  <c r="U775" i="7" s="1"/>
  <c r="V775" i="7" s="1"/>
  <c r="X775" i="7" s="1"/>
  <c r="S775" i="7"/>
  <c r="T774" i="7"/>
  <c r="U774" i="7" s="1"/>
  <c r="S774" i="7"/>
  <c r="Z773" i="7"/>
  <c r="AA773" i="7" s="1"/>
  <c r="AB773" i="7" s="1"/>
  <c r="AC773" i="7" s="1"/>
  <c r="AD773" i="7" s="1"/>
  <c r="AE773" i="7" s="1"/>
  <c r="AF773" i="7" s="1"/>
  <c r="AG773" i="7" s="1"/>
  <c r="AH773" i="7" s="1"/>
  <c r="T773" i="7"/>
  <c r="U773" i="7" s="1"/>
  <c r="S773" i="7"/>
  <c r="Z772" i="7"/>
  <c r="AA772" i="7" s="1"/>
  <c r="AB772" i="7" s="1"/>
  <c r="AC772" i="7" s="1"/>
  <c r="AD772" i="7" s="1"/>
  <c r="AE772" i="7" s="1"/>
  <c r="AF772" i="7" s="1"/>
  <c r="AG772" i="7" s="1"/>
  <c r="AH772" i="7" s="1"/>
  <c r="T772" i="7"/>
  <c r="U772" i="7" s="1"/>
  <c r="S772" i="7"/>
  <c r="T771" i="7"/>
  <c r="U771" i="7" s="1"/>
  <c r="S771" i="7"/>
  <c r="AC770" i="7"/>
  <c r="AD770" i="7" s="1"/>
  <c r="T770" i="7"/>
  <c r="U770" i="7" s="1"/>
  <c r="S770" i="7"/>
  <c r="Z769" i="7"/>
  <c r="AA769" i="7" s="1"/>
  <c r="AB769" i="7" s="1"/>
  <c r="AC769" i="7" s="1"/>
  <c r="AD769" i="7" s="1"/>
  <c r="AE769" i="7" s="1"/>
  <c r="AF769" i="7" s="1"/>
  <c r="AG769" i="7" s="1"/>
  <c r="AH769" i="7" s="1"/>
  <c r="T769" i="7"/>
  <c r="U769" i="7" s="1"/>
  <c r="S769" i="7"/>
  <c r="Z768" i="7"/>
  <c r="AA768" i="7" s="1"/>
  <c r="AB768" i="7" s="1"/>
  <c r="AC768" i="7" s="1"/>
  <c r="AD768" i="7" s="1"/>
  <c r="AE768" i="7" s="1"/>
  <c r="AF768" i="7" s="1"/>
  <c r="AG768" i="7" s="1"/>
  <c r="AH768" i="7" s="1"/>
  <c r="T768" i="7"/>
  <c r="U768" i="7" s="1"/>
  <c r="S768" i="7"/>
  <c r="T767" i="7"/>
  <c r="U767" i="7" s="1"/>
  <c r="S767" i="7"/>
  <c r="T766" i="7"/>
  <c r="U766" i="7" s="1"/>
  <c r="S766" i="7"/>
  <c r="Z765" i="7"/>
  <c r="AA765" i="7" s="1"/>
  <c r="AB765" i="7" s="1"/>
  <c r="AC765" i="7" s="1"/>
  <c r="AD765" i="7" s="1"/>
  <c r="AE765" i="7" s="1"/>
  <c r="AF765" i="7" s="1"/>
  <c r="AG765" i="7" s="1"/>
  <c r="AH765" i="7" s="1"/>
  <c r="T765" i="7"/>
  <c r="U765" i="7" s="1"/>
  <c r="S765" i="7"/>
  <c r="Z764" i="7"/>
  <c r="AA764" i="7" s="1"/>
  <c r="AB764" i="7" s="1"/>
  <c r="AC764" i="7" s="1"/>
  <c r="AD764" i="7" s="1"/>
  <c r="AE764" i="7" s="1"/>
  <c r="AF764" i="7" s="1"/>
  <c r="AG764" i="7" s="1"/>
  <c r="AH764" i="7" s="1"/>
  <c r="T764" i="7"/>
  <c r="U764" i="7" s="1"/>
  <c r="S764" i="7"/>
  <c r="Z763" i="7"/>
  <c r="AA763" i="7" s="1"/>
  <c r="AB763" i="7" s="1"/>
  <c r="AC763" i="7" s="1"/>
  <c r="AD763" i="7" s="1"/>
  <c r="AE763" i="7" s="1"/>
  <c r="AF763" i="7" s="1"/>
  <c r="AG763" i="7" s="1"/>
  <c r="AH763" i="7" s="1"/>
  <c r="T763" i="7"/>
  <c r="U763" i="7" s="1"/>
  <c r="S763" i="7"/>
  <c r="T762" i="7"/>
  <c r="U762" i="7" s="1"/>
  <c r="S762" i="7"/>
  <c r="T761" i="7"/>
  <c r="U761" i="7" s="1"/>
  <c r="S761" i="7"/>
  <c r="T760" i="7"/>
  <c r="U760" i="7" s="1"/>
  <c r="S760" i="7"/>
  <c r="T759" i="7"/>
  <c r="U759" i="7" s="1"/>
  <c r="S759" i="7"/>
  <c r="T758" i="7"/>
  <c r="U758" i="7" s="1"/>
  <c r="S758" i="7"/>
  <c r="Z757" i="7"/>
  <c r="AA757" i="7" s="1"/>
  <c r="AB757" i="7" s="1"/>
  <c r="AC757" i="7" s="1"/>
  <c r="AD757" i="7" s="1"/>
  <c r="AE757" i="7" s="1"/>
  <c r="AF757" i="7" s="1"/>
  <c r="AG757" i="7" s="1"/>
  <c r="AH757" i="7" s="1"/>
  <c r="T757" i="7"/>
  <c r="U757" i="7" s="1"/>
  <c r="S757" i="7"/>
  <c r="Z756" i="7"/>
  <c r="AA756" i="7" s="1"/>
  <c r="AB756" i="7" s="1"/>
  <c r="AC756" i="7" s="1"/>
  <c r="AD756" i="7" s="1"/>
  <c r="AE756" i="7" s="1"/>
  <c r="AF756" i="7" s="1"/>
  <c r="AG756" i="7" s="1"/>
  <c r="AH756" i="7" s="1"/>
  <c r="T756" i="7"/>
  <c r="U756" i="7" s="1"/>
  <c r="S756" i="7"/>
  <c r="T755" i="7"/>
  <c r="U755" i="7" s="1"/>
  <c r="S755" i="7"/>
  <c r="Z754" i="7"/>
  <c r="AA754" i="7" s="1"/>
  <c r="AB754" i="7" s="1"/>
  <c r="AC754" i="7" s="1"/>
  <c r="AD754" i="7" s="1"/>
  <c r="AE754" i="7" s="1"/>
  <c r="AF754" i="7" s="1"/>
  <c r="AG754" i="7" s="1"/>
  <c r="AH754" i="7" s="1"/>
  <c r="T754" i="7"/>
  <c r="U754" i="7" s="1"/>
  <c r="S754" i="7"/>
  <c r="Z753" i="7"/>
  <c r="AA753" i="7" s="1"/>
  <c r="AB753" i="7" s="1"/>
  <c r="AC753" i="7" s="1"/>
  <c r="AD753" i="7" s="1"/>
  <c r="AE753" i="7" s="1"/>
  <c r="AF753" i="7" s="1"/>
  <c r="AG753" i="7" s="1"/>
  <c r="AH753" i="7" s="1"/>
  <c r="T753" i="7"/>
  <c r="U753" i="7" s="1"/>
  <c r="V753" i="7" s="1"/>
  <c r="X753" i="7" s="1"/>
  <c r="S753" i="7"/>
  <c r="Z752" i="7"/>
  <c r="AA752" i="7" s="1"/>
  <c r="AB752" i="7" s="1"/>
  <c r="AC752" i="7" s="1"/>
  <c r="AD752" i="7" s="1"/>
  <c r="AE752" i="7" s="1"/>
  <c r="AF752" i="7" s="1"/>
  <c r="AG752" i="7" s="1"/>
  <c r="AH752" i="7" s="1"/>
  <c r="T752" i="7"/>
  <c r="U752" i="7" s="1"/>
  <c r="S752" i="7"/>
  <c r="Z751" i="7"/>
  <c r="AA751" i="7" s="1"/>
  <c r="AB751" i="7" s="1"/>
  <c r="AC751" i="7" s="1"/>
  <c r="AD751" i="7" s="1"/>
  <c r="AE751" i="7" s="1"/>
  <c r="AF751" i="7" s="1"/>
  <c r="AG751" i="7" s="1"/>
  <c r="AH751" i="7" s="1"/>
  <c r="T751" i="7"/>
  <c r="U751" i="7" s="1"/>
  <c r="V751" i="7" s="1"/>
  <c r="X751" i="7" s="1"/>
  <c r="S751" i="7"/>
  <c r="U750" i="7"/>
  <c r="T750" i="7"/>
  <c r="S750" i="7"/>
  <c r="U749" i="7"/>
  <c r="T749" i="7"/>
  <c r="S749" i="7"/>
  <c r="U748" i="7"/>
  <c r="T748" i="7"/>
  <c r="S748" i="7"/>
  <c r="U747" i="7"/>
  <c r="V747" i="7" s="1"/>
  <c r="X747" i="7" s="1"/>
  <c r="Y747" i="7" s="1"/>
  <c r="Z747" i="7" s="1"/>
  <c r="AA747" i="7" s="1"/>
  <c r="T747" i="7"/>
  <c r="S747" i="7"/>
  <c r="U746" i="7"/>
  <c r="T746" i="7"/>
  <c r="S746" i="7"/>
  <c r="U745" i="7"/>
  <c r="V745" i="7" s="1"/>
  <c r="X745" i="7" s="1"/>
  <c r="T745" i="7"/>
  <c r="S745" i="7"/>
  <c r="T744" i="7"/>
  <c r="U744" i="7" s="1"/>
  <c r="S744" i="7"/>
  <c r="K744" i="7"/>
  <c r="AA743" i="7"/>
  <c r="AB743" i="7" s="1"/>
  <c r="AC743" i="7" s="1"/>
  <c r="AD743" i="7" s="1"/>
  <c r="AE743" i="7" s="1"/>
  <c r="AF743" i="7" s="1"/>
  <c r="AG743" i="7" s="1"/>
  <c r="AH743" i="7" s="1"/>
  <c r="T743" i="7"/>
  <c r="U743" i="7" s="1"/>
  <c r="S743" i="7"/>
  <c r="K743" i="7"/>
  <c r="AA742" i="7"/>
  <c r="AB742" i="7" s="1"/>
  <c r="AC742" i="7" s="1"/>
  <c r="AD742" i="7" s="1"/>
  <c r="AE742" i="7" s="1"/>
  <c r="AF742" i="7" s="1"/>
  <c r="AG742" i="7" s="1"/>
  <c r="AH742" i="7" s="1"/>
  <c r="T742" i="7"/>
  <c r="U742" i="7" s="1"/>
  <c r="S742" i="7"/>
  <c r="K742" i="7"/>
  <c r="T741" i="7"/>
  <c r="U741" i="7" s="1"/>
  <c r="S741" i="7"/>
  <c r="K741" i="7"/>
  <c r="AA740" i="7"/>
  <c r="AB740" i="7" s="1"/>
  <c r="AC740" i="7" s="1"/>
  <c r="AD740" i="7" s="1"/>
  <c r="AE740" i="7" s="1"/>
  <c r="AF740" i="7" s="1"/>
  <c r="AG740" i="7" s="1"/>
  <c r="AH740" i="7" s="1"/>
  <c r="T740" i="7"/>
  <c r="U740" i="7" s="1"/>
  <c r="S740" i="7"/>
  <c r="K740" i="7"/>
  <c r="T739" i="7"/>
  <c r="U739" i="7" s="1"/>
  <c r="S739" i="7"/>
  <c r="K739" i="7"/>
  <c r="T738" i="7"/>
  <c r="U738" i="7" s="1"/>
  <c r="S738" i="7"/>
  <c r="K738" i="7"/>
  <c r="T737" i="7"/>
  <c r="U737" i="7" s="1"/>
  <c r="S737" i="7"/>
  <c r="K737" i="7"/>
  <c r="Z736" i="7"/>
  <c r="AA736" i="7" s="1"/>
  <c r="AB736" i="7" s="1"/>
  <c r="AC736" i="7" s="1"/>
  <c r="AD736" i="7" s="1"/>
  <c r="AE736" i="7" s="1"/>
  <c r="AF736" i="7" s="1"/>
  <c r="AG736" i="7" s="1"/>
  <c r="AH736" i="7" s="1"/>
  <c r="T736" i="7"/>
  <c r="U736" i="7" s="1"/>
  <c r="S736" i="7"/>
  <c r="K736" i="7"/>
  <c r="AA735" i="7"/>
  <c r="AB735" i="7" s="1"/>
  <c r="AC735" i="7" s="1"/>
  <c r="AD735" i="7" s="1"/>
  <c r="AE735" i="7" s="1"/>
  <c r="AF735" i="7" s="1"/>
  <c r="AG735" i="7" s="1"/>
  <c r="AH735" i="7" s="1"/>
  <c r="T735" i="7"/>
  <c r="U735" i="7" s="1"/>
  <c r="S735" i="7"/>
  <c r="K735" i="7"/>
  <c r="AA734" i="7"/>
  <c r="AB734" i="7" s="1"/>
  <c r="AC734" i="7" s="1"/>
  <c r="AD734" i="7" s="1"/>
  <c r="AE734" i="7" s="1"/>
  <c r="AF734" i="7" s="1"/>
  <c r="AG734" i="7" s="1"/>
  <c r="AH734" i="7" s="1"/>
  <c r="T734" i="7"/>
  <c r="U734" i="7" s="1"/>
  <c r="S734" i="7"/>
  <c r="K734" i="7"/>
  <c r="T733" i="7"/>
  <c r="U733" i="7" s="1"/>
  <c r="S733" i="7"/>
  <c r="K733" i="7"/>
  <c r="T732" i="7"/>
  <c r="U732" i="7" s="1"/>
  <c r="S732" i="7"/>
  <c r="K732" i="7"/>
  <c r="AA731" i="7"/>
  <c r="AB731" i="7" s="1"/>
  <c r="AC731" i="7" s="1"/>
  <c r="AD731" i="7" s="1"/>
  <c r="AE731" i="7" s="1"/>
  <c r="AF731" i="7" s="1"/>
  <c r="AG731" i="7" s="1"/>
  <c r="AH731" i="7" s="1"/>
  <c r="T731" i="7"/>
  <c r="U731" i="7" s="1"/>
  <c r="S731" i="7"/>
  <c r="K731" i="7"/>
  <c r="AA730" i="7"/>
  <c r="AB730" i="7" s="1"/>
  <c r="AC730" i="7" s="1"/>
  <c r="AD730" i="7" s="1"/>
  <c r="AE730" i="7" s="1"/>
  <c r="AF730" i="7" s="1"/>
  <c r="AG730" i="7" s="1"/>
  <c r="AH730" i="7" s="1"/>
  <c r="T730" i="7"/>
  <c r="U730" i="7" s="1"/>
  <c r="S730" i="7"/>
  <c r="K730" i="7"/>
  <c r="AA729" i="7"/>
  <c r="AB729" i="7" s="1"/>
  <c r="AC729" i="7" s="1"/>
  <c r="AD729" i="7" s="1"/>
  <c r="AE729" i="7" s="1"/>
  <c r="AF729" i="7" s="1"/>
  <c r="AG729" i="7" s="1"/>
  <c r="AH729" i="7" s="1"/>
  <c r="T729" i="7"/>
  <c r="U729" i="7" s="1"/>
  <c r="S729" i="7"/>
  <c r="K729" i="7"/>
  <c r="T728" i="7"/>
  <c r="U728" i="7" s="1"/>
  <c r="S728" i="7"/>
  <c r="K728" i="7"/>
  <c r="T727" i="7"/>
  <c r="U727" i="7" s="1"/>
  <c r="S727" i="7"/>
  <c r="K727" i="7"/>
  <c r="AA726" i="7"/>
  <c r="AB726" i="7" s="1"/>
  <c r="AC726" i="7" s="1"/>
  <c r="AD726" i="7" s="1"/>
  <c r="AE726" i="7" s="1"/>
  <c r="AF726" i="7" s="1"/>
  <c r="AG726" i="7" s="1"/>
  <c r="AH726" i="7" s="1"/>
  <c r="T726" i="7"/>
  <c r="U726" i="7" s="1"/>
  <c r="S726" i="7"/>
  <c r="K726" i="7"/>
  <c r="T725" i="7"/>
  <c r="U725" i="7" s="1"/>
  <c r="S725" i="7"/>
  <c r="K725" i="7"/>
  <c r="T724" i="7"/>
  <c r="U724" i="7" s="1"/>
  <c r="S724" i="7"/>
  <c r="K724" i="7"/>
  <c r="T723" i="7"/>
  <c r="U723" i="7" s="1"/>
  <c r="S723" i="7"/>
  <c r="K723" i="7"/>
  <c r="Z722" i="7"/>
  <c r="AA722" i="7" s="1"/>
  <c r="AB722" i="7" s="1"/>
  <c r="AC722" i="7" s="1"/>
  <c r="AD722" i="7" s="1"/>
  <c r="AE722" i="7" s="1"/>
  <c r="AF722" i="7" s="1"/>
  <c r="AG722" i="7" s="1"/>
  <c r="AH722" i="7" s="1"/>
  <c r="T722" i="7"/>
  <c r="U722" i="7" s="1"/>
  <c r="S722" i="7"/>
  <c r="K722" i="7"/>
  <c r="T721" i="7"/>
  <c r="U721" i="7" s="1"/>
  <c r="S721" i="7"/>
  <c r="K721" i="7"/>
  <c r="T720" i="7"/>
  <c r="U720" i="7" s="1"/>
  <c r="S720" i="7"/>
  <c r="K720" i="7"/>
  <c r="T719" i="7"/>
  <c r="U719" i="7" s="1"/>
  <c r="S719" i="7"/>
  <c r="K719" i="7"/>
  <c r="T718" i="7"/>
  <c r="U718" i="7" s="1"/>
  <c r="S718" i="7"/>
  <c r="K718" i="7"/>
  <c r="T717" i="7"/>
  <c r="U717" i="7" s="1"/>
  <c r="S717" i="7"/>
  <c r="K717" i="7"/>
  <c r="T716" i="7"/>
  <c r="U716" i="7" s="1"/>
  <c r="S716" i="7"/>
  <c r="K716" i="7"/>
  <c r="T715" i="7"/>
  <c r="U715" i="7" s="1"/>
  <c r="S715" i="7"/>
  <c r="K715" i="7"/>
  <c r="Z714" i="7"/>
  <c r="AA714" i="7" s="1"/>
  <c r="AB714" i="7" s="1"/>
  <c r="AC714" i="7" s="1"/>
  <c r="AD714" i="7" s="1"/>
  <c r="AE714" i="7" s="1"/>
  <c r="AF714" i="7" s="1"/>
  <c r="AG714" i="7" s="1"/>
  <c r="AH714" i="7" s="1"/>
  <c r="T714" i="7"/>
  <c r="U714" i="7" s="1"/>
  <c r="S714" i="7"/>
  <c r="K714" i="7"/>
  <c r="T713" i="7"/>
  <c r="U713" i="7" s="1"/>
  <c r="S713" i="7"/>
  <c r="K713" i="7"/>
  <c r="T712" i="7"/>
  <c r="U712" i="7" s="1"/>
  <c r="S712" i="7"/>
  <c r="K712" i="7"/>
  <c r="T711" i="7"/>
  <c r="U711" i="7" s="1"/>
  <c r="S711" i="7"/>
  <c r="K711" i="7"/>
  <c r="T710" i="7"/>
  <c r="U710" i="7" s="1"/>
  <c r="S710" i="7"/>
  <c r="K710" i="7"/>
  <c r="T709" i="7"/>
  <c r="U709" i="7" s="1"/>
  <c r="S709" i="7"/>
  <c r="K709" i="7"/>
  <c r="Z708" i="7"/>
  <c r="AA708" i="7" s="1"/>
  <c r="AB708" i="7" s="1"/>
  <c r="AC708" i="7" s="1"/>
  <c r="AD708" i="7" s="1"/>
  <c r="AE708" i="7" s="1"/>
  <c r="AF708" i="7" s="1"/>
  <c r="AG708" i="7" s="1"/>
  <c r="AH708" i="7" s="1"/>
  <c r="T708" i="7"/>
  <c r="U708" i="7" s="1"/>
  <c r="S708" i="7"/>
  <c r="K708" i="7"/>
  <c r="T707" i="7"/>
  <c r="U707" i="7" s="1"/>
  <c r="S707" i="7"/>
  <c r="K707" i="7"/>
  <c r="X706" i="7"/>
  <c r="T706" i="7"/>
  <c r="S706" i="7"/>
  <c r="AC705" i="7"/>
  <c r="AD705" i="7" s="1"/>
  <c r="X705" i="7"/>
  <c r="Z705" i="7" s="1"/>
  <c r="AA705" i="7" s="1"/>
  <c r="T705" i="7"/>
  <c r="S705" i="7"/>
  <c r="X704" i="7"/>
  <c r="T704" i="7"/>
  <c r="S704" i="7"/>
  <c r="X703" i="7"/>
  <c r="T703" i="7"/>
  <c r="S703" i="7"/>
  <c r="X702" i="7"/>
  <c r="T702" i="7"/>
  <c r="S702" i="7"/>
  <c r="X701" i="7"/>
  <c r="T701" i="7"/>
  <c r="S701" i="7"/>
  <c r="X700" i="7"/>
  <c r="Y700" i="7" s="1"/>
  <c r="Z700" i="7" s="1"/>
  <c r="AA700" i="7" s="1"/>
  <c r="T700" i="7"/>
  <c r="S700" i="7"/>
  <c r="X699" i="7"/>
  <c r="Y699" i="7" s="1"/>
  <c r="Z699" i="7" s="1"/>
  <c r="AA699" i="7" s="1"/>
  <c r="T699" i="7"/>
  <c r="S699" i="7"/>
  <c r="AC698" i="7"/>
  <c r="AD698" i="7" s="1"/>
  <c r="AE698" i="7" s="1"/>
  <c r="AF698" i="7" s="1"/>
  <c r="AG698" i="7" s="1"/>
  <c r="AH698" i="7" s="1"/>
  <c r="X698" i="7"/>
  <c r="T698" i="7"/>
  <c r="S698" i="7"/>
  <c r="X697" i="7"/>
  <c r="Y697" i="7" s="1"/>
  <c r="Z697" i="7" s="1"/>
  <c r="AA697" i="7" s="1"/>
  <c r="T697" i="7"/>
  <c r="S697" i="7"/>
  <c r="AC696" i="7"/>
  <c r="T696" i="7"/>
  <c r="U696" i="7" s="1"/>
  <c r="S696" i="7"/>
  <c r="K696" i="7"/>
  <c r="AC695" i="7"/>
  <c r="AD695" i="7" s="1"/>
  <c r="AE695" i="7" s="1"/>
  <c r="AF695" i="7" s="1"/>
  <c r="AG695" i="7" s="1"/>
  <c r="AH695" i="7" s="1"/>
  <c r="T695" i="7"/>
  <c r="U695" i="7" s="1"/>
  <c r="S695" i="7"/>
  <c r="K695" i="7"/>
  <c r="T694" i="7"/>
  <c r="U694" i="7" s="1"/>
  <c r="S694" i="7"/>
  <c r="K694" i="7"/>
  <c r="AC693" i="7"/>
  <c r="AD693" i="7" s="1"/>
  <c r="AE693" i="7" s="1"/>
  <c r="AF693" i="7" s="1"/>
  <c r="AG693" i="7" s="1"/>
  <c r="AH693" i="7" s="1"/>
  <c r="T693" i="7"/>
  <c r="U693" i="7" s="1"/>
  <c r="S693" i="7"/>
  <c r="K693" i="7"/>
  <c r="AC692" i="7"/>
  <c r="AD692" i="7" s="1"/>
  <c r="AE692" i="7" s="1"/>
  <c r="AF692" i="7" s="1"/>
  <c r="AG692" i="7" s="1"/>
  <c r="AH692" i="7" s="1"/>
  <c r="Z692" i="7"/>
  <c r="T692" i="7"/>
  <c r="U692" i="7" s="1"/>
  <c r="S692" i="7"/>
  <c r="K692" i="7"/>
  <c r="AC691" i="7"/>
  <c r="AD691" i="7" s="1"/>
  <c r="AE691" i="7" s="1"/>
  <c r="AF691" i="7" s="1"/>
  <c r="AG691" i="7" s="1"/>
  <c r="AH691" i="7" s="1"/>
  <c r="T691" i="7"/>
  <c r="U691" i="7" s="1"/>
  <c r="S691" i="7"/>
  <c r="K691" i="7"/>
  <c r="AC690" i="7"/>
  <c r="AD690" i="7" s="1"/>
  <c r="AE690" i="7" s="1"/>
  <c r="AF690" i="7" s="1"/>
  <c r="AG690" i="7" s="1"/>
  <c r="AH690" i="7" s="1"/>
  <c r="T690" i="7"/>
  <c r="U690" i="7" s="1"/>
  <c r="S690" i="7"/>
  <c r="K690" i="7"/>
  <c r="AC689" i="7"/>
  <c r="AD689" i="7" s="1"/>
  <c r="AE689" i="7" s="1"/>
  <c r="AF689" i="7" s="1"/>
  <c r="AG689" i="7" s="1"/>
  <c r="AH689" i="7" s="1"/>
  <c r="T689" i="7"/>
  <c r="U689" i="7" s="1"/>
  <c r="S689" i="7"/>
  <c r="K689" i="7"/>
  <c r="AC688" i="7"/>
  <c r="AD688" i="7" s="1"/>
  <c r="AE688" i="7" s="1"/>
  <c r="AF688" i="7" s="1"/>
  <c r="AG688" i="7" s="1"/>
  <c r="AH688" i="7" s="1"/>
  <c r="T688" i="7"/>
  <c r="U688" i="7" s="1"/>
  <c r="S688" i="7"/>
  <c r="K688" i="7"/>
  <c r="AC687" i="7"/>
  <c r="AD687" i="7" s="1"/>
  <c r="AE687" i="7" s="1"/>
  <c r="AF687" i="7" s="1"/>
  <c r="AG687" i="7" s="1"/>
  <c r="AH687" i="7" s="1"/>
  <c r="T687" i="7"/>
  <c r="U687" i="7" s="1"/>
  <c r="S687" i="7"/>
  <c r="K687" i="7"/>
  <c r="AC686" i="7"/>
  <c r="AD686" i="7" s="1"/>
  <c r="AE686" i="7" s="1"/>
  <c r="AF686" i="7" s="1"/>
  <c r="AG686" i="7" s="1"/>
  <c r="AH686" i="7" s="1"/>
  <c r="Z686" i="7"/>
  <c r="T686" i="7"/>
  <c r="U686" i="7" s="1"/>
  <c r="S686" i="7"/>
  <c r="K686" i="7"/>
  <c r="AC685" i="7"/>
  <c r="AD685" i="7" s="1"/>
  <c r="AE685" i="7" s="1"/>
  <c r="AF685" i="7" s="1"/>
  <c r="AG685" i="7" s="1"/>
  <c r="AH685" i="7" s="1"/>
  <c r="Z685" i="7"/>
  <c r="T685" i="7"/>
  <c r="U685" i="7" s="1"/>
  <c r="S685" i="7"/>
  <c r="K685" i="7"/>
  <c r="AC684" i="7"/>
  <c r="AD684" i="7" s="1"/>
  <c r="AE684" i="7" s="1"/>
  <c r="AF684" i="7" s="1"/>
  <c r="AG684" i="7" s="1"/>
  <c r="AH684" i="7" s="1"/>
  <c r="Z684" i="7"/>
  <c r="T684" i="7"/>
  <c r="U684" i="7" s="1"/>
  <c r="S684" i="7"/>
  <c r="K684" i="7"/>
  <c r="T683" i="7"/>
  <c r="U683" i="7" s="1"/>
  <c r="S683" i="7"/>
  <c r="K683" i="7"/>
  <c r="AC682" i="7"/>
  <c r="AD682" i="7" s="1"/>
  <c r="AE682" i="7" s="1"/>
  <c r="AF682" i="7" s="1"/>
  <c r="AG682" i="7" s="1"/>
  <c r="AH682" i="7" s="1"/>
  <c r="Z682" i="7"/>
  <c r="T682" i="7"/>
  <c r="U682" i="7" s="1"/>
  <c r="S682" i="7"/>
  <c r="K682" i="7"/>
  <c r="AC681" i="7"/>
  <c r="AD681" i="7" s="1"/>
  <c r="AE681" i="7" s="1"/>
  <c r="AF681" i="7" s="1"/>
  <c r="AG681" i="7" s="1"/>
  <c r="AH681" i="7" s="1"/>
  <c r="Z681" i="7"/>
  <c r="T681" i="7"/>
  <c r="U681" i="7" s="1"/>
  <c r="S681" i="7"/>
  <c r="K681" i="7"/>
  <c r="AC680" i="7"/>
  <c r="AD680" i="7" s="1"/>
  <c r="AE680" i="7" s="1"/>
  <c r="AF680" i="7" s="1"/>
  <c r="AG680" i="7" s="1"/>
  <c r="AH680" i="7" s="1"/>
  <c r="T680" i="7"/>
  <c r="U680" i="7" s="1"/>
  <c r="S680" i="7"/>
  <c r="K680" i="7"/>
  <c r="AC679" i="7"/>
  <c r="AD679" i="7" s="1"/>
  <c r="AE679" i="7" s="1"/>
  <c r="AF679" i="7" s="1"/>
  <c r="AG679" i="7" s="1"/>
  <c r="AH679" i="7" s="1"/>
  <c r="Z679" i="7"/>
  <c r="T679" i="7"/>
  <c r="U679" i="7" s="1"/>
  <c r="V679" i="7" s="1"/>
  <c r="S679" i="7"/>
  <c r="K679" i="7"/>
  <c r="AC678" i="7"/>
  <c r="AD678" i="7" s="1"/>
  <c r="AE678" i="7" s="1"/>
  <c r="AF678" i="7" s="1"/>
  <c r="AG678" i="7" s="1"/>
  <c r="AH678" i="7" s="1"/>
  <c r="Z678" i="7"/>
  <c r="T678" i="7"/>
  <c r="U678" i="7" s="1"/>
  <c r="S678" i="7"/>
  <c r="K678" i="7"/>
  <c r="AC677" i="7"/>
  <c r="AD677" i="7" s="1"/>
  <c r="AE677" i="7" s="1"/>
  <c r="AF677" i="7" s="1"/>
  <c r="AG677" i="7" s="1"/>
  <c r="AH677" i="7" s="1"/>
  <c r="Z677" i="7"/>
  <c r="T677" i="7"/>
  <c r="U677" i="7" s="1"/>
  <c r="V677" i="7" s="1"/>
  <c r="S677" i="7"/>
  <c r="K677" i="7"/>
  <c r="AC676" i="7"/>
  <c r="AD676" i="7" s="1"/>
  <c r="AE676" i="7" s="1"/>
  <c r="AF676" i="7" s="1"/>
  <c r="AG676" i="7" s="1"/>
  <c r="AH676" i="7" s="1"/>
  <c r="T676" i="7"/>
  <c r="U676" i="7" s="1"/>
  <c r="S676" i="7"/>
  <c r="K676" i="7"/>
  <c r="AC675" i="7"/>
  <c r="AD675" i="7" s="1"/>
  <c r="AE675" i="7" s="1"/>
  <c r="AF675" i="7" s="1"/>
  <c r="AG675" i="7" s="1"/>
  <c r="AH675" i="7" s="1"/>
  <c r="Z675" i="7"/>
  <c r="T675" i="7"/>
  <c r="U675" i="7" s="1"/>
  <c r="S675" i="7"/>
  <c r="K675" i="7"/>
  <c r="AC674" i="7"/>
  <c r="AD674" i="7" s="1"/>
  <c r="AE674" i="7" s="1"/>
  <c r="AF674" i="7" s="1"/>
  <c r="AG674" i="7" s="1"/>
  <c r="AH674" i="7" s="1"/>
  <c r="Z674" i="7"/>
  <c r="T674" i="7"/>
  <c r="U674" i="7" s="1"/>
  <c r="S674" i="7"/>
  <c r="K674" i="7"/>
  <c r="AC673" i="7"/>
  <c r="AD673" i="7" s="1"/>
  <c r="AE673" i="7" s="1"/>
  <c r="AF673" i="7" s="1"/>
  <c r="AG673" i="7" s="1"/>
  <c r="AH673" i="7" s="1"/>
  <c r="T673" i="7"/>
  <c r="U673" i="7" s="1"/>
  <c r="S673" i="7"/>
  <c r="K673" i="7"/>
  <c r="AC672" i="7"/>
  <c r="AD672" i="7" s="1"/>
  <c r="AE672" i="7" s="1"/>
  <c r="AF672" i="7" s="1"/>
  <c r="AG672" i="7" s="1"/>
  <c r="AH672" i="7" s="1"/>
  <c r="Z672" i="7"/>
  <c r="T672" i="7"/>
  <c r="U672" i="7" s="1"/>
  <c r="S672" i="7"/>
  <c r="K672" i="7"/>
  <c r="AC671" i="7"/>
  <c r="AD671" i="7" s="1"/>
  <c r="AE671" i="7" s="1"/>
  <c r="AF671" i="7" s="1"/>
  <c r="AG671" i="7" s="1"/>
  <c r="AH671" i="7" s="1"/>
  <c r="Z671" i="7"/>
  <c r="T671" i="7"/>
  <c r="U671" i="7" s="1"/>
  <c r="S671" i="7"/>
  <c r="K671" i="7"/>
  <c r="AC670" i="7"/>
  <c r="AD670" i="7" s="1"/>
  <c r="AE670" i="7" s="1"/>
  <c r="AF670" i="7" s="1"/>
  <c r="AG670" i="7" s="1"/>
  <c r="AH670" i="7" s="1"/>
  <c r="Z670" i="7"/>
  <c r="T670" i="7"/>
  <c r="U670" i="7" s="1"/>
  <c r="S670" i="7"/>
  <c r="K670" i="7"/>
  <c r="AC669" i="7"/>
  <c r="AD669" i="7" s="1"/>
  <c r="AE669" i="7" s="1"/>
  <c r="AF669" i="7" s="1"/>
  <c r="AG669" i="7" s="1"/>
  <c r="AH669" i="7" s="1"/>
  <c r="Z669" i="7"/>
  <c r="T669" i="7"/>
  <c r="U669" i="7" s="1"/>
  <c r="S669" i="7"/>
  <c r="K669" i="7"/>
  <c r="AC668" i="7"/>
  <c r="AD668" i="7" s="1"/>
  <c r="AE668" i="7" s="1"/>
  <c r="AF668" i="7" s="1"/>
  <c r="AG668" i="7" s="1"/>
  <c r="AH668" i="7" s="1"/>
  <c r="T668" i="7"/>
  <c r="U668" i="7" s="1"/>
  <c r="S668" i="7"/>
  <c r="K668" i="7"/>
  <c r="AC667" i="7"/>
  <c r="AD667" i="7" s="1"/>
  <c r="AE667" i="7" s="1"/>
  <c r="AF667" i="7" s="1"/>
  <c r="AG667" i="7" s="1"/>
  <c r="AH667" i="7" s="1"/>
  <c r="Z667" i="7"/>
  <c r="T667" i="7"/>
  <c r="U667" i="7" s="1"/>
  <c r="S667" i="7"/>
  <c r="K667" i="7"/>
  <c r="T666" i="7"/>
  <c r="U666" i="7" s="1"/>
  <c r="S666" i="7"/>
  <c r="K666" i="7"/>
  <c r="AC665" i="7"/>
  <c r="AD665" i="7" s="1"/>
  <c r="AE665" i="7" s="1"/>
  <c r="AF665" i="7" s="1"/>
  <c r="AG665" i="7" s="1"/>
  <c r="AH665" i="7" s="1"/>
  <c r="Z665" i="7"/>
  <c r="T665" i="7"/>
  <c r="U665" i="7" s="1"/>
  <c r="V665" i="7" s="1"/>
  <c r="S665" i="7"/>
  <c r="K665" i="7"/>
  <c r="AC664" i="7"/>
  <c r="AD664" i="7" s="1"/>
  <c r="AE664" i="7" s="1"/>
  <c r="AF664" i="7" s="1"/>
  <c r="AG664" i="7" s="1"/>
  <c r="AH664" i="7" s="1"/>
  <c r="Z664" i="7"/>
  <c r="T664" i="7"/>
  <c r="U664" i="7" s="1"/>
  <c r="V664" i="7" s="1"/>
  <c r="S664" i="7"/>
  <c r="K664" i="7"/>
  <c r="AC663" i="7"/>
  <c r="AD663" i="7" s="1"/>
  <c r="AE663" i="7" s="1"/>
  <c r="AF663" i="7" s="1"/>
  <c r="AG663" i="7" s="1"/>
  <c r="AH663" i="7" s="1"/>
  <c r="Z663" i="7"/>
  <c r="S663" i="7"/>
  <c r="K663" i="7"/>
  <c r="S662" i="7"/>
  <c r="K662" i="7"/>
  <c r="AC661" i="7"/>
  <c r="AD661" i="7" s="1"/>
  <c r="AE661" i="7" s="1"/>
  <c r="AF661" i="7" s="1"/>
  <c r="AG661" i="7" s="1"/>
  <c r="AH661" i="7" s="1"/>
  <c r="S661" i="7"/>
  <c r="K661" i="7"/>
  <c r="S660" i="7"/>
  <c r="K660" i="7"/>
  <c r="AC659" i="7"/>
  <c r="AD659" i="7" s="1"/>
  <c r="AE659" i="7" s="1"/>
  <c r="AF659" i="7" s="1"/>
  <c r="AG659" i="7" s="1"/>
  <c r="AH659" i="7" s="1"/>
  <c r="S659" i="7"/>
  <c r="K659" i="7"/>
  <c r="AC658" i="7"/>
  <c r="AD658" i="7" s="1"/>
  <c r="AE658" i="7" s="1"/>
  <c r="AF658" i="7" s="1"/>
  <c r="AG658" i="7" s="1"/>
  <c r="AH658" i="7" s="1"/>
  <c r="Z658" i="7"/>
  <c r="S658" i="7"/>
  <c r="K658" i="7"/>
  <c r="AC657" i="7"/>
  <c r="AD657" i="7" s="1"/>
  <c r="AE657" i="7" s="1"/>
  <c r="AF657" i="7" s="1"/>
  <c r="AG657" i="7" s="1"/>
  <c r="AH657" i="7" s="1"/>
  <c r="S657" i="7"/>
  <c r="K657" i="7"/>
  <c r="AC656" i="7"/>
  <c r="AD656" i="7" s="1"/>
  <c r="AE656" i="7" s="1"/>
  <c r="AF656" i="7" s="1"/>
  <c r="AG656" i="7" s="1"/>
  <c r="AH656" i="7" s="1"/>
  <c r="S656" i="7"/>
  <c r="K656" i="7"/>
  <c r="AC655" i="7"/>
  <c r="AD655" i="7" s="1"/>
  <c r="AE655" i="7" s="1"/>
  <c r="AF655" i="7" s="1"/>
  <c r="AG655" i="7" s="1"/>
  <c r="AH655" i="7" s="1"/>
  <c r="Z655" i="7"/>
  <c r="AA655" i="7" s="1"/>
  <c r="S655" i="7"/>
  <c r="K655" i="7"/>
  <c r="AC654" i="7"/>
  <c r="AD654" i="7" s="1"/>
  <c r="AE654" i="7" s="1"/>
  <c r="AF654" i="7" s="1"/>
  <c r="AG654" i="7" s="1"/>
  <c r="AH654" i="7" s="1"/>
  <c r="S654" i="7"/>
  <c r="K654" i="7"/>
  <c r="S653" i="7"/>
  <c r="K653" i="7"/>
  <c r="S652" i="7"/>
  <c r="K652" i="7"/>
  <c r="AC651" i="7"/>
  <c r="AD651" i="7" s="1"/>
  <c r="AE651" i="7" s="1"/>
  <c r="AF651" i="7" s="1"/>
  <c r="AG651" i="7" s="1"/>
  <c r="AH651" i="7" s="1"/>
  <c r="Z651" i="7"/>
  <c r="AA651" i="7" s="1"/>
  <c r="S651" i="7"/>
  <c r="K651" i="7"/>
  <c r="AC650" i="7"/>
  <c r="AD650" i="7" s="1"/>
  <c r="AE650" i="7" s="1"/>
  <c r="AF650" i="7" s="1"/>
  <c r="AG650" i="7" s="1"/>
  <c r="AH650" i="7" s="1"/>
  <c r="AA650" i="7"/>
  <c r="R650" i="7"/>
  <c r="K650" i="7"/>
  <c r="AC649" i="7"/>
  <c r="AD649" i="7" s="1"/>
  <c r="AE649" i="7" s="1"/>
  <c r="AF649" i="7" s="1"/>
  <c r="AG649" i="7" s="1"/>
  <c r="AH649" i="7" s="1"/>
  <c r="Z649" i="7"/>
  <c r="AA649" i="7" s="1"/>
  <c r="R649" i="7"/>
  <c r="K649" i="7"/>
  <c r="R648" i="7"/>
  <c r="K648" i="7"/>
  <c r="R647" i="7"/>
  <c r="K647" i="7"/>
  <c r="AC646" i="7"/>
  <c r="AD646" i="7" s="1"/>
  <c r="AE646" i="7" s="1"/>
  <c r="AF646" i="7" s="1"/>
  <c r="AG646" i="7" s="1"/>
  <c r="AH646" i="7" s="1"/>
  <c r="Z646" i="7"/>
  <c r="AA646" i="7" s="1"/>
  <c r="R646" i="7"/>
  <c r="K646" i="7"/>
  <c r="AC645" i="7"/>
  <c r="AD645" i="7" s="1"/>
  <c r="AE645" i="7" s="1"/>
  <c r="AF645" i="7" s="1"/>
  <c r="AG645" i="7" s="1"/>
  <c r="AH645" i="7" s="1"/>
  <c r="Z645" i="7"/>
  <c r="AA645" i="7" s="1"/>
  <c r="R645" i="7"/>
  <c r="K645" i="7"/>
  <c r="AC644" i="7"/>
  <c r="AD644" i="7" s="1"/>
  <c r="AE644" i="7" s="1"/>
  <c r="AF644" i="7" s="1"/>
  <c r="AG644" i="7" s="1"/>
  <c r="AH644" i="7" s="1"/>
  <c r="AA644" i="7"/>
  <c r="T644" i="7"/>
  <c r="U644" i="7" s="1"/>
  <c r="S644" i="7"/>
  <c r="K644" i="7"/>
  <c r="AC643" i="7"/>
  <c r="AD643" i="7" s="1"/>
  <c r="AE643" i="7" s="1"/>
  <c r="AF643" i="7" s="1"/>
  <c r="AG643" i="7" s="1"/>
  <c r="AH643" i="7" s="1"/>
  <c r="Z643" i="7"/>
  <c r="AA643" i="7" s="1"/>
  <c r="T643" i="7"/>
  <c r="U643" i="7" s="1"/>
  <c r="S643" i="7"/>
  <c r="K643" i="7"/>
  <c r="AC642" i="7"/>
  <c r="AD642" i="7" s="1"/>
  <c r="AE642" i="7" s="1"/>
  <c r="AF642" i="7" s="1"/>
  <c r="AG642" i="7" s="1"/>
  <c r="AH642" i="7" s="1"/>
  <c r="Z642" i="7"/>
  <c r="AA642" i="7" s="1"/>
  <c r="T642" i="7"/>
  <c r="U642" i="7" s="1"/>
  <c r="S642" i="7"/>
  <c r="K642" i="7"/>
  <c r="AC641" i="7"/>
  <c r="AD641" i="7" s="1"/>
  <c r="AE641" i="7" s="1"/>
  <c r="AF641" i="7" s="1"/>
  <c r="AG641" i="7" s="1"/>
  <c r="AH641" i="7" s="1"/>
  <c r="Z641" i="7"/>
  <c r="AA641" i="7" s="1"/>
  <c r="T641" i="7"/>
  <c r="U641" i="7" s="1"/>
  <c r="S641" i="7"/>
  <c r="K641" i="7"/>
  <c r="AC640" i="7"/>
  <c r="AD640" i="7" s="1"/>
  <c r="AE640" i="7" s="1"/>
  <c r="AF640" i="7" s="1"/>
  <c r="AG640" i="7" s="1"/>
  <c r="AH640" i="7" s="1"/>
  <c r="Z640" i="7"/>
  <c r="AA640" i="7" s="1"/>
  <c r="T640" i="7"/>
  <c r="U640" i="7" s="1"/>
  <c r="V640" i="7" s="1"/>
  <c r="S640" i="7"/>
  <c r="K640" i="7"/>
  <c r="AC639" i="7"/>
  <c r="AD639" i="7" s="1"/>
  <c r="AE639" i="7" s="1"/>
  <c r="AF639" i="7" s="1"/>
  <c r="AG639" i="7" s="1"/>
  <c r="AH639" i="7" s="1"/>
  <c r="Z639" i="7"/>
  <c r="AA639" i="7" s="1"/>
  <c r="T639" i="7"/>
  <c r="U639" i="7" s="1"/>
  <c r="S639" i="7"/>
  <c r="K639" i="7"/>
  <c r="T638" i="7"/>
  <c r="U638" i="7" s="1"/>
  <c r="S638" i="7"/>
  <c r="K638" i="7"/>
  <c r="T637" i="7"/>
  <c r="U637" i="7" s="1"/>
  <c r="S637" i="7"/>
  <c r="K637" i="7"/>
  <c r="AC636" i="7"/>
  <c r="AD636" i="7" s="1"/>
  <c r="AE636" i="7" s="1"/>
  <c r="AF636" i="7" s="1"/>
  <c r="AG636" i="7" s="1"/>
  <c r="AH636" i="7" s="1"/>
  <c r="Z636" i="7"/>
  <c r="AA636" i="7" s="1"/>
  <c r="T636" i="7"/>
  <c r="U636" i="7" s="1"/>
  <c r="S636" i="7"/>
  <c r="K636" i="7"/>
  <c r="T635" i="7"/>
  <c r="U635" i="7" s="1"/>
  <c r="S635" i="7"/>
  <c r="K635" i="7"/>
  <c r="AC634" i="7"/>
  <c r="AD634" i="7" s="1"/>
  <c r="AE634" i="7" s="1"/>
  <c r="AF634" i="7" s="1"/>
  <c r="AG634" i="7" s="1"/>
  <c r="AH634" i="7" s="1"/>
  <c r="Z634" i="7"/>
  <c r="AA634" i="7" s="1"/>
  <c r="T634" i="7"/>
  <c r="U634" i="7" s="1"/>
  <c r="S634" i="7"/>
  <c r="K634" i="7"/>
  <c r="T633" i="7"/>
  <c r="U633" i="7" s="1"/>
  <c r="S633" i="7"/>
  <c r="K633" i="7"/>
  <c r="AC632" i="7"/>
  <c r="AD632" i="7" s="1"/>
  <c r="AE632" i="7" s="1"/>
  <c r="AF632" i="7" s="1"/>
  <c r="AG632" i="7" s="1"/>
  <c r="AH632" i="7" s="1"/>
  <c r="Z632" i="7"/>
  <c r="AA632" i="7" s="1"/>
  <c r="T632" i="7"/>
  <c r="U632" i="7" s="1"/>
  <c r="S632" i="7"/>
  <c r="K632" i="7"/>
  <c r="AC631" i="7"/>
  <c r="AD631" i="7" s="1"/>
  <c r="AE631" i="7" s="1"/>
  <c r="AF631" i="7" s="1"/>
  <c r="AG631" i="7" s="1"/>
  <c r="AH631" i="7" s="1"/>
  <c r="AA631" i="7"/>
  <c r="T631" i="7"/>
  <c r="U631" i="7" s="1"/>
  <c r="S631" i="7"/>
  <c r="K631" i="7"/>
  <c r="AC630" i="7"/>
  <c r="AD630" i="7" s="1"/>
  <c r="AE630" i="7" s="1"/>
  <c r="AF630" i="7" s="1"/>
  <c r="AG630" i="7" s="1"/>
  <c r="AH630" i="7" s="1"/>
  <c r="T630" i="7"/>
  <c r="U630" i="7" s="1"/>
  <c r="S630" i="7"/>
  <c r="K630" i="7"/>
  <c r="AC629" i="7"/>
  <c r="AD629" i="7" s="1"/>
  <c r="AE629" i="7" s="1"/>
  <c r="AF629" i="7" s="1"/>
  <c r="AG629" i="7" s="1"/>
  <c r="AH629" i="7" s="1"/>
  <c r="Z629" i="7"/>
  <c r="AA629" i="7" s="1"/>
  <c r="T629" i="7"/>
  <c r="U629" i="7" s="1"/>
  <c r="S629" i="7"/>
  <c r="K629" i="7"/>
  <c r="AC628" i="7"/>
  <c r="AD628" i="7" s="1"/>
  <c r="AE628" i="7" s="1"/>
  <c r="AF628" i="7" s="1"/>
  <c r="AG628" i="7" s="1"/>
  <c r="AH628" i="7" s="1"/>
  <c r="AA628" i="7"/>
  <c r="T628" i="7"/>
  <c r="U628" i="7" s="1"/>
  <c r="S628" i="7"/>
  <c r="K628" i="7"/>
  <c r="AC627" i="7"/>
  <c r="AD627" i="7" s="1"/>
  <c r="AE627" i="7" s="1"/>
  <c r="AF627" i="7" s="1"/>
  <c r="AG627" i="7" s="1"/>
  <c r="AH627" i="7" s="1"/>
  <c r="Z627" i="7"/>
  <c r="AA627" i="7" s="1"/>
  <c r="T627" i="7"/>
  <c r="U627" i="7" s="1"/>
  <c r="S627" i="7"/>
  <c r="K627" i="7"/>
  <c r="AC626" i="7"/>
  <c r="AD626" i="7" s="1"/>
  <c r="AE626" i="7" s="1"/>
  <c r="AF626" i="7" s="1"/>
  <c r="AG626" i="7" s="1"/>
  <c r="AH626" i="7" s="1"/>
  <c r="Z626" i="7"/>
  <c r="AA626" i="7" s="1"/>
  <c r="T626" i="7"/>
  <c r="U626" i="7" s="1"/>
  <c r="S626" i="7"/>
  <c r="K626" i="7"/>
  <c r="T625" i="7"/>
  <c r="U625" i="7" s="1"/>
  <c r="S625" i="7"/>
  <c r="K625" i="7"/>
  <c r="AC624" i="7"/>
  <c r="AD624" i="7" s="1"/>
  <c r="AE624" i="7" s="1"/>
  <c r="AF624" i="7" s="1"/>
  <c r="AG624" i="7" s="1"/>
  <c r="AH624" i="7" s="1"/>
  <c r="Z624" i="7"/>
  <c r="AA624" i="7" s="1"/>
  <c r="T624" i="7"/>
  <c r="U624" i="7" s="1"/>
  <c r="S624" i="7"/>
  <c r="K624" i="7"/>
  <c r="AC623" i="7"/>
  <c r="AD623" i="7" s="1"/>
  <c r="AE623" i="7" s="1"/>
  <c r="AF623" i="7" s="1"/>
  <c r="AG623" i="7" s="1"/>
  <c r="AH623" i="7" s="1"/>
  <c r="Z623" i="7"/>
  <c r="AA623" i="7" s="1"/>
  <c r="T623" i="7"/>
  <c r="U623" i="7" s="1"/>
  <c r="V623" i="7" s="1"/>
  <c r="S623" i="7"/>
  <c r="K623" i="7"/>
  <c r="AC622" i="7"/>
  <c r="AD622" i="7" s="1"/>
  <c r="AE622" i="7" s="1"/>
  <c r="AF622" i="7" s="1"/>
  <c r="AG622" i="7" s="1"/>
  <c r="AH622" i="7" s="1"/>
  <c r="Z622" i="7"/>
  <c r="AA622" i="7" s="1"/>
  <c r="T622" i="7"/>
  <c r="U622" i="7" s="1"/>
  <c r="S622" i="7"/>
  <c r="K622" i="7"/>
  <c r="AC621" i="7"/>
  <c r="AD621" i="7" s="1"/>
  <c r="AE621" i="7" s="1"/>
  <c r="AF621" i="7" s="1"/>
  <c r="AG621" i="7" s="1"/>
  <c r="AH621" i="7" s="1"/>
  <c r="Z621" i="7"/>
  <c r="AA621" i="7" s="1"/>
  <c r="T621" i="7"/>
  <c r="U621" i="7" s="1"/>
  <c r="V621" i="7" s="1"/>
  <c r="S621" i="7"/>
  <c r="K621" i="7"/>
  <c r="AC620" i="7"/>
  <c r="AD620" i="7" s="1"/>
  <c r="AE620" i="7" s="1"/>
  <c r="AF620" i="7" s="1"/>
  <c r="AG620" i="7" s="1"/>
  <c r="AH620" i="7" s="1"/>
  <c r="Z620" i="7"/>
  <c r="AA620" i="7" s="1"/>
  <c r="T620" i="7"/>
  <c r="U620" i="7" s="1"/>
  <c r="S620" i="7"/>
  <c r="K620" i="7"/>
  <c r="T619" i="7"/>
  <c r="U619" i="7" s="1"/>
  <c r="S619" i="7"/>
  <c r="K619" i="7"/>
  <c r="T618" i="7"/>
  <c r="U618" i="7" s="1"/>
  <c r="S618" i="7"/>
  <c r="K618" i="7"/>
  <c r="AC617" i="7"/>
  <c r="AD617" i="7" s="1"/>
  <c r="AE617" i="7" s="1"/>
  <c r="AF617" i="7" s="1"/>
  <c r="AG617" i="7" s="1"/>
  <c r="AH617" i="7" s="1"/>
  <c r="Z617" i="7"/>
  <c r="AA617" i="7" s="1"/>
  <c r="T617" i="7"/>
  <c r="U617" i="7" s="1"/>
  <c r="S617" i="7"/>
  <c r="K617" i="7"/>
  <c r="AC616" i="7"/>
  <c r="AD616" i="7" s="1"/>
  <c r="AE616" i="7" s="1"/>
  <c r="AF616" i="7" s="1"/>
  <c r="AG616" i="7" s="1"/>
  <c r="AH616" i="7" s="1"/>
  <c r="T616" i="7"/>
  <c r="U616" i="7" s="1"/>
  <c r="S616" i="7"/>
  <c r="K616" i="7"/>
  <c r="AC615" i="7"/>
  <c r="AD615" i="7" s="1"/>
  <c r="AE615" i="7" s="1"/>
  <c r="AF615" i="7" s="1"/>
  <c r="AG615" i="7" s="1"/>
  <c r="AH615" i="7" s="1"/>
  <c r="Z615" i="7"/>
  <c r="AA615" i="7" s="1"/>
  <c r="T615" i="7"/>
  <c r="U615" i="7" s="1"/>
  <c r="S615" i="7"/>
  <c r="K615" i="7"/>
  <c r="AC614" i="7"/>
  <c r="AD614" i="7" s="1"/>
  <c r="AE614" i="7" s="1"/>
  <c r="AF614" i="7" s="1"/>
  <c r="AG614" i="7" s="1"/>
  <c r="AH614" i="7" s="1"/>
  <c r="Z614" i="7"/>
  <c r="AA614" i="7" s="1"/>
  <c r="T614" i="7"/>
  <c r="U614" i="7" s="1"/>
  <c r="S614" i="7"/>
  <c r="K614" i="7"/>
  <c r="AC613" i="7"/>
  <c r="AD613" i="7" s="1"/>
  <c r="AE613" i="7" s="1"/>
  <c r="AF613" i="7" s="1"/>
  <c r="AG613" i="7" s="1"/>
  <c r="AH613" i="7" s="1"/>
  <c r="Z613" i="7"/>
  <c r="AA613" i="7" s="1"/>
  <c r="T613" i="7"/>
  <c r="U613" i="7" s="1"/>
  <c r="S613" i="7"/>
  <c r="K613" i="7"/>
  <c r="T612" i="7"/>
  <c r="U612" i="7" s="1"/>
  <c r="S612" i="7"/>
  <c r="K612" i="7"/>
  <c r="AC611" i="7"/>
  <c r="AD611" i="7" s="1"/>
  <c r="AE611" i="7" s="1"/>
  <c r="AF611" i="7" s="1"/>
  <c r="AG611" i="7" s="1"/>
  <c r="AH611" i="7" s="1"/>
  <c r="Z611" i="7"/>
  <c r="AA611" i="7" s="1"/>
  <c r="T611" i="7"/>
  <c r="U611" i="7" s="1"/>
  <c r="V611" i="7" s="1"/>
  <c r="S611" i="7"/>
  <c r="K611" i="7"/>
  <c r="AC610" i="7"/>
  <c r="AD610" i="7" s="1"/>
  <c r="AE610" i="7" s="1"/>
  <c r="AF610" i="7" s="1"/>
  <c r="AG610" i="7" s="1"/>
  <c r="AH610" i="7" s="1"/>
  <c r="Z610" i="7"/>
  <c r="AA610" i="7" s="1"/>
  <c r="T610" i="7"/>
  <c r="U610" i="7" s="1"/>
  <c r="S610" i="7"/>
  <c r="K610" i="7"/>
  <c r="AC609" i="7"/>
  <c r="AD609" i="7" s="1"/>
  <c r="AE609" i="7" s="1"/>
  <c r="AF609" i="7" s="1"/>
  <c r="AG609" i="7" s="1"/>
  <c r="AH609" i="7" s="1"/>
  <c r="Z609" i="7"/>
  <c r="AA609" i="7" s="1"/>
  <c r="T609" i="7"/>
  <c r="U609" i="7" s="1"/>
  <c r="V609" i="7" s="1"/>
  <c r="S609" i="7"/>
  <c r="K609" i="7"/>
  <c r="AC608" i="7"/>
  <c r="AD608" i="7" s="1"/>
  <c r="AE608" i="7" s="1"/>
  <c r="AF608" i="7" s="1"/>
  <c r="AG608" i="7" s="1"/>
  <c r="AH608" i="7" s="1"/>
  <c r="Z608" i="7"/>
  <c r="AA608" i="7" s="1"/>
  <c r="T608" i="7"/>
  <c r="U608" i="7" s="1"/>
  <c r="S608" i="7"/>
  <c r="K608" i="7"/>
  <c r="T607" i="7"/>
  <c r="U607" i="7" s="1"/>
  <c r="S607" i="7"/>
  <c r="K607" i="7"/>
  <c r="AC606" i="7"/>
  <c r="AD606" i="7" s="1"/>
  <c r="AE606" i="7" s="1"/>
  <c r="AF606" i="7" s="1"/>
  <c r="AG606" i="7" s="1"/>
  <c r="AH606" i="7" s="1"/>
  <c r="AA606" i="7"/>
  <c r="T606" i="7"/>
  <c r="U606" i="7" s="1"/>
  <c r="S606" i="7"/>
  <c r="K606" i="7"/>
  <c r="T605" i="7"/>
  <c r="U605" i="7" s="1"/>
  <c r="S605" i="7"/>
  <c r="K605" i="7"/>
  <c r="T604" i="7"/>
  <c r="U604" i="7" s="1"/>
  <c r="S604" i="7"/>
  <c r="K604" i="7"/>
  <c r="T603" i="7"/>
  <c r="U603" i="7" s="1"/>
  <c r="S603" i="7"/>
  <c r="K603" i="7"/>
  <c r="T602" i="7"/>
  <c r="U602" i="7" s="1"/>
  <c r="S602" i="7"/>
  <c r="K602" i="7"/>
  <c r="T601" i="7"/>
  <c r="U601" i="7" s="1"/>
  <c r="S601" i="7"/>
  <c r="K601" i="7"/>
  <c r="T600" i="7"/>
  <c r="U600" i="7" s="1"/>
  <c r="S600" i="7"/>
  <c r="K600" i="7"/>
  <c r="AC599" i="7"/>
  <c r="AD599" i="7" s="1"/>
  <c r="AE599" i="7" s="1"/>
  <c r="AF599" i="7" s="1"/>
  <c r="AG599" i="7" s="1"/>
  <c r="AH599" i="7" s="1"/>
  <c r="Z599" i="7"/>
  <c r="AA599" i="7" s="1"/>
  <c r="T599" i="7"/>
  <c r="U599" i="7" s="1"/>
  <c r="S599" i="7"/>
  <c r="K599" i="7"/>
  <c r="T598" i="7"/>
  <c r="U598" i="7" s="1"/>
  <c r="S598" i="7"/>
  <c r="K598" i="7"/>
  <c r="T597" i="7"/>
  <c r="U597" i="7" s="1"/>
  <c r="V597" i="7" s="1"/>
  <c r="S597" i="7"/>
  <c r="K597" i="7"/>
  <c r="T596" i="7"/>
  <c r="U596" i="7" s="1"/>
  <c r="S596" i="7"/>
  <c r="K596" i="7"/>
  <c r="T595" i="7"/>
  <c r="U595" i="7" s="1"/>
  <c r="V595" i="7" s="1"/>
  <c r="S595" i="7"/>
  <c r="K595" i="7"/>
  <c r="AA594" i="7"/>
  <c r="AB594" i="7" s="1"/>
  <c r="AC594" i="7" s="1"/>
  <c r="AD594" i="7" s="1"/>
  <c r="AE594" i="7" s="1"/>
  <c r="AF594" i="7" s="1"/>
  <c r="AG594" i="7" s="1"/>
  <c r="AH594" i="7" s="1"/>
  <c r="T594" i="7"/>
  <c r="U594" i="7" s="1"/>
  <c r="S594" i="7"/>
  <c r="T593" i="7"/>
  <c r="U593" i="7" s="1"/>
  <c r="S593" i="7"/>
  <c r="T592" i="7"/>
  <c r="U592" i="7" s="1"/>
  <c r="S592" i="7"/>
  <c r="T591" i="7"/>
  <c r="U591" i="7" s="1"/>
  <c r="S591" i="7"/>
  <c r="AA590" i="7"/>
  <c r="AB590" i="7" s="1"/>
  <c r="AC590" i="7" s="1"/>
  <c r="AD590" i="7" s="1"/>
  <c r="AE590" i="7" s="1"/>
  <c r="AF590" i="7" s="1"/>
  <c r="AG590" i="7" s="1"/>
  <c r="AH590" i="7" s="1"/>
  <c r="T590" i="7"/>
  <c r="U590" i="7" s="1"/>
  <c r="S590" i="7"/>
  <c r="T589" i="7"/>
  <c r="U589" i="7" s="1"/>
  <c r="S589" i="7"/>
  <c r="T588" i="7"/>
  <c r="U588" i="7" s="1"/>
  <c r="S588" i="7"/>
  <c r="T587" i="7"/>
  <c r="U587" i="7" s="1"/>
  <c r="S587" i="7"/>
  <c r="T586" i="7"/>
  <c r="U586" i="7" s="1"/>
  <c r="S586" i="7"/>
  <c r="T585" i="7"/>
  <c r="U585" i="7" s="1"/>
  <c r="S585" i="7"/>
  <c r="T584" i="7"/>
  <c r="U584" i="7" s="1"/>
  <c r="S584" i="7"/>
  <c r="T583" i="7"/>
  <c r="U583" i="7" s="1"/>
  <c r="V583" i="7" s="1"/>
  <c r="X583" i="7" s="1"/>
  <c r="Y583" i="7" s="1"/>
  <c r="Z583" i="7" s="1"/>
  <c r="AA583" i="7" s="1"/>
  <c r="S583" i="7"/>
  <c r="T582" i="7"/>
  <c r="U582" i="7" s="1"/>
  <c r="S582" i="7"/>
  <c r="T581" i="7"/>
  <c r="U581" i="7" s="1"/>
  <c r="V581" i="7" s="1"/>
  <c r="X581" i="7" s="1"/>
  <c r="Y581" i="7" s="1"/>
  <c r="Z581" i="7" s="1"/>
  <c r="AA581" i="7" s="1"/>
  <c r="S581" i="7"/>
  <c r="T580" i="7"/>
  <c r="U580" i="7" s="1"/>
  <c r="S580" i="7"/>
  <c r="AA579" i="7"/>
  <c r="AB579" i="7" s="1"/>
  <c r="AC579" i="7" s="1"/>
  <c r="AD579" i="7" s="1"/>
  <c r="AE579" i="7" s="1"/>
  <c r="AF579" i="7" s="1"/>
  <c r="AG579" i="7" s="1"/>
  <c r="AH579" i="7" s="1"/>
  <c r="T579" i="7"/>
  <c r="U579" i="7" s="1"/>
  <c r="S579" i="7"/>
  <c r="AA578" i="7"/>
  <c r="AB578" i="7" s="1"/>
  <c r="AC578" i="7" s="1"/>
  <c r="AD578" i="7" s="1"/>
  <c r="AE578" i="7" s="1"/>
  <c r="AF578" i="7" s="1"/>
  <c r="AG578" i="7" s="1"/>
  <c r="AH578" i="7" s="1"/>
  <c r="T578" i="7"/>
  <c r="U578" i="7" s="1"/>
  <c r="S578" i="7"/>
  <c r="T577" i="7"/>
  <c r="U577" i="7" s="1"/>
  <c r="S577" i="7"/>
  <c r="T576" i="7"/>
  <c r="U576" i="7" s="1"/>
  <c r="S576" i="7"/>
  <c r="AA575" i="7"/>
  <c r="AB575" i="7" s="1"/>
  <c r="AC575" i="7" s="1"/>
  <c r="AD575" i="7" s="1"/>
  <c r="AE575" i="7" s="1"/>
  <c r="AF575" i="7" s="1"/>
  <c r="AG575" i="7" s="1"/>
  <c r="AH575" i="7" s="1"/>
  <c r="T575" i="7"/>
  <c r="U575" i="7" s="1"/>
  <c r="S575" i="7"/>
  <c r="T574" i="7"/>
  <c r="U574" i="7" s="1"/>
  <c r="S574" i="7"/>
  <c r="T573" i="7"/>
  <c r="U573" i="7" s="1"/>
  <c r="S573" i="7"/>
  <c r="AA572" i="7"/>
  <c r="AB572" i="7" s="1"/>
  <c r="AC572" i="7" s="1"/>
  <c r="AD572" i="7" s="1"/>
  <c r="AE572" i="7" s="1"/>
  <c r="AF572" i="7" s="1"/>
  <c r="AG572" i="7" s="1"/>
  <c r="AH572" i="7" s="1"/>
  <c r="T572" i="7"/>
  <c r="U572" i="7" s="1"/>
  <c r="S572" i="7"/>
  <c r="T571" i="7"/>
  <c r="U571" i="7" s="1"/>
  <c r="S571" i="7"/>
  <c r="AG570" i="7"/>
  <c r="AF570" i="7"/>
  <c r="AE570" i="7"/>
  <c r="T570" i="7"/>
  <c r="U570" i="7" s="1"/>
  <c r="S570" i="7"/>
  <c r="T569" i="7"/>
  <c r="U569" i="7" s="1"/>
  <c r="S569" i="7"/>
  <c r="T568" i="7"/>
  <c r="U568" i="7" s="1"/>
  <c r="S568" i="7"/>
  <c r="T567" i="7"/>
  <c r="U567" i="7" s="1"/>
  <c r="S567" i="7"/>
  <c r="T566" i="7"/>
  <c r="U566" i="7" s="1"/>
  <c r="S566" i="7"/>
  <c r="T565" i="7"/>
  <c r="U565" i="7" s="1"/>
  <c r="S565" i="7"/>
  <c r="T564" i="7"/>
  <c r="U564" i="7" s="1"/>
  <c r="S564" i="7"/>
  <c r="T563" i="7"/>
  <c r="U563" i="7" s="1"/>
  <c r="V563" i="7" s="1"/>
  <c r="X563" i="7" s="1"/>
  <c r="Y563" i="7" s="1"/>
  <c r="Z563" i="7" s="1"/>
  <c r="AA563" i="7" s="1"/>
  <c r="S563" i="7"/>
  <c r="T562" i="7"/>
  <c r="U562" i="7" s="1"/>
  <c r="S562" i="7"/>
  <c r="T561" i="7"/>
  <c r="U561" i="7" s="1"/>
  <c r="V561" i="7" s="1"/>
  <c r="X561" i="7" s="1"/>
  <c r="Y561" i="7" s="1"/>
  <c r="Z561" i="7" s="1"/>
  <c r="AA561" i="7" s="1"/>
  <c r="S561" i="7"/>
  <c r="AB560" i="7"/>
  <c r="AC560" i="7" s="1"/>
  <c r="AD560" i="7" s="1"/>
  <c r="AE560" i="7" s="1"/>
  <c r="AF560" i="7" s="1"/>
  <c r="AG560" i="7" s="1"/>
  <c r="AH560" i="7" s="1"/>
  <c r="T560" i="7"/>
  <c r="U560" i="7" s="1"/>
  <c r="V560" i="7" s="1"/>
  <c r="X560" i="7" s="1"/>
  <c r="S560" i="7"/>
  <c r="T559" i="7"/>
  <c r="U559" i="7" s="1"/>
  <c r="V559" i="7" s="1"/>
  <c r="X559" i="7" s="1"/>
  <c r="Y559" i="7" s="1"/>
  <c r="Z559" i="7" s="1"/>
  <c r="AA559" i="7" s="1"/>
  <c r="S559" i="7"/>
  <c r="AB558" i="7"/>
  <c r="AC558" i="7" s="1"/>
  <c r="AD558" i="7" s="1"/>
  <c r="AE558" i="7" s="1"/>
  <c r="AF558" i="7" s="1"/>
  <c r="AG558" i="7" s="1"/>
  <c r="AH558" i="7" s="1"/>
  <c r="T558" i="7"/>
  <c r="U558" i="7" s="1"/>
  <c r="V558" i="7" s="1"/>
  <c r="X558" i="7" s="1"/>
  <c r="S558" i="7"/>
  <c r="T557" i="7"/>
  <c r="U557" i="7" s="1"/>
  <c r="S557" i="7"/>
  <c r="T556" i="7"/>
  <c r="U556" i="7" s="1"/>
  <c r="S556" i="7"/>
  <c r="T555" i="7"/>
  <c r="U555" i="7" s="1"/>
  <c r="S555" i="7"/>
  <c r="T554" i="7"/>
  <c r="U554" i="7" s="1"/>
  <c r="V554" i="7" s="1"/>
  <c r="X554" i="7" s="1"/>
  <c r="S554" i="7"/>
  <c r="T553" i="7"/>
  <c r="U553" i="7" s="1"/>
  <c r="V553" i="7" s="1"/>
  <c r="X553" i="7" s="1"/>
  <c r="Y553" i="7" s="1"/>
  <c r="Z553" i="7" s="1"/>
  <c r="AA553" i="7" s="1"/>
  <c r="S553" i="7"/>
  <c r="AG552" i="7"/>
  <c r="AF552" i="7"/>
  <c r="AE552" i="7"/>
  <c r="T552" i="7"/>
  <c r="U552" i="7" s="1"/>
  <c r="S552" i="7"/>
  <c r="T551" i="7"/>
  <c r="U551" i="7" s="1"/>
  <c r="S551" i="7"/>
  <c r="T550" i="7"/>
  <c r="U550" i="7" s="1"/>
  <c r="S550" i="7"/>
  <c r="T549" i="7"/>
  <c r="U549" i="7" s="1"/>
  <c r="V549" i="7" s="1"/>
  <c r="X549" i="7" s="1"/>
  <c r="S549" i="7"/>
  <c r="AB548" i="7"/>
  <c r="T548" i="7"/>
  <c r="U548" i="7" s="1"/>
  <c r="V548" i="7" s="1"/>
  <c r="S548" i="7"/>
  <c r="K548" i="7"/>
  <c r="AC547" i="7"/>
  <c r="AD547" i="7" s="1"/>
  <c r="AE547" i="7" s="1"/>
  <c r="AF547" i="7" s="1"/>
  <c r="AG547" i="7" s="1"/>
  <c r="AH547" i="7" s="1"/>
  <c r="T547" i="7"/>
  <c r="U547" i="7" s="1"/>
  <c r="V547" i="7" s="1"/>
  <c r="S547" i="7"/>
  <c r="K547" i="7"/>
  <c r="T546" i="7"/>
  <c r="U546" i="7" s="1"/>
  <c r="V546" i="7" s="1"/>
  <c r="S546" i="7"/>
  <c r="K546" i="7"/>
  <c r="AC545" i="7"/>
  <c r="AD545" i="7" s="1"/>
  <c r="AE545" i="7" s="1"/>
  <c r="AF545" i="7" s="1"/>
  <c r="AG545" i="7" s="1"/>
  <c r="AH545" i="7" s="1"/>
  <c r="T545" i="7"/>
  <c r="U545" i="7" s="1"/>
  <c r="V545" i="7" s="1"/>
  <c r="S545" i="7"/>
  <c r="K545" i="7"/>
  <c r="T544" i="7"/>
  <c r="U544" i="7" s="1"/>
  <c r="V544" i="7" s="1"/>
  <c r="S544" i="7"/>
  <c r="K544" i="7"/>
  <c r="T543" i="7"/>
  <c r="U543" i="7" s="1"/>
  <c r="V543" i="7" s="1"/>
  <c r="S543" i="7"/>
  <c r="K543" i="7"/>
  <c r="T542" i="7"/>
  <c r="U542" i="7" s="1"/>
  <c r="V542" i="7" s="1"/>
  <c r="S542" i="7"/>
  <c r="K542" i="7"/>
  <c r="AA541" i="7"/>
  <c r="AB541" i="7" s="1"/>
  <c r="AC541" i="7" s="1"/>
  <c r="AD541" i="7" s="1"/>
  <c r="AE541" i="7" s="1"/>
  <c r="AF541" i="7" s="1"/>
  <c r="AG541" i="7" s="1"/>
  <c r="AH541" i="7" s="1"/>
  <c r="T541" i="7"/>
  <c r="U541" i="7" s="1"/>
  <c r="V541" i="7" s="1"/>
  <c r="S541" i="7"/>
  <c r="K541" i="7"/>
  <c r="AA540" i="7"/>
  <c r="AB540" i="7" s="1"/>
  <c r="AC540" i="7" s="1"/>
  <c r="AD540" i="7" s="1"/>
  <c r="AE540" i="7" s="1"/>
  <c r="AF540" i="7" s="1"/>
  <c r="AG540" i="7" s="1"/>
  <c r="AH540" i="7" s="1"/>
  <c r="T540" i="7"/>
  <c r="U540" i="7" s="1"/>
  <c r="V540" i="7" s="1"/>
  <c r="S540" i="7"/>
  <c r="K540" i="7"/>
  <c r="AA539" i="7"/>
  <c r="AB539" i="7" s="1"/>
  <c r="AC539" i="7" s="1"/>
  <c r="AD539" i="7" s="1"/>
  <c r="AE539" i="7" s="1"/>
  <c r="AF539" i="7" s="1"/>
  <c r="AG539" i="7" s="1"/>
  <c r="AH539" i="7" s="1"/>
  <c r="T539" i="7"/>
  <c r="U539" i="7" s="1"/>
  <c r="V539" i="7" s="1"/>
  <c r="S539" i="7"/>
  <c r="K539" i="7"/>
  <c r="AC538" i="7"/>
  <c r="AD538" i="7" s="1"/>
  <c r="AE538" i="7" s="1"/>
  <c r="AF538" i="7" s="1"/>
  <c r="AG538" i="7" s="1"/>
  <c r="AH538" i="7" s="1"/>
  <c r="AA538" i="7"/>
  <c r="T538" i="7"/>
  <c r="U538" i="7" s="1"/>
  <c r="V538" i="7" s="1"/>
  <c r="S538" i="7"/>
  <c r="K538" i="7"/>
  <c r="AA537" i="7"/>
  <c r="AB537" i="7" s="1"/>
  <c r="AC537" i="7" s="1"/>
  <c r="AD537" i="7" s="1"/>
  <c r="AE537" i="7" s="1"/>
  <c r="AF537" i="7" s="1"/>
  <c r="AG537" i="7" s="1"/>
  <c r="AH537" i="7" s="1"/>
  <c r="T537" i="7"/>
  <c r="U537" i="7" s="1"/>
  <c r="V537" i="7" s="1"/>
  <c r="S537" i="7"/>
  <c r="K537" i="7"/>
  <c r="AA536" i="7"/>
  <c r="AB536" i="7" s="1"/>
  <c r="AC536" i="7" s="1"/>
  <c r="AD536" i="7" s="1"/>
  <c r="AE536" i="7" s="1"/>
  <c r="AF536" i="7" s="1"/>
  <c r="AG536" i="7" s="1"/>
  <c r="AH536" i="7" s="1"/>
  <c r="T536" i="7"/>
  <c r="U536" i="7" s="1"/>
  <c r="V536" i="7" s="1"/>
  <c r="S536" i="7"/>
  <c r="K536" i="7"/>
  <c r="AA535" i="7"/>
  <c r="AB535" i="7" s="1"/>
  <c r="AC535" i="7" s="1"/>
  <c r="AD535" i="7" s="1"/>
  <c r="AE535" i="7" s="1"/>
  <c r="AF535" i="7" s="1"/>
  <c r="AG535" i="7" s="1"/>
  <c r="AH535" i="7" s="1"/>
  <c r="T535" i="7"/>
  <c r="U535" i="7" s="1"/>
  <c r="V535" i="7" s="1"/>
  <c r="S535" i="7"/>
  <c r="K535" i="7"/>
  <c r="AA534" i="7"/>
  <c r="AB534" i="7" s="1"/>
  <c r="AC534" i="7" s="1"/>
  <c r="AD534" i="7" s="1"/>
  <c r="AE534" i="7" s="1"/>
  <c r="AF534" i="7" s="1"/>
  <c r="AG534" i="7" s="1"/>
  <c r="AH534" i="7" s="1"/>
  <c r="T534" i="7"/>
  <c r="U534" i="7" s="1"/>
  <c r="V534" i="7" s="1"/>
  <c r="S534" i="7"/>
  <c r="K534" i="7"/>
  <c r="AA533" i="7"/>
  <c r="AB533" i="7" s="1"/>
  <c r="AC533" i="7" s="1"/>
  <c r="AD533" i="7" s="1"/>
  <c r="AE533" i="7" s="1"/>
  <c r="AF533" i="7" s="1"/>
  <c r="AG533" i="7" s="1"/>
  <c r="AH533" i="7" s="1"/>
  <c r="T533" i="7"/>
  <c r="U533" i="7" s="1"/>
  <c r="V533" i="7" s="1"/>
  <c r="S533" i="7"/>
  <c r="K533" i="7"/>
  <c r="AA532" i="7"/>
  <c r="AB532" i="7" s="1"/>
  <c r="AC532" i="7" s="1"/>
  <c r="AD532" i="7" s="1"/>
  <c r="AE532" i="7" s="1"/>
  <c r="AF532" i="7" s="1"/>
  <c r="AG532" i="7" s="1"/>
  <c r="AH532" i="7" s="1"/>
  <c r="T532" i="7"/>
  <c r="U532" i="7" s="1"/>
  <c r="V532" i="7" s="1"/>
  <c r="S532" i="7"/>
  <c r="K532" i="7"/>
  <c r="AA531" i="7"/>
  <c r="AB531" i="7" s="1"/>
  <c r="AC531" i="7" s="1"/>
  <c r="AD531" i="7" s="1"/>
  <c r="AE531" i="7" s="1"/>
  <c r="AF531" i="7" s="1"/>
  <c r="AG531" i="7" s="1"/>
  <c r="AH531" i="7" s="1"/>
  <c r="T531" i="7"/>
  <c r="U531" i="7" s="1"/>
  <c r="V531" i="7" s="1"/>
  <c r="S531" i="7"/>
  <c r="K531" i="7"/>
  <c r="AA530" i="7"/>
  <c r="AB530" i="7" s="1"/>
  <c r="AC530" i="7" s="1"/>
  <c r="AD530" i="7" s="1"/>
  <c r="AE530" i="7" s="1"/>
  <c r="AF530" i="7" s="1"/>
  <c r="AG530" i="7" s="1"/>
  <c r="AH530" i="7" s="1"/>
  <c r="T530" i="7"/>
  <c r="U530" i="7" s="1"/>
  <c r="V530" i="7" s="1"/>
  <c r="S530" i="7"/>
  <c r="K530" i="7"/>
  <c r="AA529" i="7"/>
  <c r="AB529" i="7" s="1"/>
  <c r="AC529" i="7" s="1"/>
  <c r="AD529" i="7" s="1"/>
  <c r="AE529" i="7" s="1"/>
  <c r="AF529" i="7" s="1"/>
  <c r="AG529" i="7" s="1"/>
  <c r="AH529" i="7" s="1"/>
  <c r="T529" i="7"/>
  <c r="U529" i="7" s="1"/>
  <c r="V529" i="7" s="1"/>
  <c r="S529" i="7"/>
  <c r="K529" i="7"/>
  <c r="T528" i="7"/>
  <c r="U528" i="7" s="1"/>
  <c r="V528" i="7" s="1"/>
  <c r="S528" i="7"/>
  <c r="K528" i="7"/>
  <c r="T527" i="7"/>
  <c r="U527" i="7" s="1"/>
  <c r="V527" i="7" s="1"/>
  <c r="S527" i="7"/>
  <c r="K527" i="7"/>
  <c r="T526" i="7"/>
  <c r="U526" i="7" s="1"/>
  <c r="V526" i="7" s="1"/>
  <c r="S526" i="7"/>
  <c r="K526" i="7"/>
  <c r="AA525" i="7"/>
  <c r="AB525" i="7" s="1"/>
  <c r="AC525" i="7" s="1"/>
  <c r="AD525" i="7" s="1"/>
  <c r="AE525" i="7" s="1"/>
  <c r="AF525" i="7" s="1"/>
  <c r="AG525" i="7" s="1"/>
  <c r="AH525" i="7" s="1"/>
  <c r="T525" i="7"/>
  <c r="U525" i="7" s="1"/>
  <c r="V525" i="7" s="1"/>
  <c r="S525" i="7"/>
  <c r="K525" i="7"/>
  <c r="AA524" i="7"/>
  <c r="AB524" i="7" s="1"/>
  <c r="AC524" i="7" s="1"/>
  <c r="AD524" i="7" s="1"/>
  <c r="AE524" i="7" s="1"/>
  <c r="AF524" i="7" s="1"/>
  <c r="AG524" i="7" s="1"/>
  <c r="AH524" i="7" s="1"/>
  <c r="T524" i="7"/>
  <c r="U524" i="7" s="1"/>
  <c r="V524" i="7" s="1"/>
  <c r="S524" i="7"/>
  <c r="K524" i="7"/>
  <c r="T523" i="7"/>
  <c r="U523" i="7" s="1"/>
  <c r="V523" i="7" s="1"/>
  <c r="S523" i="7"/>
  <c r="K523" i="7"/>
  <c r="AA522" i="7"/>
  <c r="AB522" i="7" s="1"/>
  <c r="AC522" i="7" s="1"/>
  <c r="AD522" i="7" s="1"/>
  <c r="AE522" i="7" s="1"/>
  <c r="AF522" i="7" s="1"/>
  <c r="AG522" i="7" s="1"/>
  <c r="AH522" i="7" s="1"/>
  <c r="T522" i="7"/>
  <c r="U522" i="7" s="1"/>
  <c r="V522" i="7" s="1"/>
  <c r="S522" i="7"/>
  <c r="K522" i="7"/>
  <c r="T521" i="7"/>
  <c r="U521" i="7" s="1"/>
  <c r="V521" i="7" s="1"/>
  <c r="S521" i="7"/>
  <c r="K521" i="7"/>
  <c r="AC520" i="7"/>
  <c r="AD520" i="7" s="1"/>
  <c r="S520" i="7"/>
  <c r="K520" i="7"/>
  <c r="AA519" i="7"/>
  <c r="AB519" i="7" s="1"/>
  <c r="AC519" i="7" s="1"/>
  <c r="AD519" i="7" s="1"/>
  <c r="AE519" i="7" s="1"/>
  <c r="AF519" i="7" s="1"/>
  <c r="AG519" i="7" s="1"/>
  <c r="AH519" i="7" s="1"/>
  <c r="S519" i="7"/>
  <c r="K519" i="7"/>
  <c r="AA518" i="7"/>
  <c r="AB518" i="7" s="1"/>
  <c r="AC518" i="7" s="1"/>
  <c r="AD518" i="7" s="1"/>
  <c r="AE518" i="7" s="1"/>
  <c r="AF518" i="7" s="1"/>
  <c r="AG518" i="7" s="1"/>
  <c r="AH518" i="7" s="1"/>
  <c r="R518" i="7"/>
  <c r="K518" i="7"/>
  <c r="AA517" i="7"/>
  <c r="AB517" i="7" s="1"/>
  <c r="AC517" i="7" s="1"/>
  <c r="AD517" i="7" s="1"/>
  <c r="AE517" i="7" s="1"/>
  <c r="AF517" i="7" s="1"/>
  <c r="AG517" i="7" s="1"/>
  <c r="AH517" i="7" s="1"/>
  <c r="R517" i="7"/>
  <c r="K517" i="7"/>
  <c r="T516" i="7"/>
  <c r="U516" i="7" s="1"/>
  <c r="V516" i="7" s="1"/>
  <c r="S516" i="7"/>
  <c r="K516" i="7"/>
  <c r="AA515" i="7"/>
  <c r="AB515" i="7" s="1"/>
  <c r="AC515" i="7" s="1"/>
  <c r="AD515" i="7" s="1"/>
  <c r="AE515" i="7" s="1"/>
  <c r="AF515" i="7" s="1"/>
  <c r="AG515" i="7" s="1"/>
  <c r="AH515" i="7" s="1"/>
  <c r="T515" i="7"/>
  <c r="U515" i="7" s="1"/>
  <c r="V515" i="7" s="1"/>
  <c r="S515" i="7"/>
  <c r="K515" i="7"/>
  <c r="AA514" i="7"/>
  <c r="AB514" i="7" s="1"/>
  <c r="AC514" i="7" s="1"/>
  <c r="AD514" i="7" s="1"/>
  <c r="AE514" i="7" s="1"/>
  <c r="AF514" i="7" s="1"/>
  <c r="AG514" i="7" s="1"/>
  <c r="AH514" i="7" s="1"/>
  <c r="T514" i="7"/>
  <c r="U514" i="7" s="1"/>
  <c r="V514" i="7" s="1"/>
  <c r="S514" i="7"/>
  <c r="K514" i="7"/>
  <c r="AA513" i="7"/>
  <c r="AB513" i="7" s="1"/>
  <c r="AC513" i="7" s="1"/>
  <c r="AD513" i="7" s="1"/>
  <c r="AE513" i="7" s="1"/>
  <c r="AF513" i="7" s="1"/>
  <c r="AG513" i="7" s="1"/>
  <c r="AH513" i="7" s="1"/>
  <c r="T513" i="7"/>
  <c r="U513" i="7" s="1"/>
  <c r="V513" i="7" s="1"/>
  <c r="S513" i="7"/>
  <c r="K513" i="7"/>
  <c r="AA512" i="7"/>
  <c r="AB512" i="7" s="1"/>
  <c r="AC512" i="7" s="1"/>
  <c r="AD512" i="7" s="1"/>
  <c r="AE512" i="7" s="1"/>
  <c r="AF512" i="7" s="1"/>
  <c r="AG512" i="7" s="1"/>
  <c r="AH512" i="7" s="1"/>
  <c r="T512" i="7"/>
  <c r="U512" i="7" s="1"/>
  <c r="V512" i="7" s="1"/>
  <c r="S512" i="7"/>
  <c r="K512" i="7"/>
  <c r="AA511" i="7"/>
  <c r="AB511" i="7" s="1"/>
  <c r="AC511" i="7" s="1"/>
  <c r="AD511" i="7" s="1"/>
  <c r="AE511" i="7" s="1"/>
  <c r="AF511" i="7" s="1"/>
  <c r="AG511" i="7" s="1"/>
  <c r="AH511" i="7" s="1"/>
  <c r="T511" i="7"/>
  <c r="U511" i="7" s="1"/>
  <c r="V511" i="7" s="1"/>
  <c r="S511" i="7"/>
  <c r="K511" i="7"/>
  <c r="AA510" i="7"/>
  <c r="AB510" i="7" s="1"/>
  <c r="AC510" i="7" s="1"/>
  <c r="AD510" i="7" s="1"/>
  <c r="AE510" i="7" s="1"/>
  <c r="AF510" i="7" s="1"/>
  <c r="AG510" i="7" s="1"/>
  <c r="AH510" i="7" s="1"/>
  <c r="T510" i="7"/>
  <c r="U510" i="7" s="1"/>
  <c r="V510" i="7" s="1"/>
  <c r="S510" i="7"/>
  <c r="K510" i="7"/>
  <c r="AA509" i="7"/>
  <c r="AB509" i="7" s="1"/>
  <c r="AC509" i="7" s="1"/>
  <c r="AD509" i="7" s="1"/>
  <c r="AE509" i="7" s="1"/>
  <c r="AF509" i="7" s="1"/>
  <c r="AG509" i="7" s="1"/>
  <c r="AH509" i="7" s="1"/>
  <c r="T509" i="7"/>
  <c r="U509" i="7" s="1"/>
  <c r="V509" i="7" s="1"/>
  <c r="S509" i="7"/>
  <c r="K509" i="7"/>
  <c r="AA508" i="7"/>
  <c r="AB508" i="7" s="1"/>
  <c r="AC508" i="7" s="1"/>
  <c r="AD508" i="7" s="1"/>
  <c r="AE508" i="7" s="1"/>
  <c r="AF508" i="7" s="1"/>
  <c r="AG508" i="7" s="1"/>
  <c r="AH508" i="7" s="1"/>
  <c r="T508" i="7"/>
  <c r="U508" i="7" s="1"/>
  <c r="V508" i="7" s="1"/>
  <c r="S508" i="7"/>
  <c r="K508" i="7"/>
  <c r="AA507" i="7"/>
  <c r="AB507" i="7" s="1"/>
  <c r="AC507" i="7" s="1"/>
  <c r="AD507" i="7" s="1"/>
  <c r="AE507" i="7" s="1"/>
  <c r="AF507" i="7" s="1"/>
  <c r="AG507" i="7" s="1"/>
  <c r="AH507" i="7" s="1"/>
  <c r="T507" i="7"/>
  <c r="U507" i="7" s="1"/>
  <c r="V507" i="7" s="1"/>
  <c r="S507" i="7"/>
  <c r="K507" i="7"/>
  <c r="AA506" i="7"/>
  <c r="AB506" i="7" s="1"/>
  <c r="AC506" i="7" s="1"/>
  <c r="AD506" i="7" s="1"/>
  <c r="AE506" i="7" s="1"/>
  <c r="AF506" i="7" s="1"/>
  <c r="AG506" i="7" s="1"/>
  <c r="AH506" i="7" s="1"/>
  <c r="T506" i="7"/>
  <c r="U506" i="7" s="1"/>
  <c r="V506" i="7" s="1"/>
  <c r="S506" i="7"/>
  <c r="K506" i="7"/>
  <c r="AA505" i="7"/>
  <c r="AB505" i="7" s="1"/>
  <c r="AC505" i="7" s="1"/>
  <c r="AD505" i="7" s="1"/>
  <c r="AE505" i="7" s="1"/>
  <c r="AF505" i="7" s="1"/>
  <c r="AG505" i="7" s="1"/>
  <c r="AH505" i="7" s="1"/>
  <c r="T505" i="7"/>
  <c r="U505" i="7" s="1"/>
  <c r="V505" i="7" s="1"/>
  <c r="S505" i="7"/>
  <c r="K505" i="7"/>
  <c r="T504" i="7"/>
  <c r="U504" i="7" s="1"/>
  <c r="V504" i="7" s="1"/>
  <c r="S504" i="7"/>
  <c r="K504" i="7"/>
  <c r="AA503" i="7"/>
  <c r="AB503" i="7" s="1"/>
  <c r="AC503" i="7" s="1"/>
  <c r="AD503" i="7" s="1"/>
  <c r="AE503" i="7" s="1"/>
  <c r="AF503" i="7" s="1"/>
  <c r="AG503" i="7" s="1"/>
  <c r="AH503" i="7" s="1"/>
  <c r="T503" i="7"/>
  <c r="U503" i="7" s="1"/>
  <c r="V503" i="7" s="1"/>
  <c r="S503" i="7"/>
  <c r="K503" i="7"/>
  <c r="AA502" i="7"/>
  <c r="AB502" i="7" s="1"/>
  <c r="AC502" i="7" s="1"/>
  <c r="AD502" i="7" s="1"/>
  <c r="AE502" i="7" s="1"/>
  <c r="AF502" i="7" s="1"/>
  <c r="AG502" i="7" s="1"/>
  <c r="AH502" i="7" s="1"/>
  <c r="T502" i="7"/>
  <c r="U502" i="7" s="1"/>
  <c r="V502" i="7" s="1"/>
  <c r="S502" i="7"/>
  <c r="K502" i="7"/>
  <c r="AA501" i="7"/>
  <c r="AB501" i="7" s="1"/>
  <c r="AC501" i="7" s="1"/>
  <c r="AD501" i="7" s="1"/>
  <c r="AE501" i="7" s="1"/>
  <c r="AF501" i="7" s="1"/>
  <c r="AG501" i="7" s="1"/>
  <c r="AH501" i="7" s="1"/>
  <c r="T501" i="7"/>
  <c r="U501" i="7" s="1"/>
  <c r="V501" i="7" s="1"/>
  <c r="S501" i="7"/>
  <c r="K501" i="7"/>
  <c r="T500" i="7"/>
  <c r="U500" i="7" s="1"/>
  <c r="V500" i="7" s="1"/>
  <c r="S500" i="7"/>
  <c r="K500" i="7"/>
  <c r="T499" i="7"/>
  <c r="U499" i="7" s="1"/>
  <c r="V499" i="7" s="1"/>
  <c r="S499" i="7"/>
  <c r="K499" i="7"/>
  <c r="AA498" i="7"/>
  <c r="AB498" i="7" s="1"/>
  <c r="AC498" i="7" s="1"/>
  <c r="AD498" i="7" s="1"/>
  <c r="AE498" i="7" s="1"/>
  <c r="AF498" i="7" s="1"/>
  <c r="AG498" i="7" s="1"/>
  <c r="AH498" i="7" s="1"/>
  <c r="T498" i="7"/>
  <c r="U498" i="7" s="1"/>
  <c r="V498" i="7" s="1"/>
  <c r="S498" i="7"/>
  <c r="K498" i="7"/>
  <c r="T497" i="7"/>
  <c r="U497" i="7" s="1"/>
  <c r="V497" i="7" s="1"/>
  <c r="S497" i="7"/>
  <c r="K497" i="7"/>
  <c r="AA496" i="7"/>
  <c r="AB496" i="7" s="1"/>
  <c r="AC496" i="7" s="1"/>
  <c r="AD496" i="7" s="1"/>
  <c r="AE496" i="7" s="1"/>
  <c r="AF496" i="7" s="1"/>
  <c r="AG496" i="7" s="1"/>
  <c r="AH496" i="7" s="1"/>
  <c r="T496" i="7"/>
  <c r="U496" i="7" s="1"/>
  <c r="V496" i="7" s="1"/>
  <c r="S496" i="7"/>
  <c r="K496" i="7"/>
  <c r="T495" i="7"/>
  <c r="U495" i="7" s="1"/>
  <c r="V495" i="7" s="1"/>
  <c r="S495" i="7"/>
  <c r="K495" i="7"/>
  <c r="AA494" i="7"/>
  <c r="AB494" i="7" s="1"/>
  <c r="AC494" i="7" s="1"/>
  <c r="AD494" i="7" s="1"/>
  <c r="AE494" i="7" s="1"/>
  <c r="AF494" i="7" s="1"/>
  <c r="AG494" i="7" s="1"/>
  <c r="AH494" i="7" s="1"/>
  <c r="T494" i="7"/>
  <c r="U494" i="7" s="1"/>
  <c r="V494" i="7" s="1"/>
  <c r="S494" i="7"/>
  <c r="K494" i="7"/>
  <c r="AA493" i="7"/>
  <c r="AB493" i="7" s="1"/>
  <c r="AC493" i="7" s="1"/>
  <c r="AD493" i="7" s="1"/>
  <c r="AE493" i="7" s="1"/>
  <c r="AF493" i="7" s="1"/>
  <c r="AG493" i="7" s="1"/>
  <c r="AH493" i="7" s="1"/>
  <c r="T493" i="7"/>
  <c r="U493" i="7" s="1"/>
  <c r="V493" i="7" s="1"/>
  <c r="S493" i="7"/>
  <c r="K493" i="7"/>
  <c r="AA492" i="7"/>
  <c r="AB492" i="7" s="1"/>
  <c r="AC492" i="7" s="1"/>
  <c r="AD492" i="7" s="1"/>
  <c r="AE492" i="7" s="1"/>
  <c r="AF492" i="7" s="1"/>
  <c r="AG492" i="7" s="1"/>
  <c r="AH492" i="7" s="1"/>
  <c r="T492" i="7"/>
  <c r="U492" i="7" s="1"/>
  <c r="V492" i="7" s="1"/>
  <c r="S492" i="7"/>
  <c r="K492" i="7"/>
  <c r="T491" i="7"/>
  <c r="U491" i="7" s="1"/>
  <c r="V491" i="7" s="1"/>
  <c r="S491" i="7"/>
  <c r="K491" i="7"/>
  <c r="T490" i="7"/>
  <c r="U490" i="7" s="1"/>
  <c r="V490" i="7" s="1"/>
  <c r="S490" i="7"/>
  <c r="K490" i="7"/>
  <c r="T489" i="7"/>
  <c r="U489" i="7" s="1"/>
  <c r="V489" i="7" s="1"/>
  <c r="K489" i="7"/>
  <c r="T488" i="7"/>
  <c r="U488" i="7" s="1"/>
  <c r="V488" i="7" s="1"/>
  <c r="S488" i="7"/>
  <c r="K488" i="7"/>
  <c r="T487" i="7"/>
  <c r="U487" i="7" s="1"/>
  <c r="V487" i="7" s="1"/>
  <c r="S487" i="7"/>
  <c r="K487" i="7"/>
  <c r="U486" i="7"/>
  <c r="T486" i="7"/>
  <c r="S486" i="7"/>
  <c r="U485" i="7"/>
  <c r="T485" i="7"/>
  <c r="S485" i="7"/>
  <c r="U484" i="7"/>
  <c r="T484" i="7"/>
  <c r="S484" i="7"/>
  <c r="U483" i="7"/>
  <c r="T483" i="7"/>
  <c r="S483" i="7"/>
  <c r="U482" i="7"/>
  <c r="T482" i="7"/>
  <c r="S482" i="7"/>
  <c r="U481" i="7"/>
  <c r="T481" i="7"/>
  <c r="S481" i="7"/>
  <c r="U480" i="7"/>
  <c r="T480" i="7"/>
  <c r="S480" i="7"/>
  <c r="R479" i="7"/>
  <c r="K479" i="7"/>
  <c r="R478" i="7"/>
  <c r="K478" i="7"/>
  <c r="R477" i="7"/>
  <c r="K477" i="7"/>
  <c r="AC476" i="7"/>
  <c r="AD476" i="7" s="1"/>
  <c r="AE476" i="7" s="1"/>
  <c r="AF476" i="7" s="1"/>
  <c r="AG476" i="7" s="1"/>
  <c r="AH476" i="7" s="1"/>
  <c r="R476" i="7"/>
  <c r="K476" i="7"/>
  <c r="R475" i="7"/>
  <c r="K475" i="7"/>
  <c r="U474" i="7"/>
  <c r="V474" i="7" s="1"/>
  <c r="T474" i="7"/>
  <c r="S474" i="7"/>
  <c r="K474" i="7"/>
  <c r="AA473" i="7"/>
  <c r="AB473" i="7" s="1"/>
  <c r="AC473" i="7" s="1"/>
  <c r="AD473" i="7" s="1"/>
  <c r="AE473" i="7" s="1"/>
  <c r="AF473" i="7" s="1"/>
  <c r="AG473" i="7" s="1"/>
  <c r="AH473" i="7" s="1"/>
  <c r="U473" i="7"/>
  <c r="V473" i="7" s="1"/>
  <c r="T473" i="7"/>
  <c r="S473" i="7"/>
  <c r="K473" i="7"/>
  <c r="AA472" i="7"/>
  <c r="AB472" i="7" s="1"/>
  <c r="AC472" i="7" s="1"/>
  <c r="AD472" i="7" s="1"/>
  <c r="AE472" i="7" s="1"/>
  <c r="AF472" i="7" s="1"/>
  <c r="AG472" i="7" s="1"/>
  <c r="AH472" i="7" s="1"/>
  <c r="U472" i="7"/>
  <c r="V472" i="7" s="1"/>
  <c r="T472" i="7"/>
  <c r="S472" i="7"/>
  <c r="K472" i="7"/>
  <c r="AA471" i="7"/>
  <c r="AB471" i="7" s="1"/>
  <c r="AC471" i="7" s="1"/>
  <c r="AD471" i="7" s="1"/>
  <c r="AE471" i="7" s="1"/>
  <c r="AF471" i="7" s="1"/>
  <c r="AG471" i="7" s="1"/>
  <c r="AH471" i="7" s="1"/>
  <c r="U471" i="7"/>
  <c r="V471" i="7" s="1"/>
  <c r="T471" i="7"/>
  <c r="S471" i="7"/>
  <c r="K471" i="7"/>
  <c r="AA470" i="7"/>
  <c r="AB470" i="7" s="1"/>
  <c r="AC470" i="7" s="1"/>
  <c r="AD470" i="7" s="1"/>
  <c r="AE470" i="7" s="1"/>
  <c r="AF470" i="7" s="1"/>
  <c r="AG470" i="7" s="1"/>
  <c r="AH470" i="7" s="1"/>
  <c r="U470" i="7"/>
  <c r="V470" i="7" s="1"/>
  <c r="T470" i="7"/>
  <c r="S470" i="7"/>
  <c r="K470" i="7"/>
  <c r="U469" i="7"/>
  <c r="V469" i="7" s="1"/>
  <c r="T469" i="7"/>
  <c r="S469" i="7"/>
  <c r="K469" i="7"/>
  <c r="U468" i="7"/>
  <c r="V468" i="7" s="1"/>
  <c r="T468" i="7"/>
  <c r="S468" i="7"/>
  <c r="K468" i="7"/>
  <c r="U467" i="7"/>
  <c r="V467" i="7" s="1"/>
  <c r="T467" i="7"/>
  <c r="S467" i="7"/>
  <c r="K467" i="7"/>
  <c r="U466" i="7"/>
  <c r="V466" i="7" s="1"/>
  <c r="T466" i="7"/>
  <c r="S466" i="7"/>
  <c r="K466" i="7"/>
  <c r="V465" i="7"/>
  <c r="X465" i="7" s="1"/>
  <c r="T465" i="7"/>
  <c r="S465" i="7"/>
  <c r="AH464" i="7"/>
  <c r="AF464" i="7"/>
  <c r="V464" i="7"/>
  <c r="X464" i="7" s="1"/>
  <c r="S464" i="7"/>
  <c r="V463" i="7"/>
  <c r="X463" i="7" s="1"/>
  <c r="S463" i="7"/>
  <c r="T462" i="7"/>
  <c r="U462" i="7" s="1"/>
  <c r="S462" i="7"/>
  <c r="T461" i="7"/>
  <c r="U461" i="7" s="1"/>
  <c r="S461" i="7"/>
  <c r="T460" i="7"/>
  <c r="U460" i="7" s="1"/>
  <c r="S460" i="7"/>
  <c r="AA459" i="7"/>
  <c r="AB459" i="7" s="1"/>
  <c r="AC459" i="7" s="1"/>
  <c r="AD459" i="7" s="1"/>
  <c r="AE459" i="7" s="1"/>
  <c r="AF459" i="7" s="1"/>
  <c r="AG459" i="7" s="1"/>
  <c r="AH459" i="7" s="1"/>
  <c r="T459" i="7"/>
  <c r="U459" i="7" s="1"/>
  <c r="S459" i="7"/>
  <c r="T458" i="7"/>
  <c r="U458" i="7" s="1"/>
  <c r="S458" i="7"/>
  <c r="T457" i="7"/>
  <c r="U457" i="7" s="1"/>
  <c r="S457" i="7"/>
  <c r="T456" i="7"/>
  <c r="U456" i="7" s="1"/>
  <c r="S456" i="7"/>
  <c r="AA455" i="7"/>
  <c r="AB455" i="7" s="1"/>
  <c r="AC455" i="7" s="1"/>
  <c r="AD455" i="7" s="1"/>
  <c r="AE455" i="7" s="1"/>
  <c r="AF455" i="7" s="1"/>
  <c r="AG455" i="7" s="1"/>
  <c r="AH455" i="7" s="1"/>
  <c r="T455" i="7"/>
  <c r="U455" i="7" s="1"/>
  <c r="S455" i="7"/>
  <c r="T454" i="7"/>
  <c r="U454" i="7" s="1"/>
  <c r="S454" i="7"/>
  <c r="T453" i="7"/>
  <c r="U453" i="7" s="1"/>
  <c r="S453" i="7"/>
  <c r="Z452" i="7"/>
  <c r="AA452" i="7" s="1"/>
  <c r="AB452" i="7" s="1"/>
  <c r="AC452" i="7" s="1"/>
  <c r="AD452" i="7" s="1"/>
  <c r="AE452" i="7" s="1"/>
  <c r="AF452" i="7" s="1"/>
  <c r="AG452" i="7" s="1"/>
  <c r="AH452" i="7" s="1"/>
  <c r="T452" i="7"/>
  <c r="U452" i="7" s="1"/>
  <c r="S452" i="7"/>
  <c r="T451" i="7"/>
  <c r="U451" i="7" s="1"/>
  <c r="S451" i="7"/>
  <c r="T450" i="7"/>
  <c r="U450" i="7" s="1"/>
  <c r="S450" i="7"/>
  <c r="T449" i="7"/>
  <c r="U449" i="7" s="1"/>
  <c r="V449" i="7" s="1"/>
  <c r="X449" i="7" s="1"/>
  <c r="Y449" i="7" s="1"/>
  <c r="Z449" i="7" s="1"/>
  <c r="AA449" i="7" s="1"/>
  <c r="S449" i="7"/>
  <c r="T448" i="7"/>
  <c r="U448" i="7" s="1"/>
  <c r="S448" i="7"/>
  <c r="T447" i="7"/>
  <c r="U447" i="7" s="1"/>
  <c r="S447" i="7"/>
  <c r="T446" i="7"/>
  <c r="U446" i="7" s="1"/>
  <c r="S446" i="7"/>
  <c r="T445" i="7"/>
  <c r="U445" i="7" s="1"/>
  <c r="S445" i="7"/>
  <c r="T444" i="7"/>
  <c r="U444" i="7" s="1"/>
  <c r="S444" i="7"/>
  <c r="T443" i="7"/>
  <c r="U443" i="7" s="1"/>
  <c r="V443" i="7" s="1"/>
  <c r="X443" i="7" s="1"/>
  <c r="Y443" i="7" s="1"/>
  <c r="Z443" i="7" s="1"/>
  <c r="AA443" i="7" s="1"/>
  <c r="S443" i="7"/>
  <c r="U442" i="7"/>
  <c r="V442" i="7" s="1"/>
  <c r="X442" i="7" s="1"/>
  <c r="Y442" i="7" s="1"/>
  <c r="Z442" i="7" s="1"/>
  <c r="AA442" i="7" s="1"/>
  <c r="T442" i="7"/>
  <c r="S442" i="7"/>
  <c r="AC441" i="7"/>
  <c r="AD441" i="7" s="1"/>
  <c r="AE441" i="7" s="1"/>
  <c r="AF441" i="7" s="1"/>
  <c r="AG441" i="7" s="1"/>
  <c r="AH441" i="7" s="1"/>
  <c r="U441" i="7"/>
  <c r="V441" i="7" s="1"/>
  <c r="X441" i="7" s="1"/>
  <c r="T441" i="7"/>
  <c r="S441" i="7"/>
  <c r="U440" i="7"/>
  <c r="V440" i="7" s="1"/>
  <c r="X440" i="7" s="1"/>
  <c r="Y440" i="7" s="1"/>
  <c r="Z440" i="7" s="1"/>
  <c r="AA440" i="7" s="1"/>
  <c r="T440" i="7"/>
  <c r="S440" i="7"/>
  <c r="U439" i="7"/>
  <c r="V439" i="7" s="1"/>
  <c r="X439" i="7" s="1"/>
  <c r="T439" i="7"/>
  <c r="S439" i="7"/>
  <c r="U438" i="7"/>
  <c r="V438" i="7" s="1"/>
  <c r="X438" i="7" s="1"/>
  <c r="Y438" i="7" s="1"/>
  <c r="Z438" i="7" s="1"/>
  <c r="AA438" i="7" s="1"/>
  <c r="T438" i="7"/>
  <c r="S438" i="7"/>
  <c r="U437" i="7"/>
  <c r="V437" i="7" s="1"/>
  <c r="X437" i="7" s="1"/>
  <c r="Y437" i="7" s="1"/>
  <c r="Z437" i="7" s="1"/>
  <c r="AA437" i="7" s="1"/>
  <c r="T437" i="7"/>
  <c r="S437" i="7"/>
  <c r="AC436" i="7"/>
  <c r="AD436" i="7" s="1"/>
  <c r="AE436" i="7" s="1"/>
  <c r="AF436" i="7" s="1"/>
  <c r="AG436" i="7" s="1"/>
  <c r="AH436" i="7" s="1"/>
  <c r="U436" i="7"/>
  <c r="V436" i="7" s="1"/>
  <c r="X436" i="7" s="1"/>
  <c r="T436" i="7"/>
  <c r="S436" i="7"/>
  <c r="U435" i="7"/>
  <c r="V435" i="7" s="1"/>
  <c r="X435" i="7" s="1"/>
  <c r="Y435" i="7" s="1"/>
  <c r="Z435" i="7" s="1"/>
  <c r="AA435" i="7" s="1"/>
  <c r="T435" i="7"/>
  <c r="S435" i="7"/>
  <c r="AC434" i="7"/>
  <c r="AD434" i="7" s="1"/>
  <c r="U434" i="7"/>
  <c r="V434" i="7" s="1"/>
  <c r="X434" i="7" s="1"/>
  <c r="Z434" i="7" s="1"/>
  <c r="AA434" i="7" s="1"/>
  <c r="T434" i="7"/>
  <c r="S434" i="7"/>
  <c r="U433" i="7"/>
  <c r="V433" i="7" s="1"/>
  <c r="X433" i="7" s="1"/>
  <c r="T433" i="7"/>
  <c r="S433" i="7"/>
  <c r="U432" i="7"/>
  <c r="V432" i="7" s="1"/>
  <c r="X432" i="7" s="1"/>
  <c r="Y432" i="7" s="1"/>
  <c r="Z432" i="7" s="1"/>
  <c r="AA432" i="7" s="1"/>
  <c r="T432" i="7"/>
  <c r="U431" i="7"/>
  <c r="V431" i="7" s="1"/>
  <c r="X431" i="7" s="1"/>
  <c r="Y431" i="7" s="1"/>
  <c r="Z431" i="7" s="1"/>
  <c r="AA431" i="7" s="1"/>
  <c r="T431" i="7"/>
  <c r="S431" i="7"/>
  <c r="U430" i="7"/>
  <c r="V430" i="7" s="1"/>
  <c r="X430" i="7" s="1"/>
  <c r="Y430" i="7" s="1"/>
  <c r="Z430" i="7" s="1"/>
  <c r="AA430" i="7" s="1"/>
  <c r="T430" i="7"/>
  <c r="S430" i="7"/>
  <c r="U429" i="7"/>
  <c r="V429" i="7" s="1"/>
  <c r="X429" i="7" s="1"/>
  <c r="Y429" i="7" s="1"/>
  <c r="Z429" i="7" s="1"/>
  <c r="AA429" i="7" s="1"/>
  <c r="T429" i="7"/>
  <c r="S429" i="7"/>
  <c r="U428" i="7"/>
  <c r="V428" i="7" s="1"/>
  <c r="X428" i="7" s="1"/>
  <c r="Y428" i="7" s="1"/>
  <c r="Z428" i="7" s="1"/>
  <c r="AA428" i="7" s="1"/>
  <c r="T428" i="7"/>
  <c r="S428" i="7"/>
  <c r="AC427" i="7"/>
  <c r="AD427" i="7" s="1"/>
  <c r="AE427" i="7" s="1"/>
  <c r="AF427" i="7" s="1"/>
  <c r="AG427" i="7" s="1"/>
  <c r="AH427" i="7" s="1"/>
  <c r="Z427" i="7"/>
  <c r="AA427" i="7" s="1"/>
  <c r="U427" i="7"/>
  <c r="V427" i="7" s="1"/>
  <c r="X427" i="7" s="1"/>
  <c r="S427" i="7"/>
  <c r="T426" i="7"/>
  <c r="U426" i="7" s="1"/>
  <c r="V426" i="7" s="1"/>
  <c r="X426" i="7" s="1"/>
  <c r="Y426" i="7" s="1"/>
  <c r="Z426" i="7" s="1"/>
  <c r="AA426" i="7" s="1"/>
  <c r="S426" i="7"/>
  <c r="T425" i="7"/>
  <c r="U425" i="7" s="1"/>
  <c r="V425" i="7" s="1"/>
  <c r="X425" i="7" s="1"/>
  <c r="Y425" i="7" s="1"/>
  <c r="Z425" i="7" s="1"/>
  <c r="AA425" i="7" s="1"/>
  <c r="S425" i="7"/>
  <c r="U424" i="7"/>
  <c r="V424" i="7" s="1"/>
  <c r="X424" i="7" s="1"/>
  <c r="Y424" i="7" s="1"/>
  <c r="Z424" i="7" s="1"/>
  <c r="AA424" i="7" s="1"/>
  <c r="T424" i="7"/>
  <c r="S424" i="7"/>
  <c r="Z423" i="7"/>
  <c r="AA423" i="7" s="1"/>
  <c r="AB423" i="7" s="1"/>
  <c r="AC423" i="7" s="1"/>
  <c r="AD423" i="7" s="1"/>
  <c r="AE423" i="7" s="1"/>
  <c r="AF423" i="7" s="1"/>
  <c r="AG423" i="7" s="1"/>
  <c r="AH423" i="7" s="1"/>
  <c r="T423" i="7"/>
  <c r="U423" i="7" s="1"/>
  <c r="V423" i="7" s="1"/>
  <c r="X423" i="7" s="1"/>
  <c r="S423" i="7"/>
  <c r="T422" i="7"/>
  <c r="U422" i="7" s="1"/>
  <c r="V422" i="7" s="1"/>
  <c r="X422" i="7" s="1"/>
  <c r="Y422" i="7" s="1"/>
  <c r="Z422" i="7" s="1"/>
  <c r="AA422" i="7" s="1"/>
  <c r="S422" i="7"/>
  <c r="T421" i="7"/>
  <c r="U421" i="7" s="1"/>
  <c r="V421" i="7" s="1"/>
  <c r="X421" i="7" s="1"/>
  <c r="Y421" i="7" s="1"/>
  <c r="Z421" i="7" s="1"/>
  <c r="AA421" i="7" s="1"/>
  <c r="S421" i="7"/>
  <c r="T420" i="7"/>
  <c r="U420" i="7" s="1"/>
  <c r="V420" i="7" s="1"/>
  <c r="X420" i="7" s="1"/>
  <c r="Y420" i="7" s="1"/>
  <c r="Z420" i="7" s="1"/>
  <c r="AA420" i="7" s="1"/>
  <c r="S420" i="7"/>
  <c r="Z419" i="7"/>
  <c r="AA419" i="7" s="1"/>
  <c r="AB419" i="7" s="1"/>
  <c r="AC419" i="7" s="1"/>
  <c r="AD419" i="7" s="1"/>
  <c r="AE419" i="7" s="1"/>
  <c r="AF419" i="7" s="1"/>
  <c r="AG419" i="7" s="1"/>
  <c r="AH419" i="7" s="1"/>
  <c r="U419" i="7"/>
  <c r="T419" i="7"/>
  <c r="S419" i="7"/>
  <c r="Z418" i="7"/>
  <c r="AA418" i="7" s="1"/>
  <c r="AB418" i="7" s="1"/>
  <c r="AC418" i="7" s="1"/>
  <c r="AD418" i="7" s="1"/>
  <c r="AE418" i="7" s="1"/>
  <c r="AF418" i="7" s="1"/>
  <c r="AG418" i="7" s="1"/>
  <c r="AH418" i="7" s="1"/>
  <c r="U418" i="7"/>
  <c r="T418" i="7"/>
  <c r="S418" i="7"/>
  <c r="Z417" i="7"/>
  <c r="AA417" i="7" s="1"/>
  <c r="AB417" i="7" s="1"/>
  <c r="AC417" i="7" s="1"/>
  <c r="AD417" i="7" s="1"/>
  <c r="AE417" i="7" s="1"/>
  <c r="AF417" i="7" s="1"/>
  <c r="AG417" i="7" s="1"/>
  <c r="AH417" i="7" s="1"/>
  <c r="U417" i="7"/>
  <c r="T417" i="7"/>
  <c r="S417" i="7"/>
  <c r="Z416" i="7"/>
  <c r="AA416" i="7" s="1"/>
  <c r="AB416" i="7" s="1"/>
  <c r="AC416" i="7" s="1"/>
  <c r="AD416" i="7" s="1"/>
  <c r="AE416" i="7" s="1"/>
  <c r="AF416" i="7" s="1"/>
  <c r="AG416" i="7" s="1"/>
  <c r="AH416" i="7" s="1"/>
  <c r="U416" i="7"/>
  <c r="T416" i="7"/>
  <c r="S416" i="7"/>
  <c r="Z415" i="7"/>
  <c r="AA415" i="7" s="1"/>
  <c r="AB415" i="7" s="1"/>
  <c r="AC415" i="7" s="1"/>
  <c r="AD415" i="7" s="1"/>
  <c r="AE415" i="7" s="1"/>
  <c r="AF415" i="7" s="1"/>
  <c r="AG415" i="7" s="1"/>
  <c r="AH415" i="7" s="1"/>
  <c r="U415" i="7"/>
  <c r="T415" i="7"/>
  <c r="S415" i="7"/>
  <c r="Z414" i="7"/>
  <c r="AA414" i="7" s="1"/>
  <c r="AB414" i="7" s="1"/>
  <c r="AC414" i="7" s="1"/>
  <c r="AD414" i="7" s="1"/>
  <c r="AE414" i="7" s="1"/>
  <c r="AF414" i="7" s="1"/>
  <c r="AG414" i="7" s="1"/>
  <c r="AH414" i="7" s="1"/>
  <c r="U414" i="7"/>
  <c r="T414" i="7"/>
  <c r="S414" i="7"/>
  <c r="Z413" i="7"/>
  <c r="AA413" i="7" s="1"/>
  <c r="AB413" i="7" s="1"/>
  <c r="AC413" i="7" s="1"/>
  <c r="AD413" i="7" s="1"/>
  <c r="AE413" i="7" s="1"/>
  <c r="AF413" i="7" s="1"/>
  <c r="AG413" i="7" s="1"/>
  <c r="AH413" i="7" s="1"/>
  <c r="U413" i="7"/>
  <c r="T413" i="7"/>
  <c r="S413" i="7"/>
  <c r="Z412" i="7"/>
  <c r="AA412" i="7" s="1"/>
  <c r="AB412" i="7" s="1"/>
  <c r="AC412" i="7" s="1"/>
  <c r="AD412" i="7" s="1"/>
  <c r="AE412" i="7" s="1"/>
  <c r="AF412" i="7" s="1"/>
  <c r="AG412" i="7" s="1"/>
  <c r="AH412" i="7" s="1"/>
  <c r="U412" i="7"/>
  <c r="V412" i="7" s="1"/>
  <c r="X412" i="7" s="1"/>
  <c r="T412" i="7"/>
  <c r="S412" i="7"/>
  <c r="Z411" i="7"/>
  <c r="AA411" i="7" s="1"/>
  <c r="AB411" i="7" s="1"/>
  <c r="AC411" i="7" s="1"/>
  <c r="AD411" i="7" s="1"/>
  <c r="AE411" i="7" s="1"/>
  <c r="AF411" i="7" s="1"/>
  <c r="AG411" i="7" s="1"/>
  <c r="AH411" i="7" s="1"/>
  <c r="U411" i="7"/>
  <c r="V411" i="7" s="1"/>
  <c r="X411" i="7" s="1"/>
  <c r="T411" i="7"/>
  <c r="S411" i="7"/>
  <c r="Z410" i="7"/>
  <c r="AA410" i="7" s="1"/>
  <c r="AB410" i="7" s="1"/>
  <c r="AC410" i="7" s="1"/>
  <c r="AD410" i="7" s="1"/>
  <c r="AE410" i="7" s="1"/>
  <c r="AF410" i="7" s="1"/>
  <c r="AG410" i="7" s="1"/>
  <c r="AH410" i="7" s="1"/>
  <c r="U410" i="7"/>
  <c r="T410" i="7"/>
  <c r="S410" i="7"/>
  <c r="Z409" i="7"/>
  <c r="AA409" i="7" s="1"/>
  <c r="AB409" i="7" s="1"/>
  <c r="AC409" i="7" s="1"/>
  <c r="AD409" i="7" s="1"/>
  <c r="AE409" i="7" s="1"/>
  <c r="AF409" i="7" s="1"/>
  <c r="AG409" i="7" s="1"/>
  <c r="AH409" i="7" s="1"/>
  <c r="U409" i="7"/>
  <c r="T409" i="7"/>
  <c r="S409" i="7"/>
  <c r="Z408" i="7"/>
  <c r="AA408" i="7" s="1"/>
  <c r="AB408" i="7" s="1"/>
  <c r="AC408" i="7" s="1"/>
  <c r="AD408" i="7" s="1"/>
  <c r="AE408" i="7" s="1"/>
  <c r="AF408" i="7" s="1"/>
  <c r="AG408" i="7" s="1"/>
  <c r="AH408" i="7" s="1"/>
  <c r="U408" i="7"/>
  <c r="T408" i="7"/>
  <c r="S408" i="7"/>
  <c r="Z407" i="7"/>
  <c r="AA407" i="7" s="1"/>
  <c r="AB407" i="7" s="1"/>
  <c r="AC407" i="7" s="1"/>
  <c r="AD407" i="7" s="1"/>
  <c r="AE407" i="7" s="1"/>
  <c r="AF407" i="7" s="1"/>
  <c r="AG407" i="7" s="1"/>
  <c r="AH407" i="7" s="1"/>
  <c r="U407" i="7"/>
  <c r="T407" i="7"/>
  <c r="S407" i="7"/>
  <c r="Z406" i="7"/>
  <c r="AA406" i="7" s="1"/>
  <c r="AB406" i="7" s="1"/>
  <c r="AC406" i="7" s="1"/>
  <c r="AD406" i="7" s="1"/>
  <c r="AE406" i="7" s="1"/>
  <c r="AF406" i="7" s="1"/>
  <c r="AG406" i="7" s="1"/>
  <c r="AH406" i="7" s="1"/>
  <c r="U406" i="7"/>
  <c r="T406" i="7"/>
  <c r="S406" i="7"/>
  <c r="Z405" i="7"/>
  <c r="AA405" i="7" s="1"/>
  <c r="AB405" i="7" s="1"/>
  <c r="AC405" i="7" s="1"/>
  <c r="AD405" i="7" s="1"/>
  <c r="AE405" i="7" s="1"/>
  <c r="AF405" i="7" s="1"/>
  <c r="AG405" i="7" s="1"/>
  <c r="AH405" i="7" s="1"/>
  <c r="U405" i="7"/>
  <c r="T405" i="7"/>
  <c r="S405" i="7"/>
  <c r="Z404" i="7"/>
  <c r="AA404" i="7" s="1"/>
  <c r="AB404" i="7" s="1"/>
  <c r="AC404" i="7" s="1"/>
  <c r="AD404" i="7" s="1"/>
  <c r="AE404" i="7" s="1"/>
  <c r="AF404" i="7" s="1"/>
  <c r="AG404" i="7" s="1"/>
  <c r="AH404" i="7" s="1"/>
  <c r="U404" i="7"/>
  <c r="T404" i="7"/>
  <c r="S404" i="7"/>
  <c r="Z403" i="7"/>
  <c r="AA403" i="7" s="1"/>
  <c r="AB403" i="7" s="1"/>
  <c r="AC403" i="7" s="1"/>
  <c r="AD403" i="7" s="1"/>
  <c r="AE403" i="7" s="1"/>
  <c r="AF403" i="7" s="1"/>
  <c r="AG403" i="7" s="1"/>
  <c r="AH403" i="7" s="1"/>
  <c r="U403" i="7"/>
  <c r="V403" i="7" s="1"/>
  <c r="X403" i="7" s="1"/>
  <c r="T403" i="7"/>
  <c r="S403" i="7"/>
  <c r="Z402" i="7"/>
  <c r="AA402" i="7" s="1"/>
  <c r="AB402" i="7" s="1"/>
  <c r="AC402" i="7" s="1"/>
  <c r="AD402" i="7" s="1"/>
  <c r="AE402" i="7" s="1"/>
  <c r="AF402" i="7" s="1"/>
  <c r="AG402" i="7" s="1"/>
  <c r="AH402" i="7" s="1"/>
  <c r="U402" i="7"/>
  <c r="V402" i="7" s="1"/>
  <c r="X402" i="7" s="1"/>
  <c r="T402" i="7"/>
  <c r="S402" i="7"/>
  <c r="Z401" i="7"/>
  <c r="AA401" i="7" s="1"/>
  <c r="AB401" i="7" s="1"/>
  <c r="AC401" i="7" s="1"/>
  <c r="AD401" i="7" s="1"/>
  <c r="AE401" i="7" s="1"/>
  <c r="AF401" i="7" s="1"/>
  <c r="AG401" i="7" s="1"/>
  <c r="AH401" i="7" s="1"/>
  <c r="T401" i="7"/>
  <c r="U401" i="7" s="1"/>
  <c r="S401" i="7"/>
  <c r="Z400" i="7"/>
  <c r="AA400" i="7" s="1"/>
  <c r="AB400" i="7" s="1"/>
  <c r="AC400" i="7" s="1"/>
  <c r="AD400" i="7" s="1"/>
  <c r="AE400" i="7" s="1"/>
  <c r="AF400" i="7" s="1"/>
  <c r="AG400" i="7" s="1"/>
  <c r="AH400" i="7" s="1"/>
  <c r="T400" i="7"/>
  <c r="U400" i="7" s="1"/>
  <c r="S400" i="7"/>
  <c r="Z399" i="7"/>
  <c r="AA399" i="7" s="1"/>
  <c r="AB399" i="7" s="1"/>
  <c r="AC399" i="7" s="1"/>
  <c r="AD399" i="7" s="1"/>
  <c r="AE399" i="7" s="1"/>
  <c r="AF399" i="7" s="1"/>
  <c r="AG399" i="7" s="1"/>
  <c r="AH399" i="7" s="1"/>
  <c r="T399" i="7"/>
  <c r="U399" i="7" s="1"/>
  <c r="S399" i="7"/>
  <c r="Z398" i="7"/>
  <c r="AA398" i="7" s="1"/>
  <c r="AB398" i="7" s="1"/>
  <c r="AC398" i="7" s="1"/>
  <c r="AD398" i="7" s="1"/>
  <c r="AE398" i="7" s="1"/>
  <c r="AF398" i="7" s="1"/>
  <c r="AG398" i="7" s="1"/>
  <c r="AH398" i="7" s="1"/>
  <c r="T398" i="7"/>
  <c r="U398" i="7" s="1"/>
  <c r="S398" i="7"/>
  <c r="Z397" i="7"/>
  <c r="AA397" i="7" s="1"/>
  <c r="AB397" i="7" s="1"/>
  <c r="AC397" i="7" s="1"/>
  <c r="AD397" i="7" s="1"/>
  <c r="AE397" i="7" s="1"/>
  <c r="AF397" i="7" s="1"/>
  <c r="AG397" i="7" s="1"/>
  <c r="AH397" i="7" s="1"/>
  <c r="T397" i="7"/>
  <c r="U397" i="7" s="1"/>
  <c r="S397" i="7"/>
  <c r="Z396" i="7"/>
  <c r="AA396" i="7" s="1"/>
  <c r="AB396" i="7" s="1"/>
  <c r="AC396" i="7" s="1"/>
  <c r="AD396" i="7" s="1"/>
  <c r="AE396" i="7" s="1"/>
  <c r="AF396" i="7" s="1"/>
  <c r="AG396" i="7" s="1"/>
  <c r="AH396" i="7" s="1"/>
  <c r="T396" i="7"/>
  <c r="U396" i="7" s="1"/>
  <c r="V396" i="7" s="1"/>
  <c r="X396" i="7" s="1"/>
  <c r="S396" i="7"/>
  <c r="Z395" i="7"/>
  <c r="AA395" i="7" s="1"/>
  <c r="AB395" i="7" s="1"/>
  <c r="AC395" i="7" s="1"/>
  <c r="AD395" i="7" s="1"/>
  <c r="AE395" i="7" s="1"/>
  <c r="AF395" i="7" s="1"/>
  <c r="AG395" i="7" s="1"/>
  <c r="AH395" i="7" s="1"/>
  <c r="T395" i="7"/>
  <c r="U395" i="7" s="1"/>
  <c r="S395" i="7"/>
  <c r="Z394" i="7"/>
  <c r="AA394" i="7" s="1"/>
  <c r="AB394" i="7" s="1"/>
  <c r="AC394" i="7" s="1"/>
  <c r="AD394" i="7" s="1"/>
  <c r="AE394" i="7" s="1"/>
  <c r="AF394" i="7" s="1"/>
  <c r="AG394" i="7" s="1"/>
  <c r="AH394" i="7" s="1"/>
  <c r="T394" i="7"/>
  <c r="U394" i="7" s="1"/>
  <c r="V394" i="7" s="1"/>
  <c r="X394" i="7" s="1"/>
  <c r="S394" i="7"/>
  <c r="Z393" i="7"/>
  <c r="AA393" i="7" s="1"/>
  <c r="AB393" i="7" s="1"/>
  <c r="AC393" i="7" s="1"/>
  <c r="AD393" i="7" s="1"/>
  <c r="AE393" i="7" s="1"/>
  <c r="AF393" i="7" s="1"/>
  <c r="AG393" i="7" s="1"/>
  <c r="AH393" i="7" s="1"/>
  <c r="U393" i="7"/>
  <c r="T393" i="7"/>
  <c r="S393" i="7"/>
  <c r="Z392" i="7"/>
  <c r="AA392" i="7" s="1"/>
  <c r="AB392" i="7" s="1"/>
  <c r="AC392" i="7" s="1"/>
  <c r="AD392" i="7" s="1"/>
  <c r="AE392" i="7" s="1"/>
  <c r="AF392" i="7" s="1"/>
  <c r="AG392" i="7" s="1"/>
  <c r="AH392" i="7" s="1"/>
  <c r="U392" i="7"/>
  <c r="T392" i="7"/>
  <c r="S392" i="7"/>
  <c r="U391" i="7"/>
  <c r="T391" i="7"/>
  <c r="S391" i="7"/>
  <c r="Z390" i="7"/>
  <c r="AA390" i="7" s="1"/>
  <c r="AB390" i="7" s="1"/>
  <c r="AC390" i="7" s="1"/>
  <c r="AD390" i="7" s="1"/>
  <c r="AE390" i="7" s="1"/>
  <c r="AF390" i="7" s="1"/>
  <c r="AG390" i="7" s="1"/>
  <c r="AH390" i="7" s="1"/>
  <c r="U390" i="7"/>
  <c r="T390" i="7"/>
  <c r="S390" i="7"/>
  <c r="U389" i="7"/>
  <c r="T389" i="7"/>
  <c r="S389" i="7"/>
  <c r="U388" i="7"/>
  <c r="T388" i="7"/>
  <c r="S388" i="7"/>
  <c r="U387" i="7"/>
  <c r="T387" i="7"/>
  <c r="S387" i="7"/>
  <c r="Z386" i="7"/>
  <c r="AA386" i="7" s="1"/>
  <c r="AB386" i="7" s="1"/>
  <c r="AC386" i="7" s="1"/>
  <c r="AD386" i="7" s="1"/>
  <c r="AE386" i="7" s="1"/>
  <c r="AF386" i="7" s="1"/>
  <c r="AG386" i="7" s="1"/>
  <c r="AH386" i="7" s="1"/>
  <c r="U386" i="7"/>
  <c r="V386" i="7" s="1"/>
  <c r="X386" i="7" s="1"/>
  <c r="T386" i="7"/>
  <c r="S386" i="7"/>
  <c r="U385" i="7"/>
  <c r="V385" i="7" s="1"/>
  <c r="X385" i="7" s="1"/>
  <c r="Y385" i="7" s="1"/>
  <c r="Z385" i="7" s="1"/>
  <c r="AA385" i="7" s="1"/>
  <c r="T385" i="7"/>
  <c r="S385" i="7"/>
  <c r="U384" i="7"/>
  <c r="T384" i="7"/>
  <c r="S384" i="7"/>
  <c r="U383" i="7"/>
  <c r="T383" i="7"/>
  <c r="S383" i="7"/>
  <c r="U382" i="7"/>
  <c r="T382" i="7"/>
  <c r="S382" i="7"/>
  <c r="U381" i="7"/>
  <c r="T381" i="7"/>
  <c r="S381" i="7"/>
  <c r="U380" i="7"/>
  <c r="V380" i="7" s="1"/>
  <c r="X380" i="7" s="1"/>
  <c r="Y380" i="7" s="1"/>
  <c r="Z380" i="7" s="1"/>
  <c r="AA380" i="7" s="1"/>
  <c r="T380" i="7"/>
  <c r="S380" i="7"/>
  <c r="AC379" i="7"/>
  <c r="AD379" i="7" s="1"/>
  <c r="U379" i="7"/>
  <c r="T379" i="7"/>
  <c r="S379" i="7"/>
  <c r="U378" i="7"/>
  <c r="V378" i="7" s="1"/>
  <c r="X378" i="7" s="1"/>
  <c r="T378" i="7"/>
  <c r="S378" i="7"/>
  <c r="Z377" i="7"/>
  <c r="AA377" i="7" s="1"/>
  <c r="AB377" i="7" s="1"/>
  <c r="AC377" i="7" s="1"/>
  <c r="AD377" i="7" s="1"/>
  <c r="AE377" i="7" s="1"/>
  <c r="AF377" i="7" s="1"/>
  <c r="AG377" i="7" s="1"/>
  <c r="AH377" i="7" s="1"/>
  <c r="T377" i="7"/>
  <c r="U377" i="7" s="1"/>
  <c r="S377" i="7"/>
  <c r="T376" i="7"/>
  <c r="U376" i="7" s="1"/>
  <c r="S376" i="7"/>
  <c r="T375" i="7"/>
  <c r="U375" i="7" s="1"/>
  <c r="S375" i="7"/>
  <c r="T374" i="7"/>
  <c r="U374" i="7" s="1"/>
  <c r="S374" i="7"/>
  <c r="T373" i="7"/>
  <c r="U373" i="7" s="1"/>
  <c r="S373" i="7"/>
  <c r="T372" i="7"/>
  <c r="U372" i="7" s="1"/>
  <c r="S372" i="7"/>
  <c r="T371" i="7"/>
  <c r="U371" i="7" s="1"/>
  <c r="S371" i="7"/>
  <c r="T370" i="7"/>
  <c r="U370" i="7" s="1"/>
  <c r="S370" i="7"/>
  <c r="Z369" i="7"/>
  <c r="AA369" i="7" s="1"/>
  <c r="AB369" i="7" s="1"/>
  <c r="AC369" i="7" s="1"/>
  <c r="AD369" i="7" s="1"/>
  <c r="AE369" i="7" s="1"/>
  <c r="AF369" i="7" s="1"/>
  <c r="AG369" i="7" s="1"/>
  <c r="AH369" i="7" s="1"/>
  <c r="T369" i="7"/>
  <c r="U369" i="7" s="1"/>
  <c r="V369" i="7" s="1"/>
  <c r="X369" i="7" s="1"/>
  <c r="S369" i="7"/>
  <c r="T368" i="7"/>
  <c r="U368" i="7" s="1"/>
  <c r="V368" i="7" s="1"/>
  <c r="X368" i="7" s="1"/>
  <c r="Y368" i="7" s="1"/>
  <c r="S368" i="7"/>
  <c r="T367" i="7"/>
  <c r="U367" i="7" s="1"/>
  <c r="S367" i="7"/>
  <c r="Z366" i="7"/>
  <c r="AA366" i="7" s="1"/>
  <c r="AB366" i="7" s="1"/>
  <c r="AC366" i="7" s="1"/>
  <c r="AD366" i="7" s="1"/>
  <c r="AE366" i="7" s="1"/>
  <c r="AF366" i="7" s="1"/>
  <c r="AG366" i="7" s="1"/>
  <c r="AH366" i="7" s="1"/>
  <c r="T366" i="7"/>
  <c r="U366" i="7" s="1"/>
  <c r="V366" i="7" s="1"/>
  <c r="X366" i="7" s="1"/>
  <c r="S366" i="7"/>
  <c r="U365" i="7"/>
  <c r="S365" i="7"/>
  <c r="U364" i="7"/>
  <c r="V364" i="7" s="1"/>
  <c r="X364" i="7" s="1"/>
  <c r="Y364" i="7" s="1"/>
  <c r="Z364" i="7" s="1"/>
  <c r="AA364" i="7" s="1"/>
  <c r="S364" i="7"/>
  <c r="U363" i="7"/>
  <c r="V363" i="7" s="1"/>
  <c r="X363" i="7" s="1"/>
  <c r="Y363" i="7" s="1"/>
  <c r="Z363" i="7" s="1"/>
  <c r="AA363" i="7" s="1"/>
  <c r="S363" i="7"/>
  <c r="U362" i="7"/>
  <c r="V362" i="7" s="1"/>
  <c r="X362" i="7" s="1"/>
  <c r="Y362" i="7" s="1"/>
  <c r="Z362" i="7" s="1"/>
  <c r="AA362" i="7" s="1"/>
  <c r="S362" i="7"/>
  <c r="U361" i="7"/>
  <c r="V361" i="7" s="1"/>
  <c r="X361" i="7" s="1"/>
  <c r="Y361" i="7" s="1"/>
  <c r="Z361" i="7" s="1"/>
  <c r="AA361" i="7" s="1"/>
  <c r="S361" i="7"/>
  <c r="U360" i="7"/>
  <c r="V360" i="7" s="1"/>
  <c r="X360" i="7" s="1"/>
  <c r="S360" i="7"/>
  <c r="U359" i="7"/>
  <c r="V359" i="7" s="1"/>
  <c r="X359" i="7" s="1"/>
  <c r="T359" i="7"/>
  <c r="S359" i="7"/>
  <c r="U358" i="7"/>
  <c r="V358" i="7" s="1"/>
  <c r="X358" i="7" s="1"/>
  <c r="Y358" i="7" s="1"/>
  <c r="Z358" i="7" s="1"/>
  <c r="AA358" i="7" s="1"/>
  <c r="S358" i="7"/>
  <c r="U357" i="7"/>
  <c r="V357" i="7" s="1"/>
  <c r="X357" i="7" s="1"/>
  <c r="Y357" i="7" s="1"/>
  <c r="Z357" i="7" s="1"/>
  <c r="AA357" i="7" s="1"/>
  <c r="S357" i="7"/>
  <c r="U356" i="7"/>
  <c r="V356" i="7" s="1"/>
  <c r="X356" i="7" s="1"/>
  <c r="Y356" i="7" s="1"/>
  <c r="Z356" i="7" s="1"/>
  <c r="AA356" i="7" s="1"/>
  <c r="S356" i="7"/>
  <c r="U355" i="7"/>
  <c r="V355" i="7" s="1"/>
  <c r="X355" i="7" s="1"/>
  <c r="Y355" i="7" s="1"/>
  <c r="Z355" i="7" s="1"/>
  <c r="AA355" i="7" s="1"/>
  <c r="S355" i="7"/>
  <c r="U354" i="7"/>
  <c r="V354" i="7" s="1"/>
  <c r="X354" i="7" s="1"/>
  <c r="Y354" i="7" s="1"/>
  <c r="Z354" i="7" s="1"/>
  <c r="AA354" i="7" s="1"/>
  <c r="S354" i="7"/>
  <c r="U353" i="7"/>
  <c r="V353" i="7" s="1"/>
  <c r="X353" i="7" s="1"/>
  <c r="S353" i="7"/>
  <c r="U352" i="7"/>
  <c r="V352" i="7" s="1"/>
  <c r="X352" i="7" s="1"/>
  <c r="T352" i="7"/>
  <c r="S352" i="7"/>
  <c r="U351" i="7"/>
  <c r="V351" i="7" s="1"/>
  <c r="X351" i="7" s="1"/>
  <c r="Y351" i="7" s="1"/>
  <c r="Z351" i="7" s="1"/>
  <c r="AA351" i="7" s="1"/>
  <c r="S351" i="7"/>
  <c r="U350" i="7"/>
  <c r="V350" i="7" s="1"/>
  <c r="X350" i="7" s="1"/>
  <c r="Y350" i="7" s="1"/>
  <c r="Z350" i="7" s="1"/>
  <c r="AA350" i="7" s="1"/>
  <c r="S350" i="7"/>
  <c r="AB349" i="7"/>
  <c r="AC349" i="7" s="1"/>
  <c r="AD349" i="7" s="1"/>
  <c r="AE349" i="7" s="1"/>
  <c r="AF349" i="7" s="1"/>
  <c r="AG349" i="7" s="1"/>
  <c r="AH349" i="7" s="1"/>
  <c r="U349" i="7"/>
  <c r="V349" i="7" s="1"/>
  <c r="X349" i="7" s="1"/>
  <c r="S349" i="7"/>
  <c r="U348" i="7"/>
  <c r="V348" i="7" s="1"/>
  <c r="X348" i="7" s="1"/>
  <c r="T348" i="7"/>
  <c r="S348" i="7"/>
  <c r="T347" i="7"/>
  <c r="U347" i="7" s="1"/>
  <c r="V347" i="7" s="1"/>
  <c r="X347" i="7" s="1"/>
  <c r="Y347" i="7" s="1"/>
  <c r="Z347" i="7" s="1"/>
  <c r="AA347" i="7" s="1"/>
  <c r="S347" i="7"/>
  <c r="T346" i="7"/>
  <c r="U346" i="7" s="1"/>
  <c r="V346" i="7" s="1"/>
  <c r="X346" i="7" s="1"/>
  <c r="Y346" i="7" s="1"/>
  <c r="Z346" i="7" s="1"/>
  <c r="AA346" i="7" s="1"/>
  <c r="S346" i="7"/>
  <c r="T345" i="7"/>
  <c r="U345" i="7" s="1"/>
  <c r="V345" i="7" s="1"/>
  <c r="X345" i="7" s="1"/>
  <c r="Y345" i="7" s="1"/>
  <c r="Z345" i="7" s="1"/>
  <c r="AA345" i="7" s="1"/>
  <c r="S345" i="7"/>
  <c r="T344" i="7"/>
  <c r="U344" i="7" s="1"/>
  <c r="V344" i="7" s="1"/>
  <c r="X344" i="7" s="1"/>
  <c r="Y344" i="7" s="1"/>
  <c r="Z344" i="7" s="1"/>
  <c r="AA344" i="7" s="1"/>
  <c r="S344" i="7"/>
  <c r="T343" i="7"/>
  <c r="U343" i="7" s="1"/>
  <c r="V343" i="7" s="1"/>
  <c r="X343" i="7" s="1"/>
  <c r="Y343" i="7" s="1"/>
  <c r="Z343" i="7" s="1"/>
  <c r="AA343" i="7" s="1"/>
  <c r="S343" i="7"/>
  <c r="T342" i="7"/>
  <c r="U342" i="7" s="1"/>
  <c r="V342" i="7" s="1"/>
  <c r="X342" i="7" s="1"/>
  <c r="Y342" i="7" s="1"/>
  <c r="Z342" i="7" s="1"/>
  <c r="AA342" i="7" s="1"/>
  <c r="S342" i="7"/>
  <c r="U341" i="7"/>
  <c r="V341" i="7" s="1"/>
  <c r="X341" i="7" s="1"/>
  <c r="Y341" i="7" s="1"/>
  <c r="Z341" i="7" s="1"/>
  <c r="AA341" i="7" s="1"/>
  <c r="T341" i="7"/>
  <c r="S341" i="7"/>
  <c r="U340" i="7"/>
  <c r="V340" i="7" s="1"/>
  <c r="X340" i="7" s="1"/>
  <c r="Y340" i="7" s="1"/>
  <c r="Z340" i="7" s="1"/>
  <c r="AA340" i="7" s="1"/>
  <c r="T340" i="7"/>
  <c r="S340" i="7"/>
  <c r="U339" i="7"/>
  <c r="V339" i="7" s="1"/>
  <c r="X339" i="7" s="1"/>
  <c r="Y339" i="7" s="1"/>
  <c r="Z339" i="7" s="1"/>
  <c r="AA339" i="7" s="1"/>
  <c r="T339" i="7"/>
  <c r="S339" i="7"/>
  <c r="U338" i="7"/>
  <c r="V338" i="7" s="1"/>
  <c r="X338" i="7" s="1"/>
  <c r="Y338" i="7" s="1"/>
  <c r="Z338" i="7" s="1"/>
  <c r="AA338" i="7" s="1"/>
  <c r="T338" i="7"/>
  <c r="S338" i="7"/>
  <c r="S337" i="7"/>
  <c r="AA336" i="7"/>
  <c r="AB336" i="7" s="1"/>
  <c r="AC336" i="7" s="1"/>
  <c r="AD336" i="7" s="1"/>
  <c r="AE336" i="7" s="1"/>
  <c r="AF336" i="7" s="1"/>
  <c r="AG336" i="7" s="1"/>
  <c r="AH336" i="7" s="1"/>
  <c r="S336" i="7"/>
  <c r="S335" i="7"/>
  <c r="S334" i="7"/>
  <c r="R333" i="7"/>
  <c r="R332" i="7"/>
  <c r="R331" i="7"/>
  <c r="R330" i="7"/>
  <c r="T329" i="7"/>
  <c r="U329" i="7" s="1"/>
  <c r="V329" i="7" s="1"/>
  <c r="X329" i="7" s="1"/>
  <c r="Y329" i="7" s="1"/>
  <c r="Z329" i="7" s="1"/>
  <c r="AA329" i="7" s="1"/>
  <c r="S329" i="7"/>
  <c r="T328" i="7"/>
  <c r="U328" i="7" s="1"/>
  <c r="V328" i="7" s="1"/>
  <c r="X328" i="7" s="1"/>
  <c r="Y328" i="7" s="1"/>
  <c r="Z328" i="7" s="1"/>
  <c r="AA328" i="7" s="1"/>
  <c r="S328" i="7"/>
  <c r="AC327" i="7"/>
  <c r="AD327" i="7" s="1"/>
  <c r="AE327" i="7" s="1"/>
  <c r="AF327" i="7" s="1"/>
  <c r="AG327" i="7" s="1"/>
  <c r="AH327" i="7" s="1"/>
  <c r="Z327" i="7"/>
  <c r="AA327" i="7" s="1"/>
  <c r="T327" i="7"/>
  <c r="U327" i="7" s="1"/>
  <c r="V327" i="7" s="1"/>
  <c r="X327" i="7" s="1"/>
  <c r="S327" i="7"/>
  <c r="U326" i="7"/>
  <c r="V326" i="7" s="1"/>
  <c r="X326" i="7" s="1"/>
  <c r="Y326" i="7" s="1"/>
  <c r="Z326" i="7" s="1"/>
  <c r="AA326" i="7" s="1"/>
  <c r="T326" i="7"/>
  <c r="S326" i="7"/>
  <c r="U325" i="7"/>
  <c r="V325" i="7" s="1"/>
  <c r="X325" i="7" s="1"/>
  <c r="Y325" i="7" s="1"/>
  <c r="Z325" i="7" s="1"/>
  <c r="AA325" i="7" s="1"/>
  <c r="T325" i="7"/>
  <c r="S325" i="7"/>
  <c r="U324" i="7"/>
  <c r="V324" i="7" s="1"/>
  <c r="X324" i="7" s="1"/>
  <c r="Y324" i="7" s="1"/>
  <c r="Z324" i="7" s="1"/>
  <c r="AA324" i="7" s="1"/>
  <c r="T324" i="7"/>
  <c r="S324" i="7"/>
  <c r="U323" i="7"/>
  <c r="V323" i="7" s="1"/>
  <c r="X323" i="7" s="1"/>
  <c r="Y323" i="7" s="1"/>
  <c r="Z323" i="7" s="1"/>
  <c r="AA323" i="7" s="1"/>
  <c r="S323" i="7"/>
  <c r="U322" i="7"/>
  <c r="V322" i="7" s="1"/>
  <c r="X322" i="7" s="1"/>
  <c r="Y322" i="7" s="1"/>
  <c r="Z322" i="7" s="1"/>
  <c r="AA322" i="7" s="1"/>
  <c r="S322" i="7"/>
  <c r="AC321" i="7"/>
  <c r="AD321" i="7" s="1"/>
  <c r="AE321" i="7" s="1"/>
  <c r="AF321" i="7" s="1"/>
  <c r="AG321" i="7" s="1"/>
  <c r="AH321" i="7" s="1"/>
  <c r="U321" i="7"/>
  <c r="V321" i="7" s="1"/>
  <c r="X321" i="7" s="1"/>
  <c r="S321" i="7"/>
  <c r="U320" i="7"/>
  <c r="V320" i="7" s="1"/>
  <c r="X320" i="7" s="1"/>
  <c r="Z320" i="7" s="1"/>
  <c r="AA320" i="7" s="1"/>
  <c r="S320" i="7"/>
  <c r="S319" i="7"/>
  <c r="S318" i="7"/>
  <c r="S317" i="7"/>
  <c r="S316" i="7"/>
  <c r="AA315" i="7"/>
  <c r="AB315" i="7" s="1"/>
  <c r="AC315" i="7" s="1"/>
  <c r="AD315" i="7" s="1"/>
  <c r="AE315" i="7" s="1"/>
  <c r="AF315" i="7" s="1"/>
  <c r="AG315" i="7" s="1"/>
  <c r="AH315" i="7" s="1"/>
  <c r="S315" i="7"/>
  <c r="S314" i="7"/>
  <c r="AC313" i="7"/>
  <c r="AD313" i="7" s="1"/>
  <c r="AE313" i="7" s="1"/>
  <c r="AF313" i="7" s="1"/>
  <c r="AG313" i="7" s="1"/>
  <c r="AH313" i="7" s="1"/>
  <c r="S313" i="7"/>
  <c r="AC312" i="7"/>
  <c r="AD312" i="7" s="1"/>
  <c r="S312" i="7"/>
  <c r="S311" i="7"/>
  <c r="AC310" i="7"/>
  <c r="AD310" i="7" s="1"/>
  <c r="AE310" i="7" s="1"/>
  <c r="AF310" i="7" s="1"/>
  <c r="AG310" i="7" s="1"/>
  <c r="AH310" i="7" s="1"/>
  <c r="S310" i="7"/>
  <c r="S309" i="7"/>
  <c r="S308" i="7"/>
  <c r="S307" i="7"/>
  <c r="S306" i="7"/>
  <c r="S305" i="7"/>
  <c r="Z304" i="7"/>
  <c r="AA304" i="7" s="1"/>
  <c r="AB304" i="7" s="1"/>
  <c r="AC304" i="7" s="1"/>
  <c r="AD304" i="7" s="1"/>
  <c r="AE304" i="7" s="1"/>
  <c r="AF304" i="7" s="1"/>
  <c r="AG304" i="7" s="1"/>
  <c r="AH304" i="7" s="1"/>
  <c r="S304" i="7"/>
  <c r="AC303" i="7"/>
  <c r="AD303" i="7" s="1"/>
  <c r="S303" i="7"/>
  <c r="S302" i="7"/>
  <c r="S301" i="7"/>
  <c r="S300" i="7"/>
  <c r="S299" i="7"/>
  <c r="R298" i="7"/>
  <c r="Z297" i="7"/>
  <c r="AA297" i="7" s="1"/>
  <c r="AB297" i="7" s="1"/>
  <c r="AC297" i="7" s="1"/>
  <c r="AD297" i="7" s="1"/>
  <c r="AE297" i="7" s="1"/>
  <c r="AF297" i="7" s="1"/>
  <c r="AG297" i="7" s="1"/>
  <c r="AH297" i="7" s="1"/>
  <c r="R297" i="7"/>
  <c r="R296" i="7"/>
  <c r="R295" i="7"/>
  <c r="T294" i="7"/>
  <c r="U294" i="7" s="1"/>
  <c r="S294" i="7"/>
  <c r="T293" i="7"/>
  <c r="U293" i="7" s="1"/>
  <c r="S293" i="7"/>
  <c r="T292" i="7"/>
  <c r="U292" i="7" s="1"/>
  <c r="V292" i="7" s="1"/>
  <c r="X292" i="7" s="1"/>
  <c r="S292" i="7"/>
  <c r="Z291" i="7"/>
  <c r="AA291" i="7" s="1"/>
  <c r="AB291" i="7" s="1"/>
  <c r="AC291" i="7" s="1"/>
  <c r="AD291" i="7" s="1"/>
  <c r="AE291" i="7" s="1"/>
  <c r="AF291" i="7" s="1"/>
  <c r="AG291" i="7" s="1"/>
  <c r="AH291" i="7" s="1"/>
  <c r="U291" i="7"/>
  <c r="T291" i="7"/>
  <c r="S291" i="7"/>
  <c r="K291" i="7"/>
  <c r="AA290" i="7"/>
  <c r="AB290" i="7" s="1"/>
  <c r="AC290" i="7" s="1"/>
  <c r="AD290" i="7" s="1"/>
  <c r="AE290" i="7" s="1"/>
  <c r="AF290" i="7" s="1"/>
  <c r="AG290" i="7" s="1"/>
  <c r="AH290" i="7" s="1"/>
  <c r="T290" i="7"/>
  <c r="U290" i="7" s="1"/>
  <c r="S290" i="7"/>
  <c r="K290" i="7"/>
  <c r="T289" i="7"/>
  <c r="U289" i="7" s="1"/>
  <c r="S289" i="7"/>
  <c r="K289" i="7"/>
  <c r="AA288" i="7"/>
  <c r="AB288" i="7" s="1"/>
  <c r="AC288" i="7" s="1"/>
  <c r="AD288" i="7" s="1"/>
  <c r="AE288" i="7" s="1"/>
  <c r="AF288" i="7" s="1"/>
  <c r="AG288" i="7" s="1"/>
  <c r="AH288" i="7" s="1"/>
  <c r="T288" i="7"/>
  <c r="U288" i="7" s="1"/>
  <c r="S288" i="7"/>
  <c r="K288" i="7"/>
  <c r="T287" i="7"/>
  <c r="U287" i="7" s="1"/>
  <c r="S287" i="7"/>
  <c r="K287" i="7"/>
  <c r="T286" i="7"/>
  <c r="U286" i="7" s="1"/>
  <c r="S286" i="7"/>
  <c r="K286" i="7"/>
  <c r="Z285" i="7"/>
  <c r="AA285" i="7" s="1"/>
  <c r="AB285" i="7" s="1"/>
  <c r="AC285" i="7" s="1"/>
  <c r="AD285" i="7" s="1"/>
  <c r="AE285" i="7" s="1"/>
  <c r="AF285" i="7" s="1"/>
  <c r="AG285" i="7" s="1"/>
  <c r="AH285" i="7" s="1"/>
  <c r="T285" i="7"/>
  <c r="U285" i="7" s="1"/>
  <c r="S285" i="7"/>
  <c r="K285" i="7"/>
  <c r="Z284" i="7"/>
  <c r="AA284" i="7" s="1"/>
  <c r="AB284" i="7" s="1"/>
  <c r="AC284" i="7" s="1"/>
  <c r="AD284" i="7" s="1"/>
  <c r="AE284" i="7" s="1"/>
  <c r="AF284" i="7" s="1"/>
  <c r="AG284" i="7" s="1"/>
  <c r="AH284" i="7" s="1"/>
  <c r="T284" i="7"/>
  <c r="U284" i="7" s="1"/>
  <c r="S284" i="7"/>
  <c r="K284" i="7"/>
  <c r="T283" i="7"/>
  <c r="U283" i="7" s="1"/>
  <c r="V283" i="7" s="1"/>
  <c r="S283" i="7"/>
  <c r="K283" i="7"/>
  <c r="Z282" i="7"/>
  <c r="AA282" i="7" s="1"/>
  <c r="AB282" i="7" s="1"/>
  <c r="AC282" i="7" s="1"/>
  <c r="AD282" i="7" s="1"/>
  <c r="AE282" i="7" s="1"/>
  <c r="AF282" i="7" s="1"/>
  <c r="AG282" i="7" s="1"/>
  <c r="AH282" i="7" s="1"/>
  <c r="T282" i="7"/>
  <c r="U282" i="7" s="1"/>
  <c r="V282" i="7" s="1"/>
  <c r="S282" i="7"/>
  <c r="K282" i="7"/>
  <c r="S281" i="7"/>
  <c r="K281" i="7"/>
  <c r="S280" i="7"/>
  <c r="K280" i="7"/>
  <c r="AA279" i="7"/>
  <c r="AB279" i="7" s="1"/>
  <c r="AC279" i="7" s="1"/>
  <c r="AD279" i="7" s="1"/>
  <c r="AE279" i="7" s="1"/>
  <c r="AF279" i="7" s="1"/>
  <c r="AG279" i="7" s="1"/>
  <c r="AH279" i="7" s="1"/>
  <c r="S279" i="7"/>
  <c r="K279" i="7"/>
  <c r="S278" i="7"/>
  <c r="K278" i="7"/>
  <c r="S277" i="7"/>
  <c r="K277" i="7"/>
  <c r="S276" i="7"/>
  <c r="K276" i="7"/>
  <c r="S275" i="7"/>
  <c r="K275" i="7"/>
  <c r="S274" i="7"/>
  <c r="K274" i="7"/>
  <c r="R273" i="7"/>
  <c r="K273" i="7"/>
  <c r="R272" i="7"/>
  <c r="K272" i="7"/>
  <c r="R271" i="7"/>
  <c r="K271" i="7"/>
  <c r="Z270" i="7"/>
  <c r="AA270" i="7" s="1"/>
  <c r="AB270" i="7" s="1"/>
  <c r="AC270" i="7" s="1"/>
  <c r="AD270" i="7" s="1"/>
  <c r="AE270" i="7" s="1"/>
  <c r="AF270" i="7" s="1"/>
  <c r="AG270" i="7" s="1"/>
  <c r="AH270" i="7" s="1"/>
  <c r="R270" i="7"/>
  <c r="K270" i="7"/>
  <c r="Z269" i="7"/>
  <c r="AA269" i="7" s="1"/>
  <c r="AB269" i="7" s="1"/>
  <c r="AC269" i="7" s="1"/>
  <c r="AD269" i="7" s="1"/>
  <c r="AE269" i="7" s="1"/>
  <c r="AF269" i="7" s="1"/>
  <c r="AG269" i="7" s="1"/>
  <c r="AH269" i="7" s="1"/>
  <c r="T269" i="7"/>
  <c r="U269" i="7" s="1"/>
  <c r="S269" i="7"/>
  <c r="K269" i="7"/>
  <c r="T268" i="7"/>
  <c r="U268" i="7" s="1"/>
  <c r="V268" i="7" s="1"/>
  <c r="S268" i="7"/>
  <c r="K268" i="7"/>
  <c r="U267" i="7"/>
  <c r="V267" i="7" s="1"/>
  <c r="T267" i="7"/>
  <c r="S267" i="7"/>
  <c r="K267" i="7"/>
  <c r="U266" i="7"/>
  <c r="V266" i="7" s="1"/>
  <c r="T266" i="7"/>
  <c r="S266" i="7"/>
  <c r="K266" i="7"/>
  <c r="U265" i="7"/>
  <c r="V265" i="7" s="1"/>
  <c r="T265" i="7"/>
  <c r="S265" i="7"/>
  <c r="K265" i="7"/>
  <c r="U264" i="7"/>
  <c r="V264" i="7" s="1"/>
  <c r="X264" i="7" s="1"/>
  <c r="Y264" i="7" s="1"/>
  <c r="Z264" i="7" s="1"/>
  <c r="AA264" i="7" s="1"/>
  <c r="T264" i="7"/>
  <c r="S264" i="7"/>
  <c r="T263" i="7"/>
  <c r="U263" i="7" s="1"/>
  <c r="S263" i="7"/>
  <c r="T262" i="7"/>
  <c r="U262" i="7" s="1"/>
  <c r="S262" i="7"/>
  <c r="T261" i="7"/>
  <c r="U261" i="7" s="1"/>
  <c r="S261" i="7"/>
  <c r="T260" i="7"/>
  <c r="U260" i="7" s="1"/>
  <c r="S260" i="7"/>
  <c r="AC259" i="7"/>
  <c r="AD259" i="7" s="1"/>
  <c r="T259" i="7"/>
  <c r="U259" i="7" s="1"/>
  <c r="S259" i="7"/>
  <c r="T258" i="7"/>
  <c r="U258" i="7" s="1"/>
  <c r="S258" i="7"/>
  <c r="T257" i="7"/>
  <c r="U257" i="7" s="1"/>
  <c r="S257" i="7"/>
  <c r="T256" i="7"/>
  <c r="U256" i="7" s="1"/>
  <c r="S256" i="7"/>
  <c r="T255" i="7"/>
  <c r="U255" i="7" s="1"/>
  <c r="S255" i="7"/>
  <c r="T254" i="7"/>
  <c r="U254" i="7" s="1"/>
  <c r="V254" i="7" s="1"/>
  <c r="X254" i="7" s="1"/>
  <c r="S254" i="7"/>
  <c r="T253" i="7"/>
  <c r="U253" i="7" s="1"/>
  <c r="V253" i="7" s="1"/>
  <c r="X253" i="7" s="1"/>
  <c r="Y253" i="7" s="1"/>
  <c r="Z253" i="7" s="1"/>
  <c r="AA253" i="7" s="1"/>
  <c r="S253" i="7"/>
  <c r="T252" i="7"/>
  <c r="U252" i="7" s="1"/>
  <c r="S252" i="7"/>
  <c r="T251" i="7"/>
  <c r="U251" i="7" s="1"/>
  <c r="S251" i="7"/>
  <c r="T250" i="7"/>
  <c r="U250" i="7" s="1"/>
  <c r="S250" i="7"/>
  <c r="T249" i="7"/>
  <c r="U249" i="7" s="1"/>
  <c r="S249" i="7"/>
  <c r="T248" i="7"/>
  <c r="U248" i="7" s="1"/>
  <c r="S248" i="7"/>
  <c r="T247" i="7"/>
  <c r="U247" i="7" s="1"/>
  <c r="S247" i="7"/>
  <c r="T246" i="7"/>
  <c r="U246" i="7" s="1"/>
  <c r="S246" i="7"/>
  <c r="T245" i="7"/>
  <c r="U245" i="7" s="1"/>
  <c r="S245" i="7"/>
  <c r="T244" i="7"/>
  <c r="U244" i="7" s="1"/>
  <c r="V244" i="7" s="1"/>
  <c r="X244" i="7" s="1"/>
  <c r="S244" i="7"/>
  <c r="T243" i="7"/>
  <c r="U243" i="7" s="1"/>
  <c r="V243" i="7" s="1"/>
  <c r="X243" i="7" s="1"/>
  <c r="S243" i="7"/>
  <c r="Z242" i="7"/>
  <c r="AA242" i="7" s="1"/>
  <c r="AB242" i="7" s="1"/>
  <c r="AC242" i="7" s="1"/>
  <c r="AD242" i="7" s="1"/>
  <c r="AE242" i="7" s="1"/>
  <c r="AF242" i="7" s="1"/>
  <c r="AG242" i="7" s="1"/>
  <c r="AH242" i="7" s="1"/>
  <c r="T242" i="7"/>
  <c r="U242" i="7" s="1"/>
  <c r="S242" i="7"/>
  <c r="Z241" i="7"/>
  <c r="AA241" i="7" s="1"/>
  <c r="AB241" i="7" s="1"/>
  <c r="AC241" i="7" s="1"/>
  <c r="AD241" i="7" s="1"/>
  <c r="AE241" i="7" s="1"/>
  <c r="AF241" i="7" s="1"/>
  <c r="AG241" i="7" s="1"/>
  <c r="AH241" i="7" s="1"/>
  <c r="T241" i="7"/>
  <c r="U241" i="7" s="1"/>
  <c r="S241" i="7"/>
  <c r="Z240" i="7"/>
  <c r="AA240" i="7" s="1"/>
  <c r="AB240" i="7" s="1"/>
  <c r="AC240" i="7" s="1"/>
  <c r="AD240" i="7" s="1"/>
  <c r="AE240" i="7" s="1"/>
  <c r="AF240" i="7" s="1"/>
  <c r="AG240" i="7" s="1"/>
  <c r="AH240" i="7" s="1"/>
  <c r="T240" i="7"/>
  <c r="U240" i="7" s="1"/>
  <c r="S240" i="7"/>
  <c r="Z239" i="7"/>
  <c r="AA239" i="7" s="1"/>
  <c r="AB239" i="7" s="1"/>
  <c r="AC239" i="7" s="1"/>
  <c r="AD239" i="7" s="1"/>
  <c r="AE239" i="7" s="1"/>
  <c r="AF239" i="7" s="1"/>
  <c r="AG239" i="7" s="1"/>
  <c r="AH239" i="7" s="1"/>
  <c r="T239" i="7"/>
  <c r="U239" i="7" s="1"/>
  <c r="S239" i="7"/>
  <c r="Z238" i="7"/>
  <c r="AA238" i="7" s="1"/>
  <c r="AB238" i="7" s="1"/>
  <c r="AC238" i="7" s="1"/>
  <c r="AD238" i="7" s="1"/>
  <c r="AE238" i="7" s="1"/>
  <c r="AF238" i="7" s="1"/>
  <c r="AG238" i="7" s="1"/>
  <c r="AH238" i="7" s="1"/>
  <c r="T238" i="7"/>
  <c r="U238" i="7" s="1"/>
  <c r="S238" i="7"/>
  <c r="T237" i="7"/>
  <c r="U237" i="7" s="1"/>
  <c r="S237" i="7"/>
  <c r="T236" i="7"/>
  <c r="U236" i="7" s="1"/>
  <c r="V236" i="7" s="1"/>
  <c r="X236" i="7" s="1"/>
  <c r="Y236" i="7" s="1"/>
  <c r="S236" i="7"/>
  <c r="T235" i="7"/>
  <c r="U235" i="7" s="1"/>
  <c r="S235" i="7"/>
  <c r="Z234" i="7"/>
  <c r="AA234" i="7" s="1"/>
  <c r="AB234" i="7" s="1"/>
  <c r="AC234" i="7" s="1"/>
  <c r="AD234" i="7" s="1"/>
  <c r="AE234" i="7" s="1"/>
  <c r="AF234" i="7" s="1"/>
  <c r="AG234" i="7" s="1"/>
  <c r="AH234" i="7" s="1"/>
  <c r="T234" i="7"/>
  <c r="U234" i="7" s="1"/>
  <c r="V234" i="7" s="1"/>
  <c r="X234" i="7" s="1"/>
  <c r="S234" i="7"/>
  <c r="T233" i="7"/>
  <c r="U233" i="7" s="1"/>
  <c r="V233" i="7" s="1"/>
  <c r="X233" i="7" s="1"/>
  <c r="Y233" i="7" s="1"/>
  <c r="Z233" i="7" s="1"/>
  <c r="AA233" i="7" s="1"/>
  <c r="S233" i="7"/>
  <c r="U232" i="7"/>
  <c r="V232" i="7" s="1"/>
  <c r="X232" i="7" s="1"/>
  <c r="Y232" i="7" s="1"/>
  <c r="Z232" i="7" s="1"/>
  <c r="AA232" i="7" s="1"/>
  <c r="T232" i="7"/>
  <c r="S232" i="7"/>
  <c r="Z231" i="7"/>
  <c r="U231" i="7"/>
  <c r="V231" i="7" s="1"/>
  <c r="X231" i="7" s="1"/>
  <c r="T231" i="7"/>
  <c r="S231" i="7"/>
  <c r="U230" i="7"/>
  <c r="V230" i="7" s="1"/>
  <c r="X230" i="7" s="1"/>
  <c r="Y230" i="7" s="1"/>
  <c r="Z230" i="7" s="1"/>
  <c r="T230" i="7"/>
  <c r="S230" i="7"/>
  <c r="T229" i="7"/>
  <c r="U229" i="7" s="1"/>
  <c r="V229" i="7" s="1"/>
  <c r="X229" i="7" s="1"/>
  <c r="Z229" i="7" s="1"/>
  <c r="AA229" i="7" s="1"/>
  <c r="S229" i="7"/>
  <c r="T228" i="7"/>
  <c r="U228" i="7" s="1"/>
  <c r="V228" i="7" s="1"/>
  <c r="X228" i="7" s="1"/>
  <c r="Z228" i="7" s="1"/>
  <c r="AA228" i="7" s="1"/>
  <c r="S228" i="7"/>
  <c r="AA227" i="7"/>
  <c r="AB227" i="7" s="1"/>
  <c r="AC227" i="7" s="1"/>
  <c r="AD227" i="7" s="1"/>
  <c r="AE227" i="7" s="1"/>
  <c r="AF227" i="7" s="1"/>
  <c r="AG227" i="7" s="1"/>
  <c r="AH227" i="7" s="1"/>
  <c r="T227" i="7"/>
  <c r="U227" i="7" s="1"/>
  <c r="V227" i="7" s="1"/>
  <c r="X227" i="7" s="1"/>
  <c r="S227" i="7"/>
  <c r="T226" i="7"/>
  <c r="U226" i="7" s="1"/>
  <c r="S226" i="7"/>
  <c r="T225" i="7"/>
  <c r="U225" i="7" s="1"/>
  <c r="S225" i="7"/>
  <c r="T224" i="7"/>
  <c r="U224" i="7" s="1"/>
  <c r="V224" i="7" s="1"/>
  <c r="X224" i="7" s="1"/>
  <c r="S224" i="7"/>
  <c r="AA223" i="7"/>
  <c r="AB223" i="7" s="1"/>
  <c r="AC223" i="7" s="1"/>
  <c r="AD223" i="7" s="1"/>
  <c r="AE223" i="7" s="1"/>
  <c r="AF223" i="7" s="1"/>
  <c r="AG223" i="7" s="1"/>
  <c r="AH223" i="7" s="1"/>
  <c r="T223" i="7"/>
  <c r="U223" i="7" s="1"/>
  <c r="V223" i="7" s="1"/>
  <c r="X223" i="7" s="1"/>
  <c r="S223" i="7"/>
  <c r="T222" i="7"/>
  <c r="U222" i="7" s="1"/>
  <c r="V222" i="7" s="1"/>
  <c r="X222" i="7" s="1"/>
  <c r="S222" i="7"/>
  <c r="T221" i="7"/>
  <c r="U221" i="7" s="1"/>
  <c r="V221" i="7" s="1"/>
  <c r="X221" i="7" s="1"/>
  <c r="Y221" i="7" s="1"/>
  <c r="Z221" i="7" s="1"/>
  <c r="AA221" i="7" s="1"/>
  <c r="S221" i="7"/>
  <c r="T220" i="7"/>
  <c r="U220" i="7" s="1"/>
  <c r="V220" i="7" s="1"/>
  <c r="X220" i="7" s="1"/>
  <c r="Y220" i="7" s="1"/>
  <c r="Z220" i="7" s="1"/>
  <c r="AA220" i="7" s="1"/>
  <c r="S220" i="7"/>
  <c r="T219" i="7"/>
  <c r="U219" i="7" s="1"/>
  <c r="V219" i="7" s="1"/>
  <c r="X219" i="7" s="1"/>
  <c r="Z219" i="7" s="1"/>
  <c r="AA219" i="7" s="1"/>
  <c r="S219" i="7"/>
  <c r="T218" i="7"/>
  <c r="U218" i="7" s="1"/>
  <c r="V218" i="7" s="1"/>
  <c r="X218" i="7" s="1"/>
  <c r="Z218" i="7" s="1"/>
  <c r="AA218" i="7" s="1"/>
  <c r="S218" i="7"/>
  <c r="T217" i="7"/>
  <c r="U217" i="7" s="1"/>
  <c r="V217" i="7" s="1"/>
  <c r="X217" i="7" s="1"/>
  <c r="Z217" i="7" s="1"/>
  <c r="AA217" i="7" s="1"/>
  <c r="S217" i="7"/>
  <c r="T216" i="7"/>
  <c r="U216" i="7" s="1"/>
  <c r="S216" i="7"/>
  <c r="T215" i="7"/>
  <c r="U215" i="7" s="1"/>
  <c r="S215" i="7"/>
  <c r="T214" i="7"/>
  <c r="U214" i="7" s="1"/>
  <c r="V214" i="7" s="1"/>
  <c r="X214" i="7" s="1"/>
  <c r="S214" i="7"/>
  <c r="T213" i="7"/>
  <c r="U213" i="7" s="1"/>
  <c r="V213" i="7" s="1"/>
  <c r="X213" i="7" s="1"/>
  <c r="Y213" i="7" s="1"/>
  <c r="Z213" i="7" s="1"/>
  <c r="AA213" i="7" s="1"/>
  <c r="S213" i="7"/>
  <c r="U212" i="7"/>
  <c r="V212" i="7" s="1"/>
  <c r="X212" i="7" s="1"/>
  <c r="Y212" i="7" s="1"/>
  <c r="Z212" i="7" s="1"/>
  <c r="AA212" i="7" s="1"/>
  <c r="T212" i="7"/>
  <c r="S212" i="7"/>
  <c r="U211" i="7"/>
  <c r="V211" i="7" s="1"/>
  <c r="X211" i="7" s="1"/>
  <c r="Y211" i="7" s="1"/>
  <c r="Z211" i="7" s="1"/>
  <c r="AA211" i="7" s="1"/>
  <c r="T211" i="7"/>
  <c r="S211" i="7"/>
  <c r="U210" i="7"/>
  <c r="V210" i="7" s="1"/>
  <c r="X210" i="7" s="1"/>
  <c r="Y210" i="7" s="1"/>
  <c r="Z210" i="7" s="1"/>
  <c r="AA210" i="7" s="1"/>
  <c r="T210" i="7"/>
  <c r="S210" i="7"/>
  <c r="U209" i="7"/>
  <c r="V209" i="7" s="1"/>
  <c r="X209" i="7" s="1"/>
  <c r="Y209" i="7" s="1"/>
  <c r="Z209" i="7" s="1"/>
  <c r="AA209" i="7" s="1"/>
  <c r="T209" i="7"/>
  <c r="S209" i="7"/>
  <c r="U208" i="7"/>
  <c r="V208" i="7" s="1"/>
  <c r="X208" i="7" s="1"/>
  <c r="Y208" i="7" s="1"/>
  <c r="Z208" i="7" s="1"/>
  <c r="AA208" i="7" s="1"/>
  <c r="T208" i="7"/>
  <c r="S208" i="7"/>
  <c r="U207" i="7"/>
  <c r="V207" i="7" s="1"/>
  <c r="X207" i="7" s="1"/>
  <c r="Y207" i="7" s="1"/>
  <c r="Z207" i="7" s="1"/>
  <c r="AA207" i="7" s="1"/>
  <c r="T207" i="7"/>
  <c r="S207" i="7"/>
  <c r="U206" i="7"/>
  <c r="V206" i="7" s="1"/>
  <c r="X206" i="7" s="1"/>
  <c r="Y206" i="7" s="1"/>
  <c r="Z206" i="7" s="1"/>
  <c r="AA206" i="7" s="1"/>
  <c r="T206" i="7"/>
  <c r="S206" i="7"/>
  <c r="U205" i="7"/>
  <c r="V205" i="7" s="1"/>
  <c r="X205" i="7" s="1"/>
  <c r="Y205" i="7" s="1"/>
  <c r="Z205" i="7" s="1"/>
  <c r="AA205" i="7" s="1"/>
  <c r="T205" i="7"/>
  <c r="S205" i="7"/>
  <c r="U204" i="7"/>
  <c r="V204" i="7" s="1"/>
  <c r="X204" i="7" s="1"/>
  <c r="Y204" i="7" s="1"/>
  <c r="Z204" i="7" s="1"/>
  <c r="AA204" i="7" s="1"/>
  <c r="T204" i="7"/>
  <c r="S204" i="7"/>
  <c r="U203" i="7"/>
  <c r="V203" i="7" s="1"/>
  <c r="X203" i="7" s="1"/>
  <c r="Y203" i="7" s="1"/>
  <c r="Z203" i="7" s="1"/>
  <c r="AA203" i="7" s="1"/>
  <c r="T203" i="7"/>
  <c r="S203" i="7"/>
  <c r="U202" i="7"/>
  <c r="V202" i="7" s="1"/>
  <c r="X202" i="7" s="1"/>
  <c r="Y202" i="7" s="1"/>
  <c r="Z202" i="7" s="1"/>
  <c r="AA202" i="7" s="1"/>
  <c r="T202" i="7"/>
  <c r="S202" i="7"/>
  <c r="U201" i="7"/>
  <c r="V201" i="7" s="1"/>
  <c r="X201" i="7" s="1"/>
  <c r="Y201" i="7" s="1"/>
  <c r="Z201" i="7" s="1"/>
  <c r="AA201" i="7" s="1"/>
  <c r="T201" i="7"/>
  <c r="S201" i="7"/>
  <c r="U200" i="7"/>
  <c r="V200" i="7" s="1"/>
  <c r="X200" i="7" s="1"/>
  <c r="Y200" i="7" s="1"/>
  <c r="Z200" i="7" s="1"/>
  <c r="AA200" i="7" s="1"/>
  <c r="T200" i="7"/>
  <c r="S200" i="7"/>
  <c r="U199" i="7"/>
  <c r="V199" i="7" s="1"/>
  <c r="X199" i="7" s="1"/>
  <c r="Y199" i="7" s="1"/>
  <c r="Z199" i="7" s="1"/>
  <c r="AA199" i="7" s="1"/>
  <c r="T199" i="7"/>
  <c r="S199" i="7"/>
  <c r="U198" i="7"/>
  <c r="V198" i="7" s="1"/>
  <c r="X198" i="7" s="1"/>
  <c r="Y198" i="7" s="1"/>
  <c r="Z198" i="7" s="1"/>
  <c r="AA198" i="7" s="1"/>
  <c r="T198" i="7"/>
  <c r="S198" i="7"/>
  <c r="U197" i="7"/>
  <c r="V197" i="7" s="1"/>
  <c r="X197" i="7" s="1"/>
  <c r="Y197" i="7" s="1"/>
  <c r="Z197" i="7" s="1"/>
  <c r="AA197" i="7" s="1"/>
  <c r="T197" i="7"/>
  <c r="U196" i="7"/>
  <c r="V196" i="7" s="1"/>
  <c r="X196" i="7" s="1"/>
  <c r="Y196" i="7" s="1"/>
  <c r="Z196" i="7" s="1"/>
  <c r="AA196" i="7" s="1"/>
  <c r="T196" i="7"/>
  <c r="S196" i="7"/>
  <c r="U195" i="7"/>
  <c r="V195" i="7" s="1"/>
  <c r="X195" i="7" s="1"/>
  <c r="Y195" i="7" s="1"/>
  <c r="Z195" i="7" s="1"/>
  <c r="AA195" i="7" s="1"/>
  <c r="T195" i="7"/>
  <c r="T194" i="7"/>
  <c r="U194" i="7" s="1"/>
  <c r="X194" i="7" s="1"/>
  <c r="Z194" i="7" s="1"/>
  <c r="AA194" i="7" s="1"/>
  <c r="S194" i="7"/>
  <c r="T193" i="7"/>
  <c r="U193" i="7" s="1"/>
  <c r="X193" i="7" s="1"/>
  <c r="Z193" i="7" s="1"/>
  <c r="AA193" i="7" s="1"/>
  <c r="S193" i="7"/>
  <c r="AE192" i="7"/>
  <c r="AF192" i="7" s="1"/>
  <c r="AG192" i="7" s="1"/>
  <c r="AH192" i="7" s="1"/>
  <c r="T192" i="7"/>
  <c r="U192" i="7" s="1"/>
  <c r="X192" i="7" s="1"/>
  <c r="S192" i="7"/>
  <c r="T191" i="7"/>
  <c r="U191" i="7" s="1"/>
  <c r="X191" i="7" s="1"/>
  <c r="Z191" i="7" s="1"/>
  <c r="AA191" i="7" s="1"/>
  <c r="S191" i="7"/>
  <c r="AA190" i="7"/>
  <c r="AB190" i="7" s="1"/>
  <c r="AC190" i="7" s="1"/>
  <c r="AD190" i="7" s="1"/>
  <c r="AE190" i="7" s="1"/>
  <c r="AF190" i="7" s="1"/>
  <c r="AG190" i="7" s="1"/>
  <c r="AH190" i="7" s="1"/>
  <c r="T190" i="7"/>
  <c r="U190" i="7" s="1"/>
  <c r="X190" i="7" s="1"/>
  <c r="S190" i="7"/>
  <c r="Z189" i="7"/>
  <c r="AA189" i="7" s="1"/>
  <c r="AB189" i="7" s="1"/>
  <c r="AC189" i="7" s="1"/>
  <c r="AD189" i="7" s="1"/>
  <c r="AE189" i="7" s="1"/>
  <c r="AF189" i="7" s="1"/>
  <c r="AG189" i="7" s="1"/>
  <c r="AH189" i="7" s="1"/>
  <c r="T189" i="7"/>
  <c r="U189" i="7" s="1"/>
  <c r="X189" i="7" s="1"/>
  <c r="S189" i="7"/>
  <c r="Z188" i="7"/>
  <c r="AA188" i="7" s="1"/>
  <c r="AB188" i="7" s="1"/>
  <c r="AC188" i="7" s="1"/>
  <c r="AD188" i="7" s="1"/>
  <c r="AE188" i="7" s="1"/>
  <c r="AF188" i="7" s="1"/>
  <c r="AG188" i="7" s="1"/>
  <c r="AH188" i="7" s="1"/>
  <c r="T188" i="7"/>
  <c r="U188" i="7" s="1"/>
  <c r="X188" i="7" s="1"/>
  <c r="S188" i="7"/>
  <c r="T187" i="7"/>
  <c r="U187" i="7" s="1"/>
  <c r="X187" i="7" s="1"/>
  <c r="Z187" i="7" s="1"/>
  <c r="AA187" i="7" s="1"/>
  <c r="S187" i="7"/>
  <c r="Z186" i="7"/>
  <c r="AA186" i="7" s="1"/>
  <c r="AB186" i="7" s="1"/>
  <c r="AC186" i="7" s="1"/>
  <c r="AD186" i="7" s="1"/>
  <c r="AE186" i="7" s="1"/>
  <c r="AF186" i="7" s="1"/>
  <c r="AG186" i="7" s="1"/>
  <c r="AH186" i="7" s="1"/>
  <c r="T186" i="7"/>
  <c r="U186" i="7" s="1"/>
  <c r="X186" i="7" s="1"/>
  <c r="S186" i="7"/>
  <c r="AA185" i="7"/>
  <c r="AB185" i="7" s="1"/>
  <c r="AC185" i="7" s="1"/>
  <c r="AD185" i="7" s="1"/>
  <c r="AE185" i="7" s="1"/>
  <c r="AF185" i="7" s="1"/>
  <c r="AG185" i="7" s="1"/>
  <c r="AH185" i="7" s="1"/>
  <c r="T185" i="7"/>
  <c r="U185" i="7" s="1"/>
  <c r="X185" i="7" s="1"/>
  <c r="S185" i="7"/>
  <c r="AA184" i="7"/>
  <c r="AB184" i="7" s="1"/>
  <c r="AC184" i="7" s="1"/>
  <c r="AD184" i="7" s="1"/>
  <c r="AE184" i="7" s="1"/>
  <c r="AF184" i="7" s="1"/>
  <c r="AG184" i="7" s="1"/>
  <c r="AH184" i="7" s="1"/>
  <c r="T184" i="7"/>
  <c r="U184" i="7" s="1"/>
  <c r="X184" i="7" s="1"/>
  <c r="S184" i="7"/>
  <c r="Z183" i="7"/>
  <c r="AA183" i="7" s="1"/>
  <c r="AB183" i="7" s="1"/>
  <c r="AC183" i="7" s="1"/>
  <c r="AD183" i="7" s="1"/>
  <c r="AE183" i="7" s="1"/>
  <c r="AF183" i="7" s="1"/>
  <c r="AG183" i="7" s="1"/>
  <c r="AH183" i="7" s="1"/>
  <c r="T183" i="7"/>
  <c r="U183" i="7" s="1"/>
  <c r="X183" i="7" s="1"/>
  <c r="S183" i="7"/>
  <c r="T182" i="7"/>
  <c r="U182" i="7" s="1"/>
  <c r="X182" i="7" s="1"/>
  <c r="Z182" i="7" s="1"/>
  <c r="AA182" i="7" s="1"/>
  <c r="S182" i="7"/>
  <c r="T181" i="7"/>
  <c r="U181" i="7" s="1"/>
  <c r="X181" i="7" s="1"/>
  <c r="Z181" i="7" s="1"/>
  <c r="AA181" i="7" s="1"/>
  <c r="S181" i="7"/>
  <c r="T180" i="7"/>
  <c r="U180" i="7" s="1"/>
  <c r="X180" i="7" s="1"/>
  <c r="Z180" i="7" s="1"/>
  <c r="AA180" i="7" s="1"/>
  <c r="S180" i="7"/>
  <c r="U179" i="7"/>
  <c r="X179" i="7" s="1"/>
  <c r="Y179" i="7" s="1"/>
  <c r="Z179" i="7" s="1"/>
  <c r="AA179" i="7" s="1"/>
  <c r="T179" i="7"/>
  <c r="S179" i="7"/>
  <c r="U178" i="7"/>
  <c r="X178" i="7" s="1"/>
  <c r="Y178" i="7" s="1"/>
  <c r="Z178" i="7" s="1"/>
  <c r="AA178" i="7" s="1"/>
  <c r="S178" i="7"/>
  <c r="U177" i="7"/>
  <c r="X177" i="7" s="1"/>
  <c r="Z177" i="7" s="1"/>
  <c r="AA177" i="7" s="1"/>
  <c r="S177" i="7"/>
  <c r="U176" i="7"/>
  <c r="X176" i="7" s="1"/>
  <c r="S176" i="7"/>
  <c r="U175" i="7"/>
  <c r="X175" i="7" s="1"/>
  <c r="S175" i="7"/>
  <c r="T174" i="7"/>
  <c r="U174" i="7" s="1"/>
  <c r="V174" i="7" s="1"/>
  <c r="X174" i="7" s="1"/>
  <c r="Y174" i="7" s="1"/>
  <c r="S174" i="7"/>
  <c r="T173" i="7"/>
  <c r="U173" i="7" s="1"/>
  <c r="V173" i="7" s="1"/>
  <c r="X173" i="7" s="1"/>
  <c r="Z173" i="7" s="1"/>
  <c r="AA173" i="7" s="1"/>
  <c r="S173" i="7"/>
  <c r="T172" i="7"/>
  <c r="U172" i="7" s="1"/>
  <c r="V172" i="7" s="1"/>
  <c r="X172" i="7" s="1"/>
  <c r="S172" i="7"/>
  <c r="AD171" i="7"/>
  <c r="AE171" i="7" s="1"/>
  <c r="AF171" i="7" s="1"/>
  <c r="AG171" i="7" s="1"/>
  <c r="AH171" i="7" s="1"/>
  <c r="T171" i="7"/>
  <c r="U171" i="7" s="1"/>
  <c r="V171" i="7" s="1"/>
  <c r="X171" i="7" s="1"/>
  <c r="S171" i="7"/>
  <c r="T170" i="7"/>
  <c r="U170" i="7" s="1"/>
  <c r="V170" i="7" s="1"/>
  <c r="X170" i="7" s="1"/>
  <c r="Y170" i="7" s="1"/>
  <c r="Z170" i="7" s="1"/>
  <c r="AA170" i="7" s="1"/>
  <c r="S170" i="7"/>
  <c r="T169" i="7"/>
  <c r="U169" i="7" s="1"/>
  <c r="V169" i="7" s="1"/>
  <c r="X169" i="7" s="1"/>
  <c r="Z169" i="7" s="1"/>
  <c r="AA169" i="7" s="1"/>
  <c r="S169" i="7"/>
  <c r="T168" i="7"/>
  <c r="U168" i="7" s="1"/>
  <c r="V168" i="7" s="1"/>
  <c r="X168" i="7" s="1"/>
  <c r="S168" i="7"/>
  <c r="U167" i="7"/>
  <c r="V167" i="7" s="1"/>
  <c r="X167" i="7" s="1"/>
  <c r="Y167" i="7" s="1"/>
  <c r="Z167" i="7" s="1"/>
  <c r="AA167" i="7" s="1"/>
  <c r="T167" i="7"/>
  <c r="S167" i="7"/>
  <c r="T166" i="7"/>
  <c r="U166" i="7" s="1"/>
  <c r="V166" i="7" s="1"/>
  <c r="X166" i="7" s="1"/>
  <c r="Y166" i="7" s="1"/>
  <c r="Z166" i="7" s="1"/>
  <c r="AA166" i="7" s="1"/>
  <c r="T165" i="7"/>
  <c r="U165" i="7" s="1"/>
  <c r="T164" i="7"/>
  <c r="U164" i="7" s="1"/>
  <c r="V164" i="7" s="1"/>
  <c r="X164" i="7" s="1"/>
  <c r="Y164" i="7" s="1"/>
  <c r="Z164" i="7" s="1"/>
  <c r="AA164" i="7" s="1"/>
  <c r="Z163" i="7"/>
  <c r="AA163" i="7" s="1"/>
  <c r="AB163" i="7" s="1"/>
  <c r="AC163" i="7" s="1"/>
  <c r="AD163" i="7" s="1"/>
  <c r="AE163" i="7" s="1"/>
  <c r="AF163" i="7" s="1"/>
  <c r="AG163" i="7" s="1"/>
  <c r="AH163" i="7" s="1"/>
  <c r="T163" i="7"/>
  <c r="U163" i="7" s="1"/>
  <c r="V163" i="7" s="1"/>
  <c r="K163" i="7"/>
  <c r="Z162" i="7"/>
  <c r="AA162" i="7" s="1"/>
  <c r="AB162" i="7" s="1"/>
  <c r="AC162" i="7" s="1"/>
  <c r="AD162" i="7" s="1"/>
  <c r="AE162" i="7" s="1"/>
  <c r="AF162" i="7" s="1"/>
  <c r="AG162" i="7" s="1"/>
  <c r="AH162" i="7" s="1"/>
  <c r="T162" i="7"/>
  <c r="U162" i="7" s="1"/>
  <c r="K162" i="7"/>
  <c r="Z161" i="7"/>
  <c r="AA161" i="7" s="1"/>
  <c r="AB161" i="7" s="1"/>
  <c r="AC161" i="7" s="1"/>
  <c r="AD161" i="7" s="1"/>
  <c r="AE161" i="7" s="1"/>
  <c r="AF161" i="7" s="1"/>
  <c r="AG161" i="7" s="1"/>
  <c r="AH161" i="7" s="1"/>
  <c r="T161" i="7"/>
  <c r="U161" i="7" s="1"/>
  <c r="K161" i="7"/>
  <c r="Z160" i="7"/>
  <c r="AA160" i="7" s="1"/>
  <c r="AB160" i="7" s="1"/>
  <c r="AC160" i="7" s="1"/>
  <c r="AD160" i="7" s="1"/>
  <c r="AE160" i="7" s="1"/>
  <c r="AF160" i="7" s="1"/>
  <c r="AG160" i="7" s="1"/>
  <c r="AH160" i="7" s="1"/>
  <c r="T160" i="7"/>
  <c r="U160" i="7" s="1"/>
  <c r="V160" i="7" s="1"/>
  <c r="S160" i="7"/>
  <c r="K160" i="7"/>
  <c r="Z159" i="7"/>
  <c r="AA159" i="7" s="1"/>
  <c r="AB159" i="7" s="1"/>
  <c r="AC159" i="7" s="1"/>
  <c r="AD159" i="7" s="1"/>
  <c r="AE159" i="7" s="1"/>
  <c r="AF159" i="7" s="1"/>
  <c r="AG159" i="7" s="1"/>
  <c r="AH159" i="7" s="1"/>
  <c r="T159" i="7"/>
  <c r="U159" i="7" s="1"/>
  <c r="V159" i="7" s="1"/>
  <c r="K159" i="7"/>
  <c r="Z158" i="7"/>
  <c r="AA158" i="7" s="1"/>
  <c r="AB158" i="7" s="1"/>
  <c r="AC158" i="7" s="1"/>
  <c r="AD158" i="7" s="1"/>
  <c r="AE158" i="7" s="1"/>
  <c r="AF158" i="7" s="1"/>
  <c r="AG158" i="7" s="1"/>
  <c r="AH158" i="7" s="1"/>
  <c r="T158" i="7"/>
  <c r="U158" i="7" s="1"/>
  <c r="K158" i="7"/>
  <c r="Z157" i="7"/>
  <c r="AA157" i="7" s="1"/>
  <c r="AB157" i="7" s="1"/>
  <c r="AC157" i="7" s="1"/>
  <c r="AD157" i="7" s="1"/>
  <c r="AE157" i="7" s="1"/>
  <c r="AF157" i="7" s="1"/>
  <c r="AG157" i="7" s="1"/>
  <c r="AH157" i="7" s="1"/>
  <c r="T157" i="7"/>
  <c r="U157" i="7" s="1"/>
  <c r="K157" i="7"/>
  <c r="Z156" i="7"/>
  <c r="AA156" i="7" s="1"/>
  <c r="AB156" i="7" s="1"/>
  <c r="AC156" i="7" s="1"/>
  <c r="AD156" i="7" s="1"/>
  <c r="AE156" i="7" s="1"/>
  <c r="AF156" i="7" s="1"/>
  <c r="AG156" i="7" s="1"/>
  <c r="AH156" i="7" s="1"/>
  <c r="T156" i="7"/>
  <c r="U156" i="7" s="1"/>
  <c r="K156" i="7"/>
  <c r="Z155" i="7"/>
  <c r="AA155" i="7" s="1"/>
  <c r="AB155" i="7" s="1"/>
  <c r="AC155" i="7" s="1"/>
  <c r="AD155" i="7" s="1"/>
  <c r="AE155" i="7" s="1"/>
  <c r="AF155" i="7" s="1"/>
  <c r="AG155" i="7" s="1"/>
  <c r="AH155" i="7" s="1"/>
  <c r="T155" i="7"/>
  <c r="U155" i="7" s="1"/>
  <c r="V155" i="7" s="1"/>
  <c r="S155" i="7"/>
  <c r="K155" i="7"/>
  <c r="Z154" i="7"/>
  <c r="AA154" i="7" s="1"/>
  <c r="AB154" i="7" s="1"/>
  <c r="AC154" i="7" s="1"/>
  <c r="AD154" i="7" s="1"/>
  <c r="AE154" i="7" s="1"/>
  <c r="AF154" i="7" s="1"/>
  <c r="AG154" i="7" s="1"/>
  <c r="AH154" i="7" s="1"/>
  <c r="T154" i="7"/>
  <c r="U154" i="7" s="1"/>
  <c r="V154" i="7" s="1"/>
  <c r="K154" i="7"/>
  <c r="Z153" i="7"/>
  <c r="AA153" i="7" s="1"/>
  <c r="AB153" i="7" s="1"/>
  <c r="AC153" i="7" s="1"/>
  <c r="AD153" i="7" s="1"/>
  <c r="AE153" i="7" s="1"/>
  <c r="AF153" i="7" s="1"/>
  <c r="AG153" i="7" s="1"/>
  <c r="AH153" i="7" s="1"/>
  <c r="T153" i="7"/>
  <c r="U153" i="7" s="1"/>
  <c r="K153" i="7"/>
  <c r="T152" i="7"/>
  <c r="U152" i="7" s="1"/>
  <c r="K152" i="7"/>
  <c r="Z151" i="7"/>
  <c r="AA151" i="7" s="1"/>
  <c r="AB151" i="7" s="1"/>
  <c r="AC151" i="7" s="1"/>
  <c r="AD151" i="7" s="1"/>
  <c r="AE151" i="7" s="1"/>
  <c r="AF151" i="7" s="1"/>
  <c r="AG151" i="7" s="1"/>
  <c r="AH151" i="7" s="1"/>
  <c r="T151" i="7"/>
  <c r="U151" i="7" s="1"/>
  <c r="K151" i="7"/>
  <c r="Z150" i="7"/>
  <c r="AA150" i="7" s="1"/>
  <c r="AB150" i="7" s="1"/>
  <c r="AC150" i="7" s="1"/>
  <c r="AD150" i="7" s="1"/>
  <c r="AE150" i="7" s="1"/>
  <c r="AF150" i="7" s="1"/>
  <c r="AG150" i="7" s="1"/>
  <c r="AH150" i="7" s="1"/>
  <c r="T150" i="7"/>
  <c r="U150" i="7" s="1"/>
  <c r="K150" i="7"/>
  <c r="Z149" i="7"/>
  <c r="AA149" i="7" s="1"/>
  <c r="AB149" i="7" s="1"/>
  <c r="AC149" i="7" s="1"/>
  <c r="AD149" i="7" s="1"/>
  <c r="AE149" i="7" s="1"/>
  <c r="AF149" i="7" s="1"/>
  <c r="AG149" i="7" s="1"/>
  <c r="AH149" i="7" s="1"/>
  <c r="T149" i="7"/>
  <c r="U149" i="7" s="1"/>
  <c r="K149" i="7"/>
  <c r="Z148" i="7"/>
  <c r="AA148" i="7" s="1"/>
  <c r="AB148" i="7" s="1"/>
  <c r="AC148" i="7" s="1"/>
  <c r="AD148" i="7" s="1"/>
  <c r="AE148" i="7" s="1"/>
  <c r="AF148" i="7" s="1"/>
  <c r="AG148" i="7" s="1"/>
  <c r="AH148" i="7" s="1"/>
  <c r="T148" i="7"/>
  <c r="U148" i="7" s="1"/>
  <c r="V148" i="7" s="1"/>
  <c r="S148" i="7"/>
  <c r="K148" i="7"/>
  <c r="Z147" i="7"/>
  <c r="AA147" i="7" s="1"/>
  <c r="AB147" i="7" s="1"/>
  <c r="AC147" i="7" s="1"/>
  <c r="AD147" i="7" s="1"/>
  <c r="AE147" i="7" s="1"/>
  <c r="AF147" i="7" s="1"/>
  <c r="AG147" i="7" s="1"/>
  <c r="AH147" i="7" s="1"/>
  <c r="T147" i="7"/>
  <c r="U147" i="7" s="1"/>
  <c r="V147" i="7" s="1"/>
  <c r="K147" i="7"/>
  <c r="Z146" i="7"/>
  <c r="AA146" i="7" s="1"/>
  <c r="AB146" i="7" s="1"/>
  <c r="AC146" i="7" s="1"/>
  <c r="AD146" i="7" s="1"/>
  <c r="AE146" i="7" s="1"/>
  <c r="AF146" i="7" s="1"/>
  <c r="AG146" i="7" s="1"/>
  <c r="AH146" i="7" s="1"/>
  <c r="T146" i="7"/>
  <c r="U146" i="7" s="1"/>
  <c r="K146" i="7"/>
  <c r="Z145" i="7"/>
  <c r="AA145" i="7" s="1"/>
  <c r="AB145" i="7" s="1"/>
  <c r="AC145" i="7" s="1"/>
  <c r="AD145" i="7" s="1"/>
  <c r="AE145" i="7" s="1"/>
  <c r="AF145" i="7" s="1"/>
  <c r="AG145" i="7" s="1"/>
  <c r="AH145" i="7" s="1"/>
  <c r="T145" i="7"/>
  <c r="U145" i="7" s="1"/>
  <c r="K145" i="7"/>
  <c r="Z144" i="7"/>
  <c r="AA144" i="7" s="1"/>
  <c r="AB144" i="7" s="1"/>
  <c r="AC144" i="7" s="1"/>
  <c r="AD144" i="7" s="1"/>
  <c r="AE144" i="7" s="1"/>
  <c r="AF144" i="7" s="1"/>
  <c r="AG144" i="7" s="1"/>
  <c r="AH144" i="7" s="1"/>
  <c r="T144" i="7"/>
  <c r="U144" i="7" s="1"/>
  <c r="K144" i="7"/>
  <c r="Z143" i="7"/>
  <c r="AA143" i="7" s="1"/>
  <c r="AB143" i="7" s="1"/>
  <c r="AC143" i="7" s="1"/>
  <c r="AD143" i="7" s="1"/>
  <c r="AE143" i="7" s="1"/>
  <c r="AF143" i="7" s="1"/>
  <c r="AG143" i="7" s="1"/>
  <c r="AH143" i="7" s="1"/>
  <c r="T143" i="7"/>
  <c r="U143" i="7" s="1"/>
  <c r="V143" i="7" s="1"/>
  <c r="S143" i="7"/>
  <c r="K143" i="7"/>
  <c r="Z142" i="7"/>
  <c r="AA142" i="7" s="1"/>
  <c r="AB142" i="7" s="1"/>
  <c r="AC142" i="7" s="1"/>
  <c r="AD142" i="7" s="1"/>
  <c r="AE142" i="7" s="1"/>
  <c r="AF142" i="7" s="1"/>
  <c r="AG142" i="7" s="1"/>
  <c r="AH142" i="7" s="1"/>
  <c r="T142" i="7"/>
  <c r="U142" i="7" s="1"/>
  <c r="V142" i="7" s="1"/>
  <c r="K142" i="7"/>
  <c r="Z141" i="7"/>
  <c r="AA141" i="7" s="1"/>
  <c r="AB141" i="7" s="1"/>
  <c r="AC141" i="7" s="1"/>
  <c r="AD141" i="7" s="1"/>
  <c r="AE141" i="7" s="1"/>
  <c r="AF141" i="7" s="1"/>
  <c r="AG141" i="7" s="1"/>
  <c r="AH141" i="7" s="1"/>
  <c r="T141" i="7"/>
  <c r="U141" i="7" s="1"/>
  <c r="K141" i="7"/>
  <c r="Z140" i="7"/>
  <c r="AA140" i="7" s="1"/>
  <c r="AB140" i="7" s="1"/>
  <c r="AC140" i="7" s="1"/>
  <c r="AD140" i="7" s="1"/>
  <c r="AE140" i="7" s="1"/>
  <c r="AF140" i="7" s="1"/>
  <c r="AG140" i="7" s="1"/>
  <c r="AH140" i="7" s="1"/>
  <c r="T140" i="7"/>
  <c r="U140" i="7" s="1"/>
  <c r="K140" i="7"/>
  <c r="Z139" i="7"/>
  <c r="AA139" i="7" s="1"/>
  <c r="AB139" i="7" s="1"/>
  <c r="AC139" i="7" s="1"/>
  <c r="AD139" i="7" s="1"/>
  <c r="AE139" i="7" s="1"/>
  <c r="AF139" i="7" s="1"/>
  <c r="AG139" i="7" s="1"/>
  <c r="AH139" i="7" s="1"/>
  <c r="T139" i="7"/>
  <c r="U139" i="7" s="1"/>
  <c r="K139" i="7"/>
  <c r="Z138" i="7"/>
  <c r="AA138" i="7" s="1"/>
  <c r="AB138" i="7" s="1"/>
  <c r="AC138" i="7" s="1"/>
  <c r="AD138" i="7" s="1"/>
  <c r="AE138" i="7" s="1"/>
  <c r="AF138" i="7" s="1"/>
  <c r="AG138" i="7" s="1"/>
  <c r="AH138" i="7" s="1"/>
  <c r="T138" i="7"/>
  <c r="U138" i="7" s="1"/>
  <c r="K138" i="7"/>
  <c r="Z137" i="7"/>
  <c r="AA137" i="7" s="1"/>
  <c r="AB137" i="7" s="1"/>
  <c r="AC137" i="7" s="1"/>
  <c r="AD137" i="7" s="1"/>
  <c r="AE137" i="7" s="1"/>
  <c r="AF137" i="7" s="1"/>
  <c r="AG137" i="7" s="1"/>
  <c r="AH137" i="7" s="1"/>
  <c r="T137" i="7"/>
  <c r="U137" i="7" s="1"/>
  <c r="K137" i="7"/>
  <c r="T136" i="7"/>
  <c r="U136" i="7" s="1"/>
  <c r="V136" i="7" s="1"/>
  <c r="K136" i="7"/>
  <c r="Z135" i="7"/>
  <c r="AA135" i="7" s="1"/>
  <c r="AB135" i="7" s="1"/>
  <c r="AC135" i="7" s="1"/>
  <c r="AD135" i="7" s="1"/>
  <c r="AE135" i="7" s="1"/>
  <c r="AF135" i="7" s="1"/>
  <c r="AG135" i="7" s="1"/>
  <c r="AH135" i="7" s="1"/>
  <c r="T135" i="7"/>
  <c r="U135" i="7" s="1"/>
  <c r="K135" i="7"/>
  <c r="Z134" i="7"/>
  <c r="AA134" i="7" s="1"/>
  <c r="AB134" i="7" s="1"/>
  <c r="AC134" i="7" s="1"/>
  <c r="AD134" i="7" s="1"/>
  <c r="AE134" i="7" s="1"/>
  <c r="AF134" i="7" s="1"/>
  <c r="AG134" i="7" s="1"/>
  <c r="AH134" i="7" s="1"/>
  <c r="T134" i="7"/>
  <c r="U134" i="7" s="1"/>
  <c r="K134" i="7"/>
  <c r="T133" i="7"/>
  <c r="U133" i="7" s="1"/>
  <c r="K133" i="7"/>
  <c r="Z132" i="7"/>
  <c r="AA132" i="7" s="1"/>
  <c r="AB132" i="7" s="1"/>
  <c r="AC132" i="7" s="1"/>
  <c r="AD132" i="7" s="1"/>
  <c r="AE132" i="7" s="1"/>
  <c r="AF132" i="7" s="1"/>
  <c r="AG132" i="7" s="1"/>
  <c r="AH132" i="7" s="1"/>
  <c r="T132" i="7"/>
  <c r="U132" i="7" s="1"/>
  <c r="K132" i="7"/>
  <c r="Z131" i="7"/>
  <c r="AA131" i="7" s="1"/>
  <c r="AB131" i="7" s="1"/>
  <c r="AC131" i="7" s="1"/>
  <c r="AD131" i="7" s="1"/>
  <c r="AE131" i="7" s="1"/>
  <c r="AF131" i="7" s="1"/>
  <c r="AG131" i="7" s="1"/>
  <c r="AH131" i="7" s="1"/>
  <c r="T131" i="7"/>
  <c r="U131" i="7" s="1"/>
  <c r="K131" i="7"/>
  <c r="Z130" i="7"/>
  <c r="AA130" i="7" s="1"/>
  <c r="AB130" i="7" s="1"/>
  <c r="AC130" i="7" s="1"/>
  <c r="AD130" i="7" s="1"/>
  <c r="AE130" i="7" s="1"/>
  <c r="AF130" i="7" s="1"/>
  <c r="AG130" i="7" s="1"/>
  <c r="AH130" i="7" s="1"/>
  <c r="T130" i="7"/>
  <c r="U130" i="7" s="1"/>
  <c r="K130" i="7"/>
  <c r="T129" i="7"/>
  <c r="U129" i="7" s="1"/>
  <c r="V129" i="7" s="1"/>
  <c r="K129" i="7"/>
  <c r="Z128" i="7"/>
  <c r="AA128" i="7" s="1"/>
  <c r="AB128" i="7" s="1"/>
  <c r="AC128" i="7" s="1"/>
  <c r="AD128" i="7" s="1"/>
  <c r="AE128" i="7" s="1"/>
  <c r="AF128" i="7" s="1"/>
  <c r="AG128" i="7" s="1"/>
  <c r="AH128" i="7" s="1"/>
  <c r="T128" i="7"/>
  <c r="U128" i="7" s="1"/>
  <c r="K128" i="7"/>
  <c r="T127" i="7"/>
  <c r="U127" i="7" s="1"/>
  <c r="K127" i="7"/>
  <c r="T126" i="7"/>
  <c r="U126" i="7" s="1"/>
  <c r="K126" i="7"/>
  <c r="T125" i="7"/>
  <c r="U125" i="7" s="1"/>
  <c r="K125" i="7"/>
  <c r="T124" i="7"/>
  <c r="U124" i="7" s="1"/>
  <c r="V124" i="7" s="1"/>
  <c r="K124" i="7"/>
  <c r="U123" i="7"/>
  <c r="V123" i="7" s="1"/>
  <c r="X123" i="7" s="1"/>
  <c r="Y123" i="7" s="1"/>
  <c r="Z123" i="7" s="1"/>
  <c r="AA123" i="7" s="1"/>
  <c r="T123" i="7"/>
  <c r="S123" i="7"/>
  <c r="T122" i="7"/>
  <c r="U122" i="7" s="1"/>
  <c r="V122" i="7" s="1"/>
  <c r="X122" i="7" s="1"/>
  <c r="Z122" i="7" s="1"/>
  <c r="AA122" i="7" s="1"/>
  <c r="S122" i="7"/>
  <c r="T121" i="7"/>
  <c r="U121" i="7" s="1"/>
  <c r="V121" i="7" s="1"/>
  <c r="X121" i="7" s="1"/>
  <c r="Y121" i="7" s="1"/>
  <c r="Z121" i="7" s="1"/>
  <c r="AA121" i="7" s="1"/>
  <c r="S121" i="7"/>
  <c r="T120" i="7"/>
  <c r="U120" i="7" s="1"/>
  <c r="V120" i="7" s="1"/>
  <c r="X120" i="7" s="1"/>
  <c r="Z120" i="7" s="1"/>
  <c r="AA120" i="7" s="1"/>
  <c r="S120" i="7"/>
  <c r="T119" i="7"/>
  <c r="U119" i="7" s="1"/>
  <c r="V119" i="7" s="1"/>
  <c r="X119" i="7" s="1"/>
  <c r="S119" i="7"/>
  <c r="AC118" i="7"/>
  <c r="AD118" i="7" s="1"/>
  <c r="AE118" i="7" s="1"/>
  <c r="AF118" i="7" s="1"/>
  <c r="AG118" i="7" s="1"/>
  <c r="AH118" i="7" s="1"/>
  <c r="T118" i="7"/>
  <c r="U118" i="7" s="1"/>
  <c r="V118" i="7" s="1"/>
  <c r="X118" i="7" s="1"/>
  <c r="S118" i="7"/>
  <c r="Z117" i="7"/>
  <c r="AA117" i="7" s="1"/>
  <c r="AB117" i="7" s="1"/>
  <c r="AC117" i="7" s="1"/>
  <c r="AD117" i="7" s="1"/>
  <c r="AE117" i="7" s="1"/>
  <c r="AF117" i="7" s="1"/>
  <c r="AG117" i="7" s="1"/>
  <c r="AH117" i="7" s="1"/>
  <c r="T117" i="7"/>
  <c r="U117" i="7" s="1"/>
  <c r="V117" i="7" s="1"/>
  <c r="X117" i="7" s="1"/>
  <c r="S117" i="7"/>
  <c r="Z116" i="7"/>
  <c r="AA116" i="7" s="1"/>
  <c r="AB116" i="7" s="1"/>
  <c r="AC116" i="7" s="1"/>
  <c r="AD116" i="7" s="1"/>
  <c r="AE116" i="7" s="1"/>
  <c r="AF116" i="7" s="1"/>
  <c r="AG116" i="7" s="1"/>
  <c r="AH116" i="7" s="1"/>
  <c r="T116" i="7"/>
  <c r="U116" i="7" s="1"/>
  <c r="V116" i="7" s="1"/>
  <c r="X116" i="7" s="1"/>
  <c r="S116" i="7"/>
  <c r="T115" i="7"/>
  <c r="U115" i="7" s="1"/>
  <c r="V115" i="7" s="1"/>
  <c r="X115" i="7" s="1"/>
  <c r="Z115" i="7" s="1"/>
  <c r="AA115" i="7" s="1"/>
  <c r="S115" i="7"/>
  <c r="T114" i="7"/>
  <c r="U114" i="7" s="1"/>
  <c r="V114" i="7" s="1"/>
  <c r="X114" i="7" s="1"/>
  <c r="Z114" i="7" s="1"/>
  <c r="AA114" i="7" s="1"/>
  <c r="S114" i="7"/>
  <c r="AA113" i="7"/>
  <c r="AB113" i="7" s="1"/>
  <c r="AC113" i="7" s="1"/>
  <c r="AD113" i="7" s="1"/>
  <c r="AE113" i="7" s="1"/>
  <c r="AF113" i="7" s="1"/>
  <c r="AG113" i="7" s="1"/>
  <c r="AH113" i="7" s="1"/>
  <c r="T113" i="7"/>
  <c r="U113" i="7" s="1"/>
  <c r="S113" i="7"/>
  <c r="T112" i="7"/>
  <c r="U112" i="7" s="1"/>
  <c r="S112" i="7"/>
  <c r="Z111" i="7"/>
  <c r="AA111" i="7" s="1"/>
  <c r="AB111" i="7" s="1"/>
  <c r="AC111" i="7" s="1"/>
  <c r="AD111" i="7" s="1"/>
  <c r="AE111" i="7" s="1"/>
  <c r="AF111" i="7" s="1"/>
  <c r="AG111" i="7" s="1"/>
  <c r="AH111" i="7" s="1"/>
  <c r="T111" i="7"/>
  <c r="U111" i="7" s="1"/>
  <c r="S111" i="7"/>
  <c r="Z110" i="7"/>
  <c r="AA110" i="7" s="1"/>
  <c r="AB110" i="7" s="1"/>
  <c r="AC110" i="7" s="1"/>
  <c r="AD110" i="7" s="1"/>
  <c r="AE110" i="7" s="1"/>
  <c r="AF110" i="7" s="1"/>
  <c r="AG110" i="7" s="1"/>
  <c r="AH110" i="7" s="1"/>
  <c r="T110" i="7"/>
  <c r="U110" i="7" s="1"/>
  <c r="S110" i="7"/>
  <c r="Z109" i="7"/>
  <c r="AA109" i="7" s="1"/>
  <c r="AB109" i="7" s="1"/>
  <c r="AC109" i="7" s="1"/>
  <c r="AD109" i="7" s="1"/>
  <c r="AE109" i="7" s="1"/>
  <c r="AF109" i="7" s="1"/>
  <c r="AG109" i="7" s="1"/>
  <c r="AH109" i="7" s="1"/>
  <c r="T109" i="7"/>
  <c r="U109" i="7" s="1"/>
  <c r="S109" i="7"/>
  <c r="Z108" i="7"/>
  <c r="AA108" i="7" s="1"/>
  <c r="AB108" i="7" s="1"/>
  <c r="AC108" i="7" s="1"/>
  <c r="AD108" i="7" s="1"/>
  <c r="AE108" i="7" s="1"/>
  <c r="AF108" i="7" s="1"/>
  <c r="AG108" i="7" s="1"/>
  <c r="AH108" i="7" s="1"/>
  <c r="T108" i="7"/>
  <c r="U108" i="7" s="1"/>
  <c r="S108" i="7"/>
  <c r="Z107" i="7"/>
  <c r="AA107" i="7" s="1"/>
  <c r="AB107" i="7" s="1"/>
  <c r="AC107" i="7" s="1"/>
  <c r="AD107" i="7" s="1"/>
  <c r="AE107" i="7" s="1"/>
  <c r="AF107" i="7" s="1"/>
  <c r="AG107" i="7" s="1"/>
  <c r="AH107" i="7" s="1"/>
  <c r="T107" i="7"/>
  <c r="U107" i="7" s="1"/>
  <c r="V107" i="7" s="1"/>
  <c r="X107" i="7" s="1"/>
  <c r="S107" i="7"/>
  <c r="Z106" i="7"/>
  <c r="AA106" i="7" s="1"/>
  <c r="AB106" i="7" s="1"/>
  <c r="AC106" i="7" s="1"/>
  <c r="AD106" i="7" s="1"/>
  <c r="AE106" i="7" s="1"/>
  <c r="AF106" i="7" s="1"/>
  <c r="AG106" i="7" s="1"/>
  <c r="AH106" i="7" s="1"/>
  <c r="T106" i="7"/>
  <c r="U106" i="7" s="1"/>
  <c r="V106" i="7" s="1"/>
  <c r="X106" i="7" s="1"/>
  <c r="S106" i="7"/>
  <c r="Z105" i="7"/>
  <c r="AA105" i="7" s="1"/>
  <c r="AB105" i="7" s="1"/>
  <c r="AC105" i="7" s="1"/>
  <c r="AD105" i="7" s="1"/>
  <c r="AE105" i="7" s="1"/>
  <c r="AF105" i="7" s="1"/>
  <c r="AG105" i="7" s="1"/>
  <c r="AH105" i="7" s="1"/>
  <c r="T105" i="7"/>
  <c r="U105" i="7" s="1"/>
  <c r="V105" i="7" s="1"/>
  <c r="X105" i="7" s="1"/>
  <c r="S105" i="7"/>
  <c r="Z104" i="7"/>
  <c r="AA104" i="7" s="1"/>
  <c r="AB104" i="7" s="1"/>
  <c r="AC104" i="7" s="1"/>
  <c r="AD104" i="7" s="1"/>
  <c r="AE104" i="7" s="1"/>
  <c r="AF104" i="7" s="1"/>
  <c r="AG104" i="7" s="1"/>
  <c r="AH104" i="7" s="1"/>
  <c r="T104" i="7"/>
  <c r="U104" i="7" s="1"/>
  <c r="V104" i="7" s="1"/>
  <c r="X104" i="7" s="1"/>
  <c r="S104" i="7"/>
  <c r="AA103" i="7"/>
  <c r="AB103" i="7" s="1"/>
  <c r="AC103" i="7" s="1"/>
  <c r="AD103" i="7" s="1"/>
  <c r="AE103" i="7" s="1"/>
  <c r="AF103" i="7" s="1"/>
  <c r="AG103" i="7" s="1"/>
  <c r="AH103" i="7" s="1"/>
  <c r="T103" i="7"/>
  <c r="U103" i="7" s="1"/>
  <c r="V103" i="7" s="1"/>
  <c r="X103" i="7" s="1"/>
  <c r="S103" i="7"/>
  <c r="AA102" i="7"/>
  <c r="AB102" i="7" s="1"/>
  <c r="AC102" i="7" s="1"/>
  <c r="AD102" i="7" s="1"/>
  <c r="AE102" i="7" s="1"/>
  <c r="AF102" i="7" s="1"/>
  <c r="AG102" i="7" s="1"/>
  <c r="AH102" i="7" s="1"/>
  <c r="T102" i="7"/>
  <c r="U102" i="7" s="1"/>
  <c r="V102" i="7" s="1"/>
  <c r="X102" i="7" s="1"/>
  <c r="S102" i="7"/>
  <c r="Z101" i="7"/>
  <c r="AA101" i="7" s="1"/>
  <c r="AB101" i="7" s="1"/>
  <c r="AC101" i="7" s="1"/>
  <c r="AD101" i="7" s="1"/>
  <c r="AE101" i="7" s="1"/>
  <c r="AF101" i="7" s="1"/>
  <c r="AG101" i="7" s="1"/>
  <c r="AH101" i="7" s="1"/>
  <c r="T101" i="7"/>
  <c r="U101" i="7" s="1"/>
  <c r="V101" i="7" s="1"/>
  <c r="X101" i="7" s="1"/>
  <c r="S101" i="7"/>
  <c r="AA100" i="7"/>
  <c r="AB100" i="7" s="1"/>
  <c r="AC100" i="7" s="1"/>
  <c r="AD100" i="7" s="1"/>
  <c r="AE100" i="7" s="1"/>
  <c r="AF100" i="7" s="1"/>
  <c r="AG100" i="7" s="1"/>
  <c r="AH100" i="7" s="1"/>
  <c r="T100" i="7"/>
  <c r="U100" i="7" s="1"/>
  <c r="V100" i="7" s="1"/>
  <c r="X100" i="7" s="1"/>
  <c r="S100" i="7"/>
  <c r="Z99" i="7"/>
  <c r="AA99" i="7" s="1"/>
  <c r="AB99" i="7" s="1"/>
  <c r="AC99" i="7" s="1"/>
  <c r="AD99" i="7" s="1"/>
  <c r="AE99" i="7" s="1"/>
  <c r="AF99" i="7" s="1"/>
  <c r="AG99" i="7" s="1"/>
  <c r="AH99" i="7" s="1"/>
  <c r="T99" i="7"/>
  <c r="U99" i="7" s="1"/>
  <c r="V99" i="7" s="1"/>
  <c r="X99" i="7" s="1"/>
  <c r="S99" i="7"/>
  <c r="Z98" i="7"/>
  <c r="AA98" i="7" s="1"/>
  <c r="AB98" i="7" s="1"/>
  <c r="AC98" i="7" s="1"/>
  <c r="AD98" i="7" s="1"/>
  <c r="AE98" i="7" s="1"/>
  <c r="AF98" i="7" s="1"/>
  <c r="AG98" i="7" s="1"/>
  <c r="AH98" i="7" s="1"/>
  <c r="T98" i="7"/>
  <c r="U98" i="7" s="1"/>
  <c r="V98" i="7" s="1"/>
  <c r="X98" i="7" s="1"/>
  <c r="S98" i="7"/>
  <c r="Z97" i="7"/>
  <c r="AA97" i="7" s="1"/>
  <c r="AB97" i="7" s="1"/>
  <c r="AC97" i="7" s="1"/>
  <c r="AD97" i="7" s="1"/>
  <c r="AE97" i="7" s="1"/>
  <c r="AF97" i="7" s="1"/>
  <c r="AG97" i="7" s="1"/>
  <c r="AH97" i="7" s="1"/>
  <c r="T97" i="7"/>
  <c r="U97" i="7" s="1"/>
  <c r="V97" i="7" s="1"/>
  <c r="X97" i="7" s="1"/>
  <c r="S97" i="7"/>
  <c r="Z96" i="7"/>
  <c r="AA96" i="7" s="1"/>
  <c r="AB96" i="7" s="1"/>
  <c r="AC96" i="7" s="1"/>
  <c r="AD96" i="7" s="1"/>
  <c r="AE96" i="7" s="1"/>
  <c r="AF96" i="7" s="1"/>
  <c r="AG96" i="7" s="1"/>
  <c r="AH96" i="7" s="1"/>
  <c r="T96" i="7"/>
  <c r="U96" i="7" s="1"/>
  <c r="V96" i="7" s="1"/>
  <c r="X96" i="7" s="1"/>
  <c r="S96" i="7"/>
  <c r="Z95" i="7"/>
  <c r="AA95" i="7" s="1"/>
  <c r="AB95" i="7" s="1"/>
  <c r="AC95" i="7" s="1"/>
  <c r="AD95" i="7" s="1"/>
  <c r="AE95" i="7" s="1"/>
  <c r="AF95" i="7" s="1"/>
  <c r="AG95" i="7" s="1"/>
  <c r="AH95" i="7" s="1"/>
  <c r="T95" i="7"/>
  <c r="U95" i="7" s="1"/>
  <c r="V95" i="7" s="1"/>
  <c r="X95" i="7" s="1"/>
  <c r="S95" i="7"/>
  <c r="T94" i="7"/>
  <c r="U94" i="7" s="1"/>
  <c r="S94" i="7"/>
  <c r="AA93" i="7"/>
  <c r="AB93" i="7" s="1"/>
  <c r="AC93" i="7" s="1"/>
  <c r="AD93" i="7" s="1"/>
  <c r="AE93" i="7" s="1"/>
  <c r="AF93" i="7" s="1"/>
  <c r="AG93" i="7" s="1"/>
  <c r="AH93" i="7" s="1"/>
  <c r="T93" i="7"/>
  <c r="U93" i="7" s="1"/>
  <c r="S93" i="7"/>
  <c r="T92" i="7"/>
  <c r="U92" i="7" s="1"/>
  <c r="S92" i="7"/>
  <c r="Z91" i="7"/>
  <c r="AA91" i="7" s="1"/>
  <c r="AB91" i="7" s="1"/>
  <c r="AC91" i="7" s="1"/>
  <c r="AD91" i="7" s="1"/>
  <c r="AE91" i="7" s="1"/>
  <c r="AF91" i="7" s="1"/>
  <c r="AG91" i="7" s="1"/>
  <c r="AH91" i="7" s="1"/>
  <c r="T91" i="7"/>
  <c r="U91" i="7" s="1"/>
  <c r="S91" i="7"/>
  <c r="AA90" i="7"/>
  <c r="AB90" i="7" s="1"/>
  <c r="AC90" i="7" s="1"/>
  <c r="AD90" i="7" s="1"/>
  <c r="AE90" i="7" s="1"/>
  <c r="AF90" i="7" s="1"/>
  <c r="AG90" i="7" s="1"/>
  <c r="AH90" i="7" s="1"/>
  <c r="T90" i="7"/>
  <c r="U90" i="7" s="1"/>
  <c r="S90" i="7"/>
  <c r="AA89" i="7"/>
  <c r="AB89" i="7" s="1"/>
  <c r="AC89" i="7" s="1"/>
  <c r="AD89" i="7" s="1"/>
  <c r="AE89" i="7" s="1"/>
  <c r="AF89" i="7" s="1"/>
  <c r="AG89" i="7" s="1"/>
  <c r="AH89" i="7" s="1"/>
  <c r="T89" i="7"/>
  <c r="U89" i="7" s="1"/>
  <c r="S89" i="7"/>
  <c r="AA88" i="7"/>
  <c r="AB88" i="7" s="1"/>
  <c r="AC88" i="7" s="1"/>
  <c r="AD88" i="7" s="1"/>
  <c r="AE88" i="7" s="1"/>
  <c r="AF88" i="7" s="1"/>
  <c r="AG88" i="7" s="1"/>
  <c r="AH88" i="7" s="1"/>
  <c r="T88" i="7"/>
  <c r="U88" i="7" s="1"/>
  <c r="S88" i="7"/>
  <c r="T87" i="7"/>
  <c r="U87" i="7" s="1"/>
  <c r="S87" i="7"/>
  <c r="AA86" i="7"/>
  <c r="AB86" i="7" s="1"/>
  <c r="AC86" i="7" s="1"/>
  <c r="AD86" i="7" s="1"/>
  <c r="AE86" i="7" s="1"/>
  <c r="AF86" i="7" s="1"/>
  <c r="AG86" i="7" s="1"/>
  <c r="AH86" i="7" s="1"/>
  <c r="T86" i="7"/>
  <c r="U86" i="7" s="1"/>
  <c r="S86" i="7"/>
  <c r="Z85" i="7"/>
  <c r="AA85" i="7" s="1"/>
  <c r="AB85" i="7" s="1"/>
  <c r="AC85" i="7" s="1"/>
  <c r="AD85" i="7" s="1"/>
  <c r="AE85" i="7" s="1"/>
  <c r="AF85" i="7" s="1"/>
  <c r="AG85" i="7" s="1"/>
  <c r="AH85" i="7" s="1"/>
  <c r="T85" i="7"/>
  <c r="U85" i="7" s="1"/>
  <c r="S85" i="7"/>
  <c r="T84" i="7"/>
  <c r="U84" i="7" s="1"/>
  <c r="S84" i="7"/>
  <c r="AA83" i="7"/>
  <c r="AB83" i="7" s="1"/>
  <c r="AC83" i="7" s="1"/>
  <c r="AD83" i="7" s="1"/>
  <c r="AE83" i="7" s="1"/>
  <c r="AF83" i="7" s="1"/>
  <c r="AG83" i="7" s="1"/>
  <c r="AH83" i="7" s="1"/>
  <c r="T83" i="7"/>
  <c r="U83" i="7" s="1"/>
  <c r="S83" i="7"/>
  <c r="Z82" i="7"/>
  <c r="AA82" i="7" s="1"/>
  <c r="AB82" i="7" s="1"/>
  <c r="AC82" i="7" s="1"/>
  <c r="AD82" i="7" s="1"/>
  <c r="AE82" i="7" s="1"/>
  <c r="AF82" i="7" s="1"/>
  <c r="AG82" i="7" s="1"/>
  <c r="AH82" i="7" s="1"/>
  <c r="T82" i="7"/>
  <c r="U82" i="7" s="1"/>
  <c r="S82" i="7"/>
  <c r="Z81" i="7"/>
  <c r="AA81" i="7" s="1"/>
  <c r="AB81" i="7" s="1"/>
  <c r="AC81" i="7" s="1"/>
  <c r="AD81" i="7" s="1"/>
  <c r="AE81" i="7" s="1"/>
  <c r="AF81" i="7" s="1"/>
  <c r="AG81" i="7" s="1"/>
  <c r="AH81" i="7" s="1"/>
  <c r="T81" i="7"/>
  <c r="U81" i="7" s="1"/>
  <c r="S81" i="7"/>
  <c r="Z80" i="7"/>
  <c r="AA80" i="7" s="1"/>
  <c r="AB80" i="7" s="1"/>
  <c r="AC80" i="7" s="1"/>
  <c r="AD80" i="7" s="1"/>
  <c r="AE80" i="7" s="1"/>
  <c r="AF80" i="7" s="1"/>
  <c r="AG80" i="7" s="1"/>
  <c r="AH80" i="7" s="1"/>
  <c r="T80" i="7"/>
  <c r="U80" i="7" s="1"/>
  <c r="S80" i="7"/>
  <c r="Z79" i="7"/>
  <c r="AA79" i="7" s="1"/>
  <c r="AB79" i="7" s="1"/>
  <c r="AC79" i="7" s="1"/>
  <c r="AD79" i="7" s="1"/>
  <c r="AE79" i="7" s="1"/>
  <c r="AF79" i="7" s="1"/>
  <c r="AG79" i="7" s="1"/>
  <c r="AH79" i="7" s="1"/>
  <c r="T79" i="7"/>
  <c r="U79" i="7" s="1"/>
  <c r="V79" i="7" s="1"/>
  <c r="X79" i="7" s="1"/>
  <c r="S79" i="7"/>
  <c r="Z78" i="7"/>
  <c r="AA78" i="7" s="1"/>
  <c r="AB78" i="7" s="1"/>
  <c r="AC78" i="7" s="1"/>
  <c r="AD78" i="7" s="1"/>
  <c r="AE78" i="7" s="1"/>
  <c r="AF78" i="7" s="1"/>
  <c r="AG78" i="7" s="1"/>
  <c r="AH78" i="7" s="1"/>
  <c r="T78" i="7"/>
  <c r="U78" i="7" s="1"/>
  <c r="S78" i="7"/>
  <c r="Z77" i="7"/>
  <c r="AA77" i="7" s="1"/>
  <c r="AB77" i="7" s="1"/>
  <c r="AC77" i="7" s="1"/>
  <c r="AD77" i="7" s="1"/>
  <c r="AE77" i="7" s="1"/>
  <c r="AF77" i="7" s="1"/>
  <c r="AG77" i="7" s="1"/>
  <c r="AH77" i="7" s="1"/>
  <c r="T77" i="7"/>
  <c r="U77" i="7" s="1"/>
  <c r="V77" i="7" s="1"/>
  <c r="X77" i="7" s="1"/>
  <c r="S77" i="7"/>
  <c r="Z76" i="7"/>
  <c r="AA76" i="7" s="1"/>
  <c r="AB76" i="7" s="1"/>
  <c r="AC76" i="7" s="1"/>
  <c r="AD76" i="7" s="1"/>
  <c r="AE76" i="7" s="1"/>
  <c r="AF76" i="7" s="1"/>
  <c r="AG76" i="7" s="1"/>
  <c r="AH76" i="7" s="1"/>
  <c r="T76" i="7"/>
  <c r="U76" i="7" s="1"/>
  <c r="V76" i="7" s="1"/>
  <c r="X76" i="7" s="1"/>
  <c r="S76" i="7"/>
  <c r="AA75" i="7"/>
  <c r="AB75" i="7" s="1"/>
  <c r="AC75" i="7" s="1"/>
  <c r="AD75" i="7" s="1"/>
  <c r="AE75" i="7" s="1"/>
  <c r="AF75" i="7" s="1"/>
  <c r="AG75" i="7" s="1"/>
  <c r="AH75" i="7" s="1"/>
  <c r="T75" i="7"/>
  <c r="U75" i="7" s="1"/>
  <c r="V75" i="7" s="1"/>
  <c r="X75" i="7" s="1"/>
  <c r="S75" i="7"/>
  <c r="Z74" i="7"/>
  <c r="AA74" i="7" s="1"/>
  <c r="AB74" i="7" s="1"/>
  <c r="AC74" i="7" s="1"/>
  <c r="AD74" i="7" s="1"/>
  <c r="AE74" i="7" s="1"/>
  <c r="AF74" i="7" s="1"/>
  <c r="AG74" i="7" s="1"/>
  <c r="AH74" i="7" s="1"/>
  <c r="T74" i="7"/>
  <c r="U74" i="7" s="1"/>
  <c r="V74" i="7" s="1"/>
  <c r="X74" i="7" s="1"/>
  <c r="S74" i="7"/>
  <c r="Z73" i="7"/>
  <c r="AA73" i="7" s="1"/>
  <c r="AB73" i="7" s="1"/>
  <c r="AC73" i="7" s="1"/>
  <c r="AD73" i="7" s="1"/>
  <c r="AE73" i="7" s="1"/>
  <c r="AF73" i="7" s="1"/>
  <c r="AG73" i="7" s="1"/>
  <c r="AH73" i="7" s="1"/>
  <c r="T73" i="7"/>
  <c r="U73" i="7" s="1"/>
  <c r="V73" i="7" s="1"/>
  <c r="X73" i="7" s="1"/>
  <c r="S73" i="7"/>
  <c r="T72" i="7"/>
  <c r="U72" i="7" s="1"/>
  <c r="V72" i="7" s="1"/>
  <c r="X72" i="7" s="1"/>
  <c r="S72" i="7"/>
  <c r="T71" i="7"/>
  <c r="U71" i="7" s="1"/>
  <c r="V71" i="7" s="1"/>
  <c r="X71" i="7" s="1"/>
  <c r="S71" i="7"/>
  <c r="AA70" i="7"/>
  <c r="AB70" i="7" s="1"/>
  <c r="AC70" i="7" s="1"/>
  <c r="AD70" i="7" s="1"/>
  <c r="AE70" i="7" s="1"/>
  <c r="AF70" i="7" s="1"/>
  <c r="AG70" i="7" s="1"/>
  <c r="AH70" i="7" s="1"/>
  <c r="T70" i="7"/>
  <c r="U70" i="7" s="1"/>
  <c r="V70" i="7" s="1"/>
  <c r="X70" i="7" s="1"/>
  <c r="S70" i="7"/>
  <c r="T69" i="7"/>
  <c r="U69" i="7" s="1"/>
  <c r="V69" i="7" s="1"/>
  <c r="X69" i="7" s="1"/>
  <c r="S69" i="7"/>
  <c r="T68" i="7"/>
  <c r="U68" i="7" s="1"/>
  <c r="V68" i="7" s="1"/>
  <c r="X68" i="7" s="1"/>
  <c r="Z68" i="7" s="1"/>
  <c r="AA68" i="7" s="1"/>
  <c r="S68" i="7"/>
  <c r="Z67" i="7"/>
  <c r="AA67" i="7" s="1"/>
  <c r="AB67" i="7" s="1"/>
  <c r="AC67" i="7" s="1"/>
  <c r="AD67" i="7" s="1"/>
  <c r="AE67" i="7" s="1"/>
  <c r="AF67" i="7" s="1"/>
  <c r="AG67" i="7" s="1"/>
  <c r="AH67" i="7" s="1"/>
  <c r="T67" i="7"/>
  <c r="U67" i="7" s="1"/>
  <c r="V67" i="7" s="1"/>
  <c r="X67" i="7" s="1"/>
  <c r="S67" i="7"/>
  <c r="Z66" i="7"/>
  <c r="AA66" i="7" s="1"/>
  <c r="AB66" i="7" s="1"/>
  <c r="AC66" i="7" s="1"/>
  <c r="AD66" i="7" s="1"/>
  <c r="AE66" i="7" s="1"/>
  <c r="AF66" i="7" s="1"/>
  <c r="AG66" i="7" s="1"/>
  <c r="AH66" i="7" s="1"/>
  <c r="T66" i="7"/>
  <c r="U66" i="7" s="1"/>
  <c r="V66" i="7" s="1"/>
  <c r="X66" i="7" s="1"/>
  <c r="S66" i="7"/>
  <c r="T65" i="7"/>
  <c r="S65" i="7"/>
  <c r="T64" i="7"/>
  <c r="S64" i="7"/>
  <c r="Z63" i="7"/>
  <c r="AA63" i="7" s="1"/>
  <c r="AB63" i="7" s="1"/>
  <c r="AC63" i="7" s="1"/>
  <c r="AD63" i="7" s="1"/>
  <c r="AE63" i="7" s="1"/>
  <c r="AF63" i="7" s="1"/>
  <c r="AG63" i="7" s="1"/>
  <c r="AH63" i="7" s="1"/>
  <c r="T63" i="7"/>
  <c r="S63" i="7"/>
  <c r="Z62" i="7"/>
  <c r="AA62" i="7" s="1"/>
  <c r="AB62" i="7" s="1"/>
  <c r="AC62" i="7" s="1"/>
  <c r="AD62" i="7" s="1"/>
  <c r="AE62" i="7" s="1"/>
  <c r="AF62" i="7" s="1"/>
  <c r="AG62" i="7" s="1"/>
  <c r="AH62" i="7" s="1"/>
  <c r="T62" i="7"/>
  <c r="S62" i="7"/>
  <c r="Z61" i="7"/>
  <c r="AA61" i="7" s="1"/>
  <c r="AB61" i="7" s="1"/>
  <c r="AC61" i="7" s="1"/>
  <c r="AD61" i="7" s="1"/>
  <c r="AE61" i="7" s="1"/>
  <c r="AF61" i="7" s="1"/>
  <c r="AG61" i="7" s="1"/>
  <c r="AH61" i="7" s="1"/>
  <c r="T61" i="7"/>
  <c r="S61" i="7"/>
  <c r="Z60" i="7"/>
  <c r="AA60" i="7" s="1"/>
  <c r="AB60" i="7" s="1"/>
  <c r="AC60" i="7" s="1"/>
  <c r="AD60" i="7" s="1"/>
  <c r="AE60" i="7" s="1"/>
  <c r="AF60" i="7" s="1"/>
  <c r="AG60" i="7" s="1"/>
  <c r="AH60" i="7" s="1"/>
  <c r="T60" i="7"/>
  <c r="S60" i="7"/>
  <c r="Z59" i="7"/>
  <c r="AA59" i="7" s="1"/>
  <c r="AB59" i="7" s="1"/>
  <c r="AC59" i="7" s="1"/>
  <c r="AD59" i="7" s="1"/>
  <c r="AE59" i="7" s="1"/>
  <c r="AF59" i="7" s="1"/>
  <c r="AG59" i="7" s="1"/>
  <c r="AH59" i="7" s="1"/>
  <c r="T59" i="7"/>
  <c r="S59" i="7"/>
  <c r="Z58" i="7"/>
  <c r="AA58" i="7" s="1"/>
  <c r="AB58" i="7" s="1"/>
  <c r="AC58" i="7" s="1"/>
  <c r="AD58" i="7" s="1"/>
  <c r="AE58" i="7" s="1"/>
  <c r="AF58" i="7" s="1"/>
  <c r="AG58" i="7" s="1"/>
  <c r="AH58" i="7" s="1"/>
  <c r="T58" i="7"/>
  <c r="S58" i="7"/>
  <c r="T57" i="7"/>
  <c r="U57" i="7" s="1"/>
  <c r="S57" i="7"/>
  <c r="T56" i="7"/>
  <c r="U56" i="7" s="1"/>
  <c r="S56" i="7"/>
  <c r="AA55" i="7"/>
  <c r="AB55" i="7" s="1"/>
  <c r="AC55" i="7" s="1"/>
  <c r="AD55" i="7" s="1"/>
  <c r="AE55" i="7" s="1"/>
  <c r="AF55" i="7" s="1"/>
  <c r="AG55" i="7" s="1"/>
  <c r="AH55" i="7" s="1"/>
  <c r="T55" i="7"/>
  <c r="U55" i="7" s="1"/>
  <c r="S55" i="7"/>
  <c r="T54" i="7"/>
  <c r="U54" i="7" s="1"/>
  <c r="S54" i="7"/>
  <c r="Z53" i="7"/>
  <c r="AA53" i="7" s="1"/>
  <c r="AB53" i="7" s="1"/>
  <c r="AC53" i="7" s="1"/>
  <c r="AD53" i="7" s="1"/>
  <c r="AE53" i="7" s="1"/>
  <c r="AF53" i="7" s="1"/>
  <c r="AG53" i="7" s="1"/>
  <c r="AH53" i="7" s="1"/>
  <c r="T53" i="7"/>
  <c r="U53" i="7" s="1"/>
  <c r="S53" i="7"/>
  <c r="T52" i="7"/>
  <c r="U52" i="7" s="1"/>
  <c r="S52" i="7"/>
  <c r="AA51" i="7"/>
  <c r="AB51" i="7" s="1"/>
  <c r="AC51" i="7" s="1"/>
  <c r="AD51" i="7" s="1"/>
  <c r="AE51" i="7" s="1"/>
  <c r="AF51" i="7" s="1"/>
  <c r="AG51" i="7" s="1"/>
  <c r="AH51" i="7" s="1"/>
  <c r="T51" i="7"/>
  <c r="U51" i="7" s="1"/>
  <c r="S51" i="7"/>
  <c r="AA50" i="7"/>
  <c r="AB50" i="7" s="1"/>
  <c r="AC50" i="7" s="1"/>
  <c r="AD50" i="7" s="1"/>
  <c r="AE50" i="7" s="1"/>
  <c r="AF50" i="7" s="1"/>
  <c r="AG50" i="7" s="1"/>
  <c r="AH50" i="7" s="1"/>
  <c r="T50" i="7"/>
  <c r="U50" i="7" s="1"/>
  <c r="S50" i="7"/>
  <c r="T49" i="7"/>
  <c r="U49" i="7" s="1"/>
  <c r="S49" i="7"/>
  <c r="AA48" i="7"/>
  <c r="AB48" i="7" s="1"/>
  <c r="AC48" i="7" s="1"/>
  <c r="AD48" i="7" s="1"/>
  <c r="AE48" i="7" s="1"/>
  <c r="AF48" i="7" s="1"/>
  <c r="AG48" i="7" s="1"/>
  <c r="AH48" i="7" s="1"/>
  <c r="T48" i="7"/>
  <c r="U48" i="7" s="1"/>
  <c r="S48" i="7"/>
  <c r="T47" i="7"/>
  <c r="U47" i="7" s="1"/>
  <c r="S47" i="7"/>
  <c r="T46" i="7"/>
  <c r="U46" i="7" s="1"/>
  <c r="S46" i="7"/>
  <c r="Z45" i="7"/>
  <c r="AA45" i="7" s="1"/>
  <c r="AB45" i="7" s="1"/>
  <c r="AC45" i="7" s="1"/>
  <c r="AD45" i="7" s="1"/>
  <c r="AE45" i="7" s="1"/>
  <c r="AF45" i="7" s="1"/>
  <c r="AG45" i="7" s="1"/>
  <c r="AH45" i="7" s="1"/>
  <c r="T45" i="7"/>
  <c r="U45" i="7" s="1"/>
  <c r="S45" i="7"/>
  <c r="T44" i="7"/>
  <c r="U44" i="7" s="1"/>
  <c r="S44" i="7"/>
  <c r="T43" i="7"/>
  <c r="U43" i="7" s="1"/>
  <c r="S43" i="7"/>
  <c r="AC42" i="7"/>
  <c r="AD42" i="7" s="1"/>
  <c r="T42" i="7"/>
  <c r="U42" i="7" s="1"/>
  <c r="S42" i="7"/>
  <c r="T41" i="7"/>
  <c r="U41" i="7" s="1"/>
  <c r="S41" i="7"/>
  <c r="Z40" i="7"/>
  <c r="AA40" i="7" s="1"/>
  <c r="AB40" i="7" s="1"/>
  <c r="AC40" i="7" s="1"/>
  <c r="AD40" i="7" s="1"/>
  <c r="AE40" i="7" s="1"/>
  <c r="AF40" i="7" s="1"/>
  <c r="AG40" i="7" s="1"/>
  <c r="AH40" i="7" s="1"/>
  <c r="T40" i="7"/>
  <c r="U40" i="7" s="1"/>
  <c r="S40" i="7"/>
  <c r="T39" i="7"/>
  <c r="U39" i="7" s="1"/>
  <c r="S39" i="7"/>
  <c r="T38" i="7"/>
  <c r="U38" i="7" s="1"/>
  <c r="S38" i="7"/>
  <c r="T37" i="7"/>
  <c r="U37" i="7" s="1"/>
  <c r="V37" i="7" s="1"/>
  <c r="X37" i="7" s="1"/>
  <c r="Y37" i="7" s="1"/>
  <c r="Z37" i="7" s="1"/>
  <c r="AA37" i="7" s="1"/>
  <c r="S37" i="7"/>
  <c r="T36" i="7"/>
  <c r="U36" i="7" s="1"/>
  <c r="V36" i="7" s="1"/>
  <c r="X36" i="7" s="1"/>
  <c r="S36" i="7"/>
  <c r="S35" i="7"/>
  <c r="AC34" i="7"/>
  <c r="AD34" i="7" s="1"/>
  <c r="AE34" i="7" s="1"/>
  <c r="AF34" i="7" s="1"/>
  <c r="AG34" i="7" s="1"/>
  <c r="AH34" i="7" s="1"/>
  <c r="Z34" i="7"/>
  <c r="AA34" i="7" s="1"/>
  <c r="S34" i="7"/>
  <c r="S33" i="7"/>
  <c r="AC32" i="7"/>
  <c r="AD32" i="7" s="1"/>
  <c r="AE32" i="7" s="1"/>
  <c r="AF32" i="7" s="1"/>
  <c r="AG32" i="7" s="1"/>
  <c r="AH32" i="7" s="1"/>
  <c r="AA32" i="7"/>
  <c r="S32" i="7"/>
  <c r="AC31" i="7"/>
  <c r="AD31" i="7" s="1"/>
  <c r="AE31" i="7" s="1"/>
  <c r="AF31" i="7" s="1"/>
  <c r="AG31" i="7" s="1"/>
  <c r="AH31" i="7" s="1"/>
  <c r="Z31" i="7"/>
  <c r="AA31" i="7" s="1"/>
  <c r="R31" i="7"/>
  <c r="AC30" i="7"/>
  <c r="AD30" i="7" s="1"/>
  <c r="AE30" i="7" s="1"/>
  <c r="AF30" i="7" s="1"/>
  <c r="AG30" i="7" s="1"/>
  <c r="AH30" i="7" s="1"/>
  <c r="Z30" i="7"/>
  <c r="AA30" i="7" s="1"/>
  <c r="R30" i="7"/>
  <c r="AC29" i="7"/>
  <c r="AD29" i="7" s="1"/>
  <c r="AE29" i="7" s="1"/>
  <c r="AF29" i="7" s="1"/>
  <c r="AG29" i="7" s="1"/>
  <c r="AH29" i="7" s="1"/>
  <c r="Z29" i="7"/>
  <c r="AA29" i="7" s="1"/>
  <c r="T29" i="7"/>
  <c r="S29" i="7"/>
  <c r="AC28" i="7"/>
  <c r="AD28" i="7" s="1"/>
  <c r="AE28" i="7" s="1"/>
  <c r="AF28" i="7" s="1"/>
  <c r="AG28" i="7" s="1"/>
  <c r="AH28" i="7" s="1"/>
  <c r="Z28" i="7"/>
  <c r="AA28" i="7" s="1"/>
  <c r="T28" i="7"/>
  <c r="S28" i="7"/>
  <c r="AC27" i="7"/>
  <c r="AD27" i="7" s="1"/>
  <c r="AE27" i="7" s="1"/>
  <c r="AF27" i="7" s="1"/>
  <c r="AG27" i="7" s="1"/>
  <c r="AH27" i="7" s="1"/>
  <c r="Z27" i="7"/>
  <c r="AA27" i="7" s="1"/>
  <c r="T27" i="7"/>
  <c r="S27" i="7"/>
  <c r="Z26" i="7"/>
  <c r="AA26" i="7" s="1"/>
  <c r="AB26" i="7" s="1"/>
  <c r="AC26" i="7" s="1"/>
  <c r="AD26" i="7" s="1"/>
  <c r="AE26" i="7" s="1"/>
  <c r="AF26" i="7" s="1"/>
  <c r="AG26" i="7" s="1"/>
  <c r="AH26" i="7" s="1"/>
  <c r="R26" i="7"/>
  <c r="S25" i="7"/>
  <c r="R24" i="7"/>
  <c r="R23" i="7"/>
  <c r="T22" i="7"/>
  <c r="U22" i="7" s="1"/>
  <c r="S22" i="7"/>
  <c r="T21" i="7"/>
  <c r="U21" i="7" s="1"/>
  <c r="S21" i="7"/>
  <c r="T20" i="7"/>
  <c r="U20" i="7" s="1"/>
  <c r="S20" i="7"/>
  <c r="T19" i="7"/>
  <c r="U19" i="7" s="1"/>
  <c r="V19" i="7" s="1"/>
  <c r="X19" i="7" s="1"/>
  <c r="S19" i="7"/>
  <c r="T18" i="7"/>
  <c r="U18" i="7" s="1"/>
  <c r="S18" i="7"/>
  <c r="T17" i="7"/>
  <c r="U17" i="7" s="1"/>
  <c r="S17" i="7"/>
  <c r="T16" i="7"/>
  <c r="U16" i="7" s="1"/>
  <c r="S16" i="7"/>
  <c r="T15" i="7"/>
  <c r="U15" i="7" s="1"/>
  <c r="S15" i="7"/>
  <c r="T14" i="7"/>
  <c r="U14" i="7" s="1"/>
  <c r="V14" i="7" s="1"/>
  <c r="X14" i="7" s="1"/>
  <c r="S14" i="7"/>
  <c r="T13" i="7"/>
  <c r="U13" i="7" s="1"/>
  <c r="V13" i="7" s="1"/>
  <c r="X13" i="7" s="1"/>
  <c r="Y13" i="7" s="1"/>
  <c r="Z13" i="7" s="1"/>
  <c r="AA13" i="7" s="1"/>
  <c r="S13" i="7"/>
  <c r="U12" i="7"/>
  <c r="T12" i="7"/>
  <c r="S12" i="7"/>
  <c r="U11" i="7"/>
  <c r="T11" i="7"/>
  <c r="S11" i="7"/>
  <c r="AC10" i="7"/>
  <c r="AD10" i="7" s="1"/>
  <c r="AE10" i="7" s="1"/>
  <c r="AF10" i="7" s="1"/>
  <c r="AG10" i="7" s="1"/>
  <c r="AH10" i="7" s="1"/>
  <c r="Z10" i="7"/>
  <c r="AA10" i="7" s="1"/>
  <c r="U10" i="7"/>
  <c r="T10" i="7"/>
  <c r="S10" i="7"/>
  <c r="U9" i="7"/>
  <c r="T9" i="7"/>
  <c r="S9" i="7"/>
  <c r="U8" i="7"/>
  <c r="V8" i="7" s="1"/>
  <c r="X8" i="7" s="1"/>
  <c r="T8" i="7"/>
  <c r="S8" i="7"/>
  <c r="U7" i="7"/>
  <c r="V7" i="7" s="1"/>
  <c r="X7" i="7" s="1"/>
  <c r="Y7" i="7" s="1"/>
  <c r="Z7" i="7" s="1"/>
  <c r="AA7" i="7" s="1"/>
  <c r="T7" i="7"/>
  <c r="S7" i="7"/>
  <c r="T6" i="7"/>
  <c r="U6" i="7" s="1"/>
  <c r="V6" i="7" s="1"/>
  <c r="X6" i="7" s="1"/>
  <c r="Y6" i="7" s="1"/>
  <c r="Z6" i="7" s="1"/>
  <c r="AA6" i="7" s="1"/>
  <c r="S6" i="7"/>
  <c r="T5" i="7"/>
  <c r="U5" i="7" s="1"/>
  <c r="V5" i="7" s="1"/>
  <c r="X5" i="7" s="1"/>
  <c r="Y5" i="7" s="1"/>
  <c r="Z5" i="7" s="1"/>
  <c r="AA5" i="7" s="1"/>
  <c r="S5" i="7"/>
  <c r="AA4" i="7"/>
  <c r="T4" i="7"/>
  <c r="U4" i="7" s="1"/>
  <c r="V4" i="7" s="1"/>
  <c r="X4" i="7" s="1"/>
  <c r="Y4" i="7" s="1"/>
  <c r="Z4" i="7" s="1"/>
  <c r="S4" i="7"/>
  <c r="V3" i="7"/>
  <c r="X3" i="7" s="1"/>
  <c r="Y3" i="7" s="1"/>
  <c r="Z3" i="7" s="1"/>
  <c r="AA3" i="7" s="1"/>
  <c r="T3" i="7"/>
  <c r="S3" i="7"/>
  <c r="C95" i="5"/>
  <c r="B25" i="5"/>
  <c r="F201" i="4"/>
  <c r="F200" i="4"/>
  <c r="F199" i="4"/>
  <c r="F192" i="4"/>
  <c r="E192" i="4"/>
  <c r="D192" i="4"/>
  <c r="C192" i="4"/>
  <c r="F185" i="4"/>
  <c r="B185" i="4"/>
  <c r="C182" i="4"/>
  <c r="D182" i="4" s="1"/>
  <c r="D185" i="4" s="1"/>
  <c r="E177" i="4"/>
  <c r="B177" i="4"/>
  <c r="F177" i="4" s="1"/>
  <c r="E176" i="4"/>
  <c r="D176" i="4"/>
  <c r="D177" i="4" s="1"/>
  <c r="C176" i="4"/>
  <c r="C177" i="4" s="1"/>
  <c r="B164" i="4"/>
  <c r="B163" i="4"/>
  <c r="E162" i="4"/>
  <c r="D159" i="4"/>
  <c r="C158" i="4"/>
  <c r="E158" i="4" s="1"/>
  <c r="H157" i="4"/>
  <c r="C157" i="4"/>
  <c r="E157" i="4" s="1"/>
  <c r="K156" i="4"/>
  <c r="F162" i="4" s="1"/>
  <c r="H156" i="4"/>
  <c r="C156" i="4"/>
  <c r="F146" i="4"/>
  <c r="F147" i="4" s="1"/>
  <c r="E146" i="4"/>
  <c r="E147" i="4" s="1"/>
  <c r="D146" i="4"/>
  <c r="D147" i="4" s="1"/>
  <c r="C146" i="4"/>
  <c r="C147" i="4" s="1"/>
  <c r="F142" i="4"/>
  <c r="E142" i="4"/>
  <c r="D142" i="4"/>
  <c r="F131" i="4"/>
  <c r="E131" i="4"/>
  <c r="D131" i="4"/>
  <c r="D130" i="4"/>
  <c r="G129" i="4"/>
  <c r="E129" i="4"/>
  <c r="D129" i="4"/>
  <c r="D132" i="4" s="1"/>
  <c r="G128" i="4"/>
  <c r="G132" i="4" s="1"/>
  <c r="B128" i="4"/>
  <c r="F127" i="4"/>
  <c r="F132" i="4" s="1"/>
  <c r="E120" i="4"/>
  <c r="C120" i="4"/>
  <c r="B120" i="4"/>
  <c r="E113" i="4"/>
  <c r="C113" i="4"/>
  <c r="B113" i="4"/>
  <c r="B98" i="4"/>
  <c r="E97" i="4"/>
  <c r="E98" i="4" s="1"/>
  <c r="C97" i="4"/>
  <c r="C98" i="4" s="1"/>
  <c r="E95" i="4"/>
  <c r="E94" i="4"/>
  <c r="E93" i="4"/>
  <c r="E92" i="4"/>
  <c r="E91" i="4"/>
  <c r="E90" i="4"/>
  <c r="E89" i="4"/>
  <c r="E88" i="4"/>
  <c r="O87" i="4"/>
  <c r="N87" i="4"/>
  <c r="E87" i="4"/>
  <c r="O86" i="4"/>
  <c r="O88" i="4" s="1"/>
  <c r="N86" i="4"/>
  <c r="N88" i="4" s="1"/>
  <c r="P88" i="4" s="1"/>
  <c r="K86" i="4"/>
  <c r="J86" i="4"/>
  <c r="L86" i="4" s="1"/>
  <c r="H86" i="4"/>
  <c r="I86" i="4" s="1"/>
  <c r="E86" i="4"/>
  <c r="B86" i="4"/>
  <c r="D84" i="4"/>
  <c r="C84" i="4"/>
  <c r="E84" i="4" s="1"/>
  <c r="D83" i="4"/>
  <c r="C83" i="4"/>
  <c r="E83" i="4" s="1"/>
  <c r="D82" i="4"/>
  <c r="C82" i="4"/>
  <c r="E82" i="4" s="1"/>
  <c r="D81" i="4"/>
  <c r="C81" i="4"/>
  <c r="E81" i="4" s="1"/>
  <c r="F84" i="4" s="1"/>
  <c r="N80" i="4"/>
  <c r="M80" i="4"/>
  <c r="O80" i="4" s="1"/>
  <c r="J80" i="4"/>
  <c r="H80" i="4"/>
  <c r="R77" i="4"/>
  <c r="R76" i="4"/>
  <c r="M76" i="4"/>
  <c r="N76" i="4" s="1"/>
  <c r="O76" i="4" s="1"/>
  <c r="R75" i="4"/>
  <c r="M75" i="4"/>
  <c r="N75" i="4" s="1"/>
  <c r="O75" i="4" s="1"/>
  <c r="R74" i="4"/>
  <c r="M74" i="4"/>
  <c r="N74" i="4" s="1"/>
  <c r="O74" i="4" s="1"/>
  <c r="R73" i="4"/>
  <c r="M73" i="4"/>
  <c r="N73" i="4" s="1"/>
  <c r="O73" i="4" s="1"/>
  <c r="R72" i="4"/>
  <c r="M72" i="4"/>
  <c r="N72" i="4" s="1"/>
  <c r="O72" i="4" s="1"/>
  <c r="O78" i="4" s="1"/>
  <c r="F72" i="4"/>
  <c r="E72" i="4"/>
  <c r="I72" i="4" s="1"/>
  <c r="J72" i="4" s="1"/>
  <c r="D72" i="4"/>
  <c r="C72" i="4"/>
  <c r="G72" i="4" s="1"/>
  <c r="H72" i="4" s="1"/>
  <c r="B72" i="4"/>
  <c r="F70" i="4"/>
  <c r="F69" i="4"/>
  <c r="B62" i="4"/>
  <c r="H61" i="4"/>
  <c r="F53" i="4"/>
  <c r="D53" i="4"/>
  <c r="J52" i="4"/>
  <c r="J53" i="4" s="1"/>
  <c r="I52" i="4"/>
  <c r="I53" i="4" s="1"/>
  <c r="H52" i="4"/>
  <c r="H53" i="4" s="1"/>
  <c r="G52" i="4"/>
  <c r="G53" i="4" s="1"/>
  <c r="D52" i="4"/>
  <c r="D43" i="4"/>
  <c r="A43" i="4"/>
  <c r="D42" i="4"/>
  <c r="E43" i="4" s="1"/>
  <c r="M40" i="4"/>
  <c r="I42" i="4" s="1"/>
  <c r="I43" i="4" s="1"/>
  <c r="J40" i="4"/>
  <c r="H42" i="4" s="1"/>
  <c r="H43" i="4" s="1"/>
  <c r="E40" i="4"/>
  <c r="G40" i="4" s="1"/>
  <c r="G42" i="4" s="1"/>
  <c r="G43" i="4" s="1"/>
  <c r="B40" i="4"/>
  <c r="D40" i="4" s="1"/>
  <c r="F42" i="4" s="1"/>
  <c r="F43" i="4" s="1"/>
  <c r="B33" i="4"/>
  <c r="J30" i="4"/>
  <c r="F32" i="4" s="1"/>
  <c r="F33" i="4" s="1"/>
  <c r="H29" i="4"/>
  <c r="J29" i="4" s="1"/>
  <c r="G29" i="4"/>
  <c r="E32" i="4" s="1"/>
  <c r="E33" i="4" s="1"/>
  <c r="E29" i="4"/>
  <c r="B29" i="4"/>
  <c r="D29" i="4" s="1"/>
  <c r="C32" i="4" s="1"/>
  <c r="C33" i="4" s="1"/>
  <c r="H26" i="4"/>
  <c r="F26" i="4"/>
  <c r="I26" i="4" s="1"/>
  <c r="E26" i="4"/>
  <c r="D26" i="4"/>
  <c r="C26" i="4"/>
  <c r="G26" i="4" s="1"/>
  <c r="H25" i="4"/>
  <c r="I25" i="4" s="1"/>
  <c r="G25" i="4"/>
  <c r="H24" i="4"/>
  <c r="I24" i="4" s="1"/>
  <c r="G24" i="4"/>
  <c r="H23" i="4"/>
  <c r="I23" i="4" s="1"/>
  <c r="I27" i="4" s="1"/>
  <c r="D32" i="4" s="1"/>
  <c r="D33" i="4" s="1"/>
  <c r="G23" i="4"/>
  <c r="B14" i="4"/>
  <c r="E5" i="4"/>
  <c r="F4" i="4"/>
  <c r="F5" i="4" s="1"/>
  <c r="E4" i="4"/>
  <c r="D4" i="4"/>
  <c r="D5" i="4" s="1"/>
  <c r="C4" i="4"/>
  <c r="C5" i="4" s="1"/>
  <c r="C1337" i="3"/>
  <c r="B1337" i="3"/>
  <c r="D1337" i="3" s="1"/>
  <c r="K1329" i="3"/>
  <c r="I1329" i="3"/>
  <c r="G1329" i="3"/>
  <c r="C1329" i="3"/>
  <c r="B1329" i="3"/>
  <c r="D1329" i="3" s="1"/>
  <c r="E1329" i="3" s="1"/>
  <c r="F1329" i="3" s="1"/>
  <c r="B1331" i="3" s="1"/>
  <c r="I1320" i="3"/>
  <c r="D1322" i="3" s="1"/>
  <c r="E1320" i="3"/>
  <c r="E1322" i="3" s="1"/>
  <c r="C1320" i="3"/>
  <c r="B1322" i="3" s="1"/>
  <c r="E1318" i="3"/>
  <c r="D1318" i="3"/>
  <c r="AA1305" i="3"/>
  <c r="Z1305" i="3"/>
  <c r="AA1304" i="3"/>
  <c r="Z1304" i="3"/>
  <c r="O1304" i="3"/>
  <c r="P1304" i="3" s="1"/>
  <c r="Q1304" i="3" s="1"/>
  <c r="T1304" i="3" s="1"/>
  <c r="J1304" i="3"/>
  <c r="K1304" i="3" s="1"/>
  <c r="C1304" i="3"/>
  <c r="Y1303" i="3"/>
  <c r="P1303" i="3"/>
  <c r="O1303" i="3"/>
  <c r="Q1303" i="3" s="1"/>
  <c r="S1303" i="3" s="1"/>
  <c r="J1303" i="3"/>
  <c r="C1303" i="3"/>
  <c r="Y1302" i="3"/>
  <c r="P1302" i="3"/>
  <c r="Q1302" i="3" s="1"/>
  <c r="S1302" i="3" s="1"/>
  <c r="J1302" i="3"/>
  <c r="C1302" i="3"/>
  <c r="Y1301" i="3"/>
  <c r="X1301" i="3"/>
  <c r="S1301" i="3"/>
  <c r="P1301" i="3"/>
  <c r="J1301" i="3"/>
  <c r="Y1300" i="3"/>
  <c r="P1300" i="3"/>
  <c r="O1300" i="3"/>
  <c r="Q1300" i="3" s="1"/>
  <c r="S1300" i="3" s="1"/>
  <c r="J1300" i="3"/>
  <c r="Y1299" i="3"/>
  <c r="S1299" i="3"/>
  <c r="P1299" i="3"/>
  <c r="J1299" i="3"/>
  <c r="Y1298" i="3"/>
  <c r="X1298" i="3"/>
  <c r="S1298" i="3"/>
  <c r="P1298" i="3"/>
  <c r="J1298" i="3"/>
  <c r="Y1296" i="3"/>
  <c r="X1296" i="3"/>
  <c r="S1296" i="3"/>
  <c r="P1296" i="3"/>
  <c r="J1296" i="3"/>
  <c r="Y1295" i="3"/>
  <c r="X1295" i="3"/>
  <c r="P1295" i="3"/>
  <c r="Q1295" i="3" s="1"/>
  <c r="S1295" i="3" s="1"/>
  <c r="J1295" i="3"/>
  <c r="F1295" i="3"/>
  <c r="G1294" i="3"/>
  <c r="E1294" i="3"/>
  <c r="D1294" i="3"/>
  <c r="Y1293" i="3"/>
  <c r="X1293" i="3"/>
  <c r="P1293" i="3"/>
  <c r="O1293" i="3"/>
  <c r="Q1293" i="3" s="1"/>
  <c r="S1293" i="3" s="1"/>
  <c r="J1293" i="3"/>
  <c r="Y1292" i="3"/>
  <c r="S1292" i="3"/>
  <c r="P1292" i="3"/>
  <c r="J1292" i="3"/>
  <c r="Y1291" i="3"/>
  <c r="X1291" i="3"/>
  <c r="S1291" i="3"/>
  <c r="P1291" i="3"/>
  <c r="J1291" i="3"/>
  <c r="Y1290" i="3"/>
  <c r="X1290" i="3"/>
  <c r="P1290" i="3"/>
  <c r="Q1290" i="3" s="1"/>
  <c r="S1290" i="3" s="1"/>
  <c r="J1290" i="3"/>
  <c r="Y1289" i="3"/>
  <c r="X1289" i="3"/>
  <c r="S1289" i="3"/>
  <c r="P1289" i="3"/>
  <c r="J1289" i="3"/>
  <c r="Y1288" i="3"/>
  <c r="X1288" i="3"/>
  <c r="S1288" i="3"/>
  <c r="P1288" i="3"/>
  <c r="J1288" i="3"/>
  <c r="Y1287" i="3"/>
  <c r="X1287" i="3"/>
  <c r="S1287" i="3"/>
  <c r="P1287" i="3"/>
  <c r="J1287" i="3"/>
  <c r="Y1286" i="3"/>
  <c r="P1286" i="3"/>
  <c r="Q1286" i="3" s="1"/>
  <c r="S1286" i="3" s="1"/>
  <c r="J1286" i="3"/>
  <c r="Y1285" i="3"/>
  <c r="S1285" i="3"/>
  <c r="P1285" i="3"/>
  <c r="J1285" i="3"/>
  <c r="G1285" i="3"/>
  <c r="F1285" i="3"/>
  <c r="E1285" i="3"/>
  <c r="D1285" i="3"/>
  <c r="Y1284" i="3"/>
  <c r="P1284" i="3"/>
  <c r="O1284" i="3"/>
  <c r="Q1284" i="3" s="1"/>
  <c r="S1284" i="3" s="1"/>
  <c r="J1284" i="3"/>
  <c r="G1284" i="3"/>
  <c r="F1284" i="3"/>
  <c r="E1284" i="3"/>
  <c r="D1284" i="3"/>
  <c r="Y1283" i="3"/>
  <c r="X1283" i="3"/>
  <c r="P1283" i="3"/>
  <c r="Q1283" i="3" s="1"/>
  <c r="S1283" i="3" s="1"/>
  <c r="J1283" i="3"/>
  <c r="Y1282" i="3"/>
  <c r="X1282" i="3"/>
  <c r="P1282" i="3"/>
  <c r="O1282" i="3"/>
  <c r="Q1282" i="3" s="1"/>
  <c r="S1282" i="3" s="1"/>
  <c r="J1282" i="3"/>
  <c r="Y1281" i="3"/>
  <c r="X1281" i="3"/>
  <c r="P1281" i="3"/>
  <c r="Q1281" i="3" s="1"/>
  <c r="S1281" i="3" s="1"/>
  <c r="J1281" i="3"/>
  <c r="Y1280" i="3"/>
  <c r="P1280" i="3"/>
  <c r="Q1280" i="3" s="1"/>
  <c r="S1280" i="3" s="1"/>
  <c r="J1280" i="3"/>
  <c r="Y1279" i="3"/>
  <c r="P1279" i="3"/>
  <c r="Q1279" i="3" s="1"/>
  <c r="S1279" i="3" s="1"/>
  <c r="J1279" i="3"/>
  <c r="Y1278" i="3"/>
  <c r="X1278" i="3"/>
  <c r="P1278" i="3"/>
  <c r="Q1278" i="3" s="1"/>
  <c r="S1278" i="3" s="1"/>
  <c r="J1278" i="3"/>
  <c r="C1278" i="3"/>
  <c r="D1278" i="3" s="1"/>
  <c r="Y1277" i="3"/>
  <c r="P1277" i="3"/>
  <c r="Q1277" i="3" s="1"/>
  <c r="S1277" i="3" s="1"/>
  <c r="J1277" i="3"/>
  <c r="C1277" i="3"/>
  <c r="D1277" i="3" s="1"/>
  <c r="F1277" i="3" s="1"/>
  <c r="G1277" i="3" s="1"/>
  <c r="Y1276" i="3"/>
  <c r="X1276" i="3"/>
  <c r="Q1276" i="3"/>
  <c r="S1276" i="3" s="1"/>
  <c r="J1276" i="3"/>
  <c r="C1276" i="3"/>
  <c r="D1276" i="3" s="1"/>
  <c r="Y1275" i="3"/>
  <c r="X1275" i="3"/>
  <c r="Q1275" i="3"/>
  <c r="S1275" i="3" s="1"/>
  <c r="J1275" i="3"/>
  <c r="E1275" i="3"/>
  <c r="D1275" i="3"/>
  <c r="Y1274" i="3"/>
  <c r="P1274" i="3"/>
  <c r="Q1274" i="3" s="1"/>
  <c r="S1274" i="3" s="1"/>
  <c r="J1274" i="3"/>
  <c r="C1274" i="3"/>
  <c r="D1274" i="3" s="1"/>
  <c r="F1274" i="3" s="1"/>
  <c r="G1274" i="3" s="1"/>
  <c r="Y1273" i="3"/>
  <c r="Q1273" i="3"/>
  <c r="S1273" i="3" s="1"/>
  <c r="J1273" i="3"/>
  <c r="C1273" i="3"/>
  <c r="D1273" i="3" s="1"/>
  <c r="F1273" i="3" s="1"/>
  <c r="G1273" i="3" s="1"/>
  <c r="Y1272" i="3"/>
  <c r="X1272" i="3"/>
  <c r="Q1272" i="3"/>
  <c r="S1272" i="3" s="1"/>
  <c r="T1303" i="3" s="1"/>
  <c r="J1272" i="3"/>
  <c r="K1303" i="3" s="1"/>
  <c r="E1272" i="3"/>
  <c r="D1272" i="3"/>
  <c r="F1272" i="3" s="1"/>
  <c r="G1272" i="3" s="1"/>
  <c r="Z1271" i="3"/>
  <c r="P1271" i="3"/>
  <c r="Q1271" i="3" s="1"/>
  <c r="S1271" i="3" s="1"/>
  <c r="J1271" i="3"/>
  <c r="Z1270" i="3"/>
  <c r="AA1271" i="3" s="1"/>
  <c r="P1270" i="3"/>
  <c r="Q1270" i="3" s="1"/>
  <c r="S1270" i="3" s="1"/>
  <c r="T1271" i="3" s="1"/>
  <c r="J1270" i="3"/>
  <c r="K1271" i="3" s="1"/>
  <c r="B1258" i="3"/>
  <c r="D1256" i="3"/>
  <c r="C1256" i="3"/>
  <c r="C1255" i="3"/>
  <c r="B1260" i="3" s="1"/>
  <c r="B1261" i="3" s="1"/>
  <c r="D1254" i="3"/>
  <c r="C1254" i="3"/>
  <c r="F1251" i="3"/>
  <c r="C1251" i="3"/>
  <c r="F1249" i="3"/>
  <c r="E1249" i="3"/>
  <c r="C1249" i="3"/>
  <c r="D1249" i="3" s="1"/>
  <c r="G1249" i="3" s="1"/>
  <c r="H1249" i="3" s="1"/>
  <c r="D1260" i="3" s="1"/>
  <c r="F1247" i="3"/>
  <c r="E1247" i="3"/>
  <c r="C1247" i="3"/>
  <c r="B1247" i="3"/>
  <c r="D1247" i="3" s="1"/>
  <c r="G1247" i="3" s="1"/>
  <c r="H1247" i="3" s="1"/>
  <c r="C1260" i="3" s="1"/>
  <c r="D1241" i="3"/>
  <c r="C1231" i="3"/>
  <c r="G1230" i="3"/>
  <c r="G1231" i="3" s="1"/>
  <c r="F1230" i="3"/>
  <c r="F1231" i="3" s="1"/>
  <c r="E1230" i="3"/>
  <c r="E1231" i="3" s="1"/>
  <c r="D1230" i="3"/>
  <c r="D1231" i="3" s="1"/>
  <c r="E1223" i="3"/>
  <c r="D1223" i="3"/>
  <c r="C1223" i="3"/>
  <c r="B1223" i="3"/>
  <c r="F1214" i="3"/>
  <c r="E1214" i="3"/>
  <c r="D1214" i="3"/>
  <c r="D1215" i="3" s="1"/>
  <c r="C1214" i="3"/>
  <c r="C1215" i="3" s="1"/>
  <c r="F1210" i="3"/>
  <c r="D1210" i="3"/>
  <c r="F1200" i="3"/>
  <c r="F1201" i="3" s="1"/>
  <c r="E1200" i="3"/>
  <c r="E1201" i="3" s="1"/>
  <c r="D1200" i="3"/>
  <c r="D1201" i="3" s="1"/>
  <c r="C1200" i="3"/>
  <c r="C1201" i="3" s="1"/>
  <c r="F1198" i="3"/>
  <c r="F1199" i="3" s="1"/>
  <c r="E1198" i="3"/>
  <c r="E1199" i="3" s="1"/>
  <c r="D1198" i="3"/>
  <c r="D1199" i="3" s="1"/>
  <c r="C1198" i="3"/>
  <c r="C1199" i="3" s="1"/>
  <c r="F1189" i="3"/>
  <c r="E1189" i="3"/>
  <c r="D1189" i="3"/>
  <c r="C1189" i="3"/>
  <c r="B1189" i="3"/>
  <c r="F1188" i="3"/>
  <c r="E1188" i="3"/>
  <c r="D1188" i="3"/>
  <c r="C1188" i="3"/>
  <c r="B1188" i="3"/>
  <c r="F1178" i="3"/>
  <c r="F1179" i="3" s="1"/>
  <c r="E1178" i="3"/>
  <c r="E1179" i="3" s="1"/>
  <c r="D1178" i="3"/>
  <c r="D1179" i="3" s="1"/>
  <c r="C1178" i="3"/>
  <c r="C1179" i="3" s="1"/>
  <c r="E1170" i="3"/>
  <c r="D1170" i="3"/>
  <c r="C1170" i="3"/>
  <c r="B1170" i="3"/>
  <c r="E1169" i="3"/>
  <c r="D1169" i="3"/>
  <c r="C1169" i="3"/>
  <c r="B1169" i="3"/>
  <c r="C1159" i="3"/>
  <c r="G1158" i="3"/>
  <c r="F1158" i="3"/>
  <c r="E1158" i="3"/>
  <c r="D1158" i="3"/>
  <c r="F1149" i="3"/>
  <c r="D1149" i="3"/>
  <c r="C1149" i="3"/>
  <c r="E1148" i="3"/>
  <c r="E1149" i="3" s="1"/>
  <c r="K1139" i="3"/>
  <c r="E1141" i="3" s="1"/>
  <c r="G1139" i="3"/>
  <c r="H1139" i="3" s="1"/>
  <c r="D1141" i="3" s="1"/>
  <c r="E1139" i="3"/>
  <c r="C1141" i="3" s="1"/>
  <c r="B1139" i="3"/>
  <c r="C1139" i="3" s="1"/>
  <c r="B1141" i="3" s="1"/>
  <c r="E1130" i="3"/>
  <c r="D1130" i="3"/>
  <c r="C1130" i="3"/>
  <c r="B1130" i="3"/>
  <c r="E1129" i="3"/>
  <c r="E1127" i="3"/>
  <c r="J1126" i="3"/>
  <c r="K1126" i="3" s="1"/>
  <c r="L1126" i="3" s="1"/>
  <c r="E1126" i="3"/>
  <c r="F1126" i="3" s="1"/>
  <c r="B1126" i="3"/>
  <c r="C1126" i="3" s="1"/>
  <c r="B1129" i="3" s="1"/>
  <c r="E1117" i="3"/>
  <c r="D1117" i="3"/>
  <c r="C1117" i="3"/>
  <c r="B1117" i="3"/>
  <c r="E1116" i="3"/>
  <c r="D1116" i="3"/>
  <c r="C1116" i="3"/>
  <c r="B1116" i="3"/>
  <c r="F1107" i="3"/>
  <c r="E1107" i="3"/>
  <c r="D1107" i="3"/>
  <c r="C1107" i="3"/>
  <c r="F1106" i="3"/>
  <c r="E1106" i="3"/>
  <c r="D1106" i="3"/>
  <c r="C1106" i="3"/>
  <c r="E1099" i="3"/>
  <c r="D1099" i="3"/>
  <c r="C1099" i="3"/>
  <c r="B1099" i="3"/>
  <c r="E1091" i="3"/>
  <c r="C1091" i="3"/>
  <c r="B1091" i="3"/>
  <c r="F1089" i="3"/>
  <c r="G1089" i="3" s="1"/>
  <c r="B1089" i="3"/>
  <c r="C1089" i="3" s="1"/>
  <c r="D1089" i="3" s="1"/>
  <c r="E1089" i="3" s="1"/>
  <c r="H1089" i="3" s="1"/>
  <c r="D1091" i="3" s="1"/>
  <c r="G1080" i="3"/>
  <c r="F1080" i="3"/>
  <c r="E1080" i="3"/>
  <c r="D1080" i="3"/>
  <c r="G1075" i="3"/>
  <c r="G1074" i="3"/>
  <c r="G1077" i="3" s="1"/>
  <c r="H1077" i="3" s="1"/>
  <c r="I1077" i="3" s="1"/>
  <c r="J1077" i="3" s="1"/>
  <c r="K1077" i="3" s="1"/>
  <c r="B1074" i="3"/>
  <c r="C1074" i="3" s="1"/>
  <c r="D1074" i="3" s="1"/>
  <c r="G1068" i="3"/>
  <c r="F1068" i="3"/>
  <c r="E1059" i="3"/>
  <c r="D1059" i="3"/>
  <c r="C1059" i="3"/>
  <c r="E1067" i="3" s="1"/>
  <c r="E1068" i="3" s="1"/>
  <c r="B1059" i="3"/>
  <c r="D1067" i="3" s="1"/>
  <c r="D1068" i="3" s="1"/>
  <c r="E1050" i="3"/>
  <c r="D1050" i="3"/>
  <c r="C1050" i="3"/>
  <c r="B1050" i="3"/>
  <c r="E1049" i="3"/>
  <c r="D1049" i="3"/>
  <c r="C1049" i="3"/>
  <c r="B1049" i="3"/>
  <c r="E1048" i="3"/>
  <c r="D1048" i="3"/>
  <c r="B1048" i="3"/>
  <c r="E1047" i="3"/>
  <c r="D1047" i="3"/>
  <c r="C1047" i="3"/>
  <c r="C1048" i="3" s="1"/>
  <c r="B1047" i="3"/>
  <c r="M1045" i="3"/>
  <c r="J1045" i="3"/>
  <c r="G1045" i="3"/>
  <c r="D1045" i="3"/>
  <c r="M1044" i="3"/>
  <c r="J1044" i="3"/>
  <c r="G1044" i="3"/>
  <c r="D1044" i="3"/>
  <c r="M1043" i="3"/>
  <c r="J1043" i="3"/>
  <c r="G1043" i="3"/>
  <c r="D1043" i="3"/>
  <c r="E1033" i="3"/>
  <c r="D1033" i="3"/>
  <c r="F1032" i="3"/>
  <c r="E1032" i="3"/>
  <c r="D1032" i="3"/>
  <c r="C1032" i="3"/>
  <c r="C1033" i="3" s="1"/>
  <c r="D1030" i="3"/>
  <c r="F1033" i="3" s="1"/>
  <c r="E1018" i="3"/>
  <c r="D1018" i="3"/>
  <c r="C1018" i="3"/>
  <c r="B1018" i="3"/>
  <c r="E1010" i="3"/>
  <c r="C1010" i="3"/>
  <c r="M1008" i="3"/>
  <c r="M1004" i="3"/>
  <c r="G1004" i="3"/>
  <c r="M1003" i="3"/>
  <c r="M1005" i="3" s="1"/>
  <c r="G1003" i="3"/>
  <c r="G1005" i="3" s="1"/>
  <c r="G1008" i="3" s="1"/>
  <c r="E969" i="3"/>
  <c r="D969" i="3"/>
  <c r="C969" i="3"/>
  <c r="B969" i="3"/>
  <c r="E968" i="3"/>
  <c r="E967" i="3"/>
  <c r="D967" i="3"/>
  <c r="C967" i="3"/>
  <c r="B967" i="3"/>
  <c r="E966" i="3"/>
  <c r="E965" i="3"/>
  <c r="E964" i="3"/>
  <c r="E963" i="3"/>
  <c r="E962" i="3"/>
  <c r="E961" i="3"/>
  <c r="E960" i="3"/>
  <c r="E959" i="3"/>
  <c r="E958" i="3"/>
  <c r="D958" i="3"/>
  <c r="C958" i="3"/>
  <c r="B958" i="3"/>
  <c r="E957" i="3"/>
  <c r="E947" i="3"/>
  <c r="C947" i="3"/>
  <c r="B947" i="3"/>
  <c r="D945" i="3"/>
  <c r="E944" i="3"/>
  <c r="E945" i="3" s="1"/>
  <c r="D947" i="3" s="1"/>
  <c r="E936" i="3"/>
  <c r="C936" i="3"/>
  <c r="B936" i="3"/>
  <c r="E935" i="3"/>
  <c r="C935" i="3"/>
  <c r="B935" i="3"/>
  <c r="E934" i="3"/>
  <c r="D934" i="3"/>
  <c r="C934" i="3"/>
  <c r="B934" i="3"/>
  <c r="D932" i="3"/>
  <c r="E931" i="3"/>
  <c r="E932" i="3" s="1"/>
  <c r="E923" i="3"/>
  <c r="C923" i="3"/>
  <c r="B923" i="3"/>
  <c r="D921" i="3"/>
  <c r="E920" i="3"/>
  <c r="E921" i="3" s="1"/>
  <c r="D923" i="3" s="1"/>
  <c r="F911" i="3"/>
  <c r="F912" i="3" s="1"/>
  <c r="E911" i="3"/>
  <c r="E912" i="3" s="1"/>
  <c r="D911" i="3"/>
  <c r="D912" i="3" s="1"/>
  <c r="C911" i="3"/>
  <c r="C912" i="3" s="1"/>
  <c r="E904" i="3"/>
  <c r="D904" i="3"/>
  <c r="E903" i="3"/>
  <c r="D903" i="3"/>
  <c r="E902" i="3"/>
  <c r="D902" i="3"/>
  <c r="E901" i="3"/>
  <c r="D901" i="3"/>
  <c r="E900" i="3"/>
  <c r="D900" i="3"/>
  <c r="E899" i="3"/>
  <c r="D899" i="3"/>
  <c r="E897" i="3"/>
  <c r="C897" i="3"/>
  <c r="E896" i="3"/>
  <c r="C896" i="3"/>
  <c r="E888" i="3"/>
  <c r="C888" i="3"/>
  <c r="B888" i="3"/>
  <c r="B886" i="3"/>
  <c r="D886" i="3" s="1"/>
  <c r="E886" i="3" s="1"/>
  <c r="D888" i="3" s="1"/>
  <c r="E877" i="3"/>
  <c r="I870" i="3"/>
  <c r="D877" i="3" s="1"/>
  <c r="B870" i="3"/>
  <c r="D864" i="3"/>
  <c r="H863" i="3"/>
  <c r="H864" i="3" s="1"/>
  <c r="G863" i="3"/>
  <c r="G864" i="3" s="1"/>
  <c r="F863" i="3"/>
  <c r="F864" i="3" s="1"/>
  <c r="E863" i="3"/>
  <c r="E864" i="3" s="1"/>
  <c r="D857" i="3"/>
  <c r="G855" i="3"/>
  <c r="E857" i="3" s="1"/>
  <c r="E855" i="3"/>
  <c r="C857" i="3" s="1"/>
  <c r="B855" i="3"/>
  <c r="C855" i="3" s="1"/>
  <c r="B857" i="3" s="1"/>
  <c r="E845" i="3"/>
  <c r="D845" i="3"/>
  <c r="C845" i="3"/>
  <c r="B845" i="3"/>
  <c r="T838" i="3"/>
  <c r="X837" i="3"/>
  <c r="C837" i="3"/>
  <c r="B837" i="3"/>
  <c r="D834" i="3"/>
  <c r="D835" i="3" s="1"/>
  <c r="C834" i="3"/>
  <c r="C835" i="3" s="1"/>
  <c r="P832" i="3"/>
  <c r="Q832" i="3" s="1"/>
  <c r="N832" i="3"/>
  <c r="AB830" i="3"/>
  <c r="U830" i="3"/>
  <c r="E828" i="3"/>
  <c r="B828" i="3"/>
  <c r="C826" i="3"/>
  <c r="D826" i="3" s="1"/>
  <c r="E826" i="3" s="1"/>
  <c r="K822" i="3"/>
  <c r="L822" i="3" s="1"/>
  <c r="M822" i="3" s="1"/>
  <c r="H822" i="3"/>
  <c r="I822" i="3" s="1"/>
  <c r="E814" i="3"/>
  <c r="D814" i="3"/>
  <c r="C814" i="3"/>
  <c r="B814" i="3"/>
  <c r="J810" i="3"/>
  <c r="I810" i="3"/>
  <c r="E810" i="3"/>
  <c r="D808" i="3"/>
  <c r="D807" i="3"/>
  <c r="D806" i="3"/>
  <c r="D805" i="3"/>
  <c r="D804" i="3"/>
  <c r="D803" i="3"/>
  <c r="D802" i="3"/>
  <c r="D801" i="3"/>
  <c r="D810" i="3" s="1"/>
  <c r="E811" i="3" s="1"/>
  <c r="G801" i="3" s="1"/>
  <c r="E794" i="3"/>
  <c r="D794" i="3"/>
  <c r="C794" i="3"/>
  <c r="B794" i="3"/>
  <c r="E793" i="3"/>
  <c r="D793" i="3"/>
  <c r="C793" i="3"/>
  <c r="B793" i="3"/>
  <c r="N780" i="3"/>
  <c r="E782" i="3" s="1"/>
  <c r="L780" i="3"/>
  <c r="D782" i="3" s="1"/>
  <c r="J780" i="3"/>
  <c r="C782" i="3" s="1"/>
  <c r="H780" i="3"/>
  <c r="B782" i="3" s="1"/>
  <c r="N763" i="3"/>
  <c r="E770" i="3" s="1"/>
  <c r="F763" i="3"/>
  <c r="N761" i="3"/>
  <c r="E768" i="3" s="1"/>
  <c r="F761" i="3"/>
  <c r="E759" i="3"/>
  <c r="N759" i="3" s="1"/>
  <c r="E766" i="3" s="1"/>
  <c r="D759" i="3"/>
  <c r="F759" i="3" s="1"/>
  <c r="E758" i="3"/>
  <c r="N758" i="3" s="1"/>
  <c r="E765" i="3" s="1"/>
  <c r="D758" i="3"/>
  <c r="F758" i="3" s="1"/>
  <c r="E745" i="3"/>
  <c r="N745" i="3" s="1"/>
  <c r="E750" i="3" s="1"/>
  <c r="D745" i="3"/>
  <c r="C745" i="3"/>
  <c r="F745" i="3" s="1"/>
  <c r="E744" i="3"/>
  <c r="N744" i="3" s="1"/>
  <c r="E749" i="3" s="1"/>
  <c r="D744" i="3"/>
  <c r="C744" i="3"/>
  <c r="F744" i="3" s="1"/>
  <c r="E743" i="3"/>
  <c r="N743" i="3" s="1"/>
  <c r="E748" i="3" s="1"/>
  <c r="D743" i="3"/>
  <c r="C743" i="3"/>
  <c r="F743" i="3" s="1"/>
  <c r="E742" i="3"/>
  <c r="N742" i="3" s="1"/>
  <c r="E747" i="3" s="1"/>
  <c r="D742" i="3"/>
  <c r="C742" i="3"/>
  <c r="F742" i="3" s="1"/>
  <c r="E738" i="3"/>
  <c r="D738" i="3"/>
  <c r="C738" i="3"/>
  <c r="B738" i="3"/>
  <c r="Q721" i="3"/>
  <c r="R721" i="3" s="1"/>
  <c r="E720" i="3"/>
  <c r="N720" i="3" s="1"/>
  <c r="E728" i="3" s="1"/>
  <c r="D720" i="3"/>
  <c r="C720" i="3"/>
  <c r="F720" i="3" s="1"/>
  <c r="E719" i="3"/>
  <c r="N719" i="3" s="1"/>
  <c r="E727" i="3" s="1"/>
  <c r="D719" i="3"/>
  <c r="C719" i="3"/>
  <c r="F719" i="3" s="1"/>
  <c r="E718" i="3"/>
  <c r="N718" i="3" s="1"/>
  <c r="E726" i="3" s="1"/>
  <c r="D718" i="3"/>
  <c r="C718" i="3"/>
  <c r="F718" i="3" s="1"/>
  <c r="E717" i="3"/>
  <c r="N717" i="3" s="1"/>
  <c r="E725" i="3" s="1"/>
  <c r="D717" i="3"/>
  <c r="C717" i="3"/>
  <c r="F717" i="3" s="1"/>
  <c r="E716" i="3"/>
  <c r="N716" i="3" s="1"/>
  <c r="E724" i="3" s="1"/>
  <c r="D716" i="3"/>
  <c r="C716" i="3"/>
  <c r="F716" i="3" s="1"/>
  <c r="E715" i="3"/>
  <c r="N715" i="3" s="1"/>
  <c r="E723" i="3" s="1"/>
  <c r="D715" i="3"/>
  <c r="C715" i="3"/>
  <c r="F715" i="3" s="1"/>
  <c r="Y714" i="3"/>
  <c r="Z714" i="3" s="1"/>
  <c r="Q714" i="3"/>
  <c r="R714" i="3" s="1"/>
  <c r="E714" i="3"/>
  <c r="N714" i="3" s="1"/>
  <c r="E722" i="3" s="1"/>
  <c r="D714" i="3"/>
  <c r="C714" i="3"/>
  <c r="F714" i="3" s="1"/>
  <c r="Y713" i="3"/>
  <c r="Z713" i="3" s="1"/>
  <c r="F699" i="3"/>
  <c r="F703" i="3" s="1"/>
  <c r="E699" i="3"/>
  <c r="E703" i="3" s="1"/>
  <c r="D699" i="3"/>
  <c r="D703" i="3" s="1"/>
  <c r="C699" i="3"/>
  <c r="C703" i="3" s="1"/>
  <c r="F698" i="3"/>
  <c r="F702" i="3" s="1"/>
  <c r="E698" i="3"/>
  <c r="E702" i="3" s="1"/>
  <c r="D698" i="3"/>
  <c r="D702" i="3" s="1"/>
  <c r="C698" i="3"/>
  <c r="C702" i="3" s="1"/>
  <c r="F697" i="3"/>
  <c r="F701" i="3" s="1"/>
  <c r="E697" i="3"/>
  <c r="E701" i="3" s="1"/>
  <c r="D697" i="3"/>
  <c r="D701" i="3" s="1"/>
  <c r="C697" i="3"/>
  <c r="C701" i="3" s="1"/>
  <c r="F696" i="3"/>
  <c r="F700" i="3" s="1"/>
  <c r="E696" i="3"/>
  <c r="E700" i="3" s="1"/>
  <c r="D696" i="3"/>
  <c r="D700" i="3" s="1"/>
  <c r="C696" i="3"/>
  <c r="C700" i="3" s="1"/>
  <c r="E689" i="3"/>
  <c r="D689" i="3"/>
  <c r="C689" i="3"/>
  <c r="B689" i="3"/>
  <c r="F681" i="3"/>
  <c r="E681" i="3"/>
  <c r="D681" i="3"/>
  <c r="C681" i="3"/>
  <c r="B678" i="3"/>
  <c r="F677" i="3"/>
  <c r="E677" i="3"/>
  <c r="D677" i="3"/>
  <c r="C677" i="3"/>
  <c r="B677" i="3"/>
  <c r="E671" i="3"/>
  <c r="D671" i="3"/>
  <c r="C671" i="3"/>
  <c r="B671" i="3"/>
  <c r="E662" i="3"/>
  <c r="D662" i="3"/>
  <c r="C662" i="3"/>
  <c r="B662" i="3"/>
  <c r="F652" i="3"/>
  <c r="F653" i="3" s="1"/>
  <c r="E652" i="3"/>
  <c r="E653" i="3" s="1"/>
  <c r="D652" i="3"/>
  <c r="D653" i="3" s="1"/>
  <c r="C652" i="3"/>
  <c r="C653" i="3" s="1"/>
  <c r="E640" i="3"/>
  <c r="D640" i="3"/>
  <c r="C640" i="3"/>
  <c r="E639" i="3"/>
  <c r="D639" i="3"/>
  <c r="C639" i="3"/>
  <c r="E632" i="3"/>
  <c r="D632" i="3"/>
  <c r="C632" i="3"/>
  <c r="E631" i="3"/>
  <c r="D631" i="3"/>
  <c r="C631" i="3"/>
  <c r="E630" i="3"/>
  <c r="D630" i="3"/>
  <c r="C630" i="3"/>
  <c r="E629" i="3"/>
  <c r="D629" i="3"/>
  <c r="C629" i="3"/>
  <c r="E628" i="3"/>
  <c r="D628" i="3"/>
  <c r="C628" i="3"/>
  <c r="H625" i="3"/>
  <c r="B625" i="3"/>
  <c r="E624" i="3"/>
  <c r="F626" i="3" s="1"/>
  <c r="C624" i="3"/>
  <c r="H623" i="3"/>
  <c r="C623" i="3"/>
  <c r="C622" i="3"/>
  <c r="C621" i="3"/>
  <c r="C620" i="3"/>
  <c r="C619" i="3"/>
  <c r="C625" i="3" s="1"/>
  <c r="F628" i="3" s="1"/>
  <c r="E611" i="3"/>
  <c r="D611" i="3"/>
  <c r="C611" i="3"/>
  <c r="B611" i="3"/>
  <c r="D599" i="3"/>
  <c r="H598" i="3"/>
  <c r="H599" i="3" s="1"/>
  <c r="D597" i="3"/>
  <c r="D595" i="3"/>
  <c r="H594" i="3"/>
  <c r="F594" i="3"/>
  <c r="E594" i="3"/>
  <c r="H593" i="3"/>
  <c r="H600" i="3" s="1"/>
  <c r="G593" i="3"/>
  <c r="F593" i="3"/>
  <c r="E593" i="3"/>
  <c r="C582" i="3"/>
  <c r="G581" i="3"/>
  <c r="F581" i="3"/>
  <c r="E581" i="3"/>
  <c r="D581" i="3"/>
  <c r="Y570" i="3"/>
  <c r="Z568" i="3"/>
  <c r="V567" i="3"/>
  <c r="V566" i="3"/>
  <c r="F566" i="3"/>
  <c r="E566" i="3"/>
  <c r="H564" i="3"/>
  <c r="G564" i="3"/>
  <c r="F564" i="3"/>
  <c r="E564" i="3"/>
  <c r="F563" i="3"/>
  <c r="E563" i="3"/>
  <c r="G560" i="3"/>
  <c r="C560" i="3"/>
  <c r="E560" i="3" s="1"/>
  <c r="N559" i="3"/>
  <c r="N560" i="3" s="1"/>
  <c r="H563" i="3" s="1"/>
  <c r="G559" i="3"/>
  <c r="G561" i="3" s="1"/>
  <c r="H561" i="3" s="1"/>
  <c r="I561" i="3" s="1"/>
  <c r="J561" i="3" s="1"/>
  <c r="K561" i="3" s="1"/>
  <c r="G563" i="3" s="1"/>
  <c r="C559" i="3"/>
  <c r="E559" i="3" s="1"/>
  <c r="E561" i="3" s="1"/>
  <c r="C539" i="3"/>
  <c r="C538" i="3"/>
  <c r="G537" i="3"/>
  <c r="F537" i="3"/>
  <c r="E537" i="3"/>
  <c r="D537" i="3"/>
  <c r="E526" i="3"/>
  <c r="D526" i="3"/>
  <c r="C526" i="3"/>
  <c r="B526" i="3"/>
  <c r="E518" i="3"/>
  <c r="D518" i="3"/>
  <c r="C518" i="3"/>
  <c r="B518" i="3"/>
  <c r="E510" i="3"/>
  <c r="D510" i="3"/>
  <c r="C510" i="3"/>
  <c r="B510" i="3"/>
  <c r="F502" i="3"/>
  <c r="E502" i="3"/>
  <c r="D502" i="3"/>
  <c r="C502" i="3"/>
  <c r="F501" i="3"/>
  <c r="E501" i="3"/>
  <c r="D501" i="3"/>
  <c r="C501" i="3"/>
  <c r="E488" i="3"/>
  <c r="D488" i="3"/>
  <c r="D485" i="3"/>
  <c r="B485" i="3"/>
  <c r="E485" i="3" s="1"/>
  <c r="E484" i="3"/>
  <c r="E483" i="3"/>
  <c r="C481" i="3"/>
  <c r="E481" i="3" s="1"/>
  <c r="B481" i="3"/>
  <c r="D480" i="3"/>
  <c r="E480" i="3" s="1"/>
  <c r="F480" i="3" s="1"/>
  <c r="F474" i="3"/>
  <c r="E474" i="3"/>
  <c r="D474" i="3"/>
  <c r="C474" i="3"/>
  <c r="E465" i="3"/>
  <c r="D465" i="3"/>
  <c r="C465" i="3"/>
  <c r="B465" i="3"/>
  <c r="E457" i="3"/>
  <c r="D457" i="3"/>
  <c r="C457" i="3"/>
  <c r="B457" i="3"/>
  <c r="D449" i="3"/>
  <c r="C449" i="3"/>
  <c r="B449" i="3"/>
  <c r="H447" i="3"/>
  <c r="F447" i="3"/>
  <c r="E447" i="3"/>
  <c r="D447" i="3"/>
  <c r="C447" i="3"/>
  <c r="G446" i="3"/>
  <c r="G447" i="3" s="1"/>
  <c r="E438" i="3"/>
  <c r="D438" i="3"/>
  <c r="C438" i="3"/>
  <c r="B438" i="3"/>
  <c r="D429" i="3"/>
  <c r="C429" i="3"/>
  <c r="F428" i="3"/>
  <c r="F429" i="3" s="1"/>
  <c r="E428" i="3"/>
  <c r="E429" i="3" s="1"/>
  <c r="M420" i="3"/>
  <c r="K420" i="3"/>
  <c r="D420" i="3"/>
  <c r="D419" i="3"/>
  <c r="D418" i="3"/>
  <c r="M417" i="3"/>
  <c r="K417" i="3"/>
  <c r="D417" i="3"/>
  <c r="D416" i="3"/>
  <c r="D415" i="3"/>
  <c r="D414" i="3"/>
  <c r="M413" i="3"/>
  <c r="K413" i="3"/>
  <c r="D413" i="3"/>
  <c r="D412" i="3"/>
  <c r="D411" i="3"/>
  <c r="D410" i="3"/>
  <c r="D409" i="3"/>
  <c r="M408" i="3"/>
  <c r="L408" i="3"/>
  <c r="K408" i="3"/>
  <c r="I408" i="3"/>
  <c r="D408" i="3"/>
  <c r="C403" i="3"/>
  <c r="M393" i="3"/>
  <c r="E395" i="3" s="1"/>
  <c r="J393" i="3"/>
  <c r="D395" i="3" s="1"/>
  <c r="E393" i="3"/>
  <c r="G393" i="3" s="1"/>
  <c r="C395" i="3" s="1"/>
  <c r="B393" i="3"/>
  <c r="D393" i="3" s="1"/>
  <c r="B395" i="3" s="1"/>
  <c r="E385" i="3"/>
  <c r="C385" i="3"/>
  <c r="B385" i="3"/>
  <c r="E383" i="3"/>
  <c r="C382" i="3"/>
  <c r="B382" i="3"/>
  <c r="C381" i="3"/>
  <c r="B381" i="3"/>
  <c r="C380" i="3"/>
  <c r="B380" i="3"/>
  <c r="C379" i="3"/>
  <c r="B379" i="3"/>
  <c r="E371" i="3"/>
  <c r="D371" i="3"/>
  <c r="C371" i="3"/>
  <c r="B371" i="3"/>
  <c r="E363" i="3"/>
  <c r="D363" i="3"/>
  <c r="C363" i="3"/>
  <c r="B363" i="3"/>
  <c r="D354" i="3"/>
  <c r="C354" i="3"/>
  <c r="B354" i="3"/>
  <c r="E352" i="3"/>
  <c r="C352" i="3"/>
  <c r="D352" i="3" s="1"/>
  <c r="C351" i="3"/>
  <c r="D351" i="3" s="1"/>
  <c r="F351" i="3" s="1"/>
  <c r="F344" i="3"/>
  <c r="E344" i="3"/>
  <c r="D343" i="3"/>
  <c r="D344" i="3" s="1"/>
  <c r="C343" i="3"/>
  <c r="C344" i="3" s="1"/>
  <c r="E335" i="3"/>
  <c r="D335" i="3"/>
  <c r="C335" i="3"/>
  <c r="B335" i="3"/>
  <c r="G327" i="3"/>
  <c r="F327" i="3"/>
  <c r="E327" i="3"/>
  <c r="D327" i="3"/>
  <c r="D319" i="3"/>
  <c r="C319" i="3"/>
  <c r="B319" i="3"/>
  <c r="C317" i="3"/>
  <c r="C316" i="3"/>
  <c r="C315" i="3"/>
  <c r="C314" i="3"/>
  <c r="C313" i="3"/>
  <c r="D313" i="3" s="1"/>
  <c r="E319" i="3" s="1"/>
  <c r="D300" i="3"/>
  <c r="C300" i="3"/>
  <c r="B300" i="3"/>
  <c r="C298" i="3"/>
  <c r="C297" i="3"/>
  <c r="C296" i="3"/>
  <c r="C295" i="3"/>
  <c r="D295" i="3" s="1"/>
  <c r="E300" i="3" s="1"/>
  <c r="H286" i="3"/>
  <c r="F286" i="3"/>
  <c r="E286" i="3"/>
  <c r="D286" i="3"/>
  <c r="C286" i="3"/>
  <c r="X285" i="3"/>
  <c r="W285" i="3"/>
  <c r="V285" i="3"/>
  <c r="U285" i="3"/>
  <c r="H285" i="3"/>
  <c r="R284" i="3"/>
  <c r="X284" i="3" s="1"/>
  <c r="Q284" i="3"/>
  <c r="W284" i="3" s="1"/>
  <c r="P284" i="3"/>
  <c r="V284" i="3" s="1"/>
  <c r="O284" i="3"/>
  <c r="U284" i="3" s="1"/>
  <c r="R283" i="3"/>
  <c r="X283" i="3" s="1"/>
  <c r="Q283" i="3"/>
  <c r="W283" i="3" s="1"/>
  <c r="P283" i="3"/>
  <c r="V283" i="3" s="1"/>
  <c r="O283" i="3"/>
  <c r="U283" i="3" s="1"/>
  <c r="G283" i="3"/>
  <c r="R282" i="3"/>
  <c r="X282" i="3" s="1"/>
  <c r="Q282" i="3"/>
  <c r="W282" i="3" s="1"/>
  <c r="P282" i="3"/>
  <c r="V282" i="3" s="1"/>
  <c r="O282" i="3"/>
  <c r="U282" i="3" s="1"/>
  <c r="H281" i="3"/>
  <c r="H280" i="3"/>
  <c r="B280" i="3"/>
  <c r="H279" i="3"/>
  <c r="B279" i="3"/>
  <c r="H278" i="3"/>
  <c r="B278" i="3"/>
  <c r="H277" i="3"/>
  <c r="F277" i="3"/>
  <c r="E277" i="3"/>
  <c r="D277" i="3"/>
  <c r="C277" i="3"/>
  <c r="H276" i="3"/>
  <c r="F276" i="3"/>
  <c r="E276" i="3"/>
  <c r="D276" i="3"/>
  <c r="C276" i="3"/>
  <c r="H275" i="3"/>
  <c r="F275" i="3"/>
  <c r="E275" i="3"/>
  <c r="D275" i="3"/>
  <c r="C275" i="3"/>
  <c r="H274" i="3"/>
  <c r="F274" i="3"/>
  <c r="E274" i="3"/>
  <c r="D274" i="3"/>
  <c r="C274" i="3"/>
  <c r="H273" i="3"/>
  <c r="F273" i="3"/>
  <c r="E273" i="3"/>
  <c r="D273" i="3"/>
  <c r="C273" i="3"/>
  <c r="H272" i="3"/>
  <c r="F272" i="3"/>
  <c r="E272" i="3"/>
  <c r="D272" i="3"/>
  <c r="C272" i="3"/>
  <c r="H271" i="3"/>
  <c r="F271" i="3"/>
  <c r="E271" i="3"/>
  <c r="D271" i="3"/>
  <c r="C271" i="3"/>
  <c r="H270" i="3"/>
  <c r="F270" i="3"/>
  <c r="E270" i="3"/>
  <c r="D270" i="3"/>
  <c r="C270" i="3"/>
  <c r="H269" i="3"/>
  <c r="F269" i="3"/>
  <c r="E269" i="3"/>
  <c r="D269" i="3"/>
  <c r="C269" i="3"/>
  <c r="X268" i="3"/>
  <c r="W268" i="3"/>
  <c r="V268" i="3"/>
  <c r="U268" i="3"/>
  <c r="E256" i="3"/>
  <c r="C256" i="3"/>
  <c r="B256" i="3"/>
  <c r="D257" i="3" s="1"/>
  <c r="E247" i="3"/>
  <c r="C247" i="3"/>
  <c r="B247" i="3"/>
  <c r="D248" i="3" s="1"/>
  <c r="G238" i="3"/>
  <c r="F238" i="3"/>
  <c r="E238" i="3"/>
  <c r="D238" i="3"/>
  <c r="B238" i="3"/>
  <c r="C239" i="3" s="1"/>
  <c r="B223" i="3"/>
  <c r="E222" i="3"/>
  <c r="E223" i="3" s="1"/>
  <c r="E220" i="3"/>
  <c r="E219" i="3"/>
  <c r="E218" i="3"/>
  <c r="E217" i="3"/>
  <c r="E216" i="3"/>
  <c r="E215" i="3"/>
  <c r="E214" i="3"/>
  <c r="E213" i="3"/>
  <c r="O212" i="3"/>
  <c r="N212" i="3"/>
  <c r="E212" i="3"/>
  <c r="O211" i="3"/>
  <c r="O213" i="3" s="1"/>
  <c r="N211" i="3"/>
  <c r="N213" i="3" s="1"/>
  <c r="P213" i="3" s="1"/>
  <c r="K211" i="3"/>
  <c r="J211" i="3"/>
  <c r="L211" i="3" s="1"/>
  <c r="H211" i="3"/>
  <c r="I211" i="3" s="1"/>
  <c r="E211" i="3"/>
  <c r="B211" i="3"/>
  <c r="D209" i="3"/>
  <c r="C209" i="3"/>
  <c r="E209" i="3" s="1"/>
  <c r="D208" i="3"/>
  <c r="C208" i="3"/>
  <c r="E208" i="3" s="1"/>
  <c r="D207" i="3"/>
  <c r="C207" i="3"/>
  <c r="E207" i="3" s="1"/>
  <c r="D206" i="3"/>
  <c r="C206" i="3"/>
  <c r="E206" i="3" s="1"/>
  <c r="F209" i="3" s="1"/>
  <c r="N205" i="3"/>
  <c r="M205" i="3"/>
  <c r="O205" i="3" s="1"/>
  <c r="J205" i="3"/>
  <c r="H205" i="3"/>
  <c r="W202" i="3"/>
  <c r="R202" i="3"/>
  <c r="S202" i="3" s="1"/>
  <c r="T202" i="3" s="1"/>
  <c r="W201" i="3"/>
  <c r="R201" i="3"/>
  <c r="S201" i="3" s="1"/>
  <c r="T201" i="3" s="1"/>
  <c r="M201" i="3"/>
  <c r="N201" i="3" s="1"/>
  <c r="O201" i="3" s="1"/>
  <c r="R200" i="3"/>
  <c r="S200" i="3" s="1"/>
  <c r="T200" i="3" s="1"/>
  <c r="M200" i="3"/>
  <c r="N200" i="3" s="1"/>
  <c r="O200" i="3" s="1"/>
  <c r="W199" i="3"/>
  <c r="C222" i="3" s="1"/>
  <c r="C223" i="3" s="1"/>
  <c r="R199" i="3"/>
  <c r="S199" i="3" s="1"/>
  <c r="T199" i="3" s="1"/>
  <c r="M199" i="3"/>
  <c r="N199" i="3" s="1"/>
  <c r="O199" i="3" s="1"/>
  <c r="W198" i="3"/>
  <c r="R198" i="3"/>
  <c r="S198" i="3" s="1"/>
  <c r="T198" i="3" s="1"/>
  <c r="M198" i="3"/>
  <c r="N198" i="3" s="1"/>
  <c r="O198" i="3" s="1"/>
  <c r="W197" i="3"/>
  <c r="R197" i="3"/>
  <c r="S197" i="3" s="1"/>
  <c r="T197" i="3" s="1"/>
  <c r="M197" i="3"/>
  <c r="N197" i="3" s="1"/>
  <c r="O197" i="3" s="1"/>
  <c r="O203" i="3" s="1"/>
  <c r="F197" i="3"/>
  <c r="E197" i="3"/>
  <c r="I197" i="3" s="1"/>
  <c r="J197" i="3" s="1"/>
  <c r="D197" i="3"/>
  <c r="C197" i="3"/>
  <c r="G197" i="3" s="1"/>
  <c r="H197" i="3" s="1"/>
  <c r="B197" i="3"/>
  <c r="F195" i="3"/>
  <c r="F194" i="3"/>
  <c r="F187" i="3"/>
  <c r="E187" i="3"/>
  <c r="D187" i="3"/>
  <c r="C187" i="3"/>
  <c r="B178" i="3"/>
  <c r="J175" i="3"/>
  <c r="F177" i="3" s="1"/>
  <c r="F178" i="3" s="1"/>
  <c r="H174" i="3"/>
  <c r="J174" i="3" s="1"/>
  <c r="G174" i="3"/>
  <c r="E177" i="3" s="1"/>
  <c r="E178" i="3" s="1"/>
  <c r="E174" i="3"/>
  <c r="B174" i="3"/>
  <c r="D174" i="3" s="1"/>
  <c r="C177" i="3" s="1"/>
  <c r="C178" i="3" s="1"/>
  <c r="H171" i="3"/>
  <c r="F171" i="3"/>
  <c r="I171" i="3" s="1"/>
  <c r="E171" i="3"/>
  <c r="D171" i="3"/>
  <c r="C171" i="3"/>
  <c r="G171" i="3" s="1"/>
  <c r="H170" i="3"/>
  <c r="I170" i="3" s="1"/>
  <c r="G170" i="3"/>
  <c r="H169" i="3"/>
  <c r="I169" i="3" s="1"/>
  <c r="G169" i="3"/>
  <c r="H168" i="3"/>
  <c r="I168" i="3" s="1"/>
  <c r="I172" i="3" s="1"/>
  <c r="D177" i="3" s="1"/>
  <c r="D178" i="3" s="1"/>
  <c r="G168" i="3"/>
  <c r="F159" i="3"/>
  <c r="F160" i="3" s="1"/>
  <c r="E159" i="3"/>
  <c r="E160" i="3" s="1"/>
  <c r="D159" i="3"/>
  <c r="D160" i="3" s="1"/>
  <c r="C159" i="3"/>
  <c r="C160" i="3" s="1"/>
  <c r="F150" i="3"/>
  <c r="D150" i="3"/>
  <c r="C150" i="3"/>
  <c r="E149" i="3"/>
  <c r="E150" i="3" s="1"/>
  <c r="F137" i="3"/>
  <c r="E137" i="3"/>
  <c r="D137" i="3"/>
  <c r="E126" i="3"/>
  <c r="D126" i="3"/>
  <c r="C126" i="3"/>
  <c r="F125" i="3"/>
  <c r="D122" i="3"/>
  <c r="D121" i="3"/>
  <c r="D120" i="3"/>
  <c r="D119" i="3"/>
  <c r="D123" i="3" s="1"/>
  <c r="B126" i="3" s="1"/>
  <c r="F110" i="3"/>
  <c r="F111" i="3" s="1"/>
  <c r="E110" i="3"/>
  <c r="E111" i="3" s="1"/>
  <c r="D110" i="3"/>
  <c r="D111" i="3" s="1"/>
  <c r="C110" i="3"/>
  <c r="C111" i="3" s="1"/>
  <c r="B100" i="3"/>
  <c r="J89" i="3"/>
  <c r="H88" i="3"/>
  <c r="F88" i="3"/>
  <c r="H87" i="3"/>
  <c r="D86" i="3"/>
  <c r="A86" i="3"/>
  <c r="L85" i="3"/>
  <c r="K85" i="3"/>
  <c r="F85" i="3"/>
  <c r="D85" i="3"/>
  <c r="H86" i="3" s="1"/>
  <c r="E83" i="3"/>
  <c r="G83" i="3" s="1"/>
  <c r="J85" i="3" s="1"/>
  <c r="D83" i="3"/>
  <c r="I85" i="3" s="1"/>
  <c r="B71" i="3"/>
  <c r="B70" i="3"/>
  <c r="D66" i="3"/>
  <c r="C65" i="3"/>
  <c r="E65" i="3" s="1"/>
  <c r="H64" i="3"/>
  <c r="C64" i="3"/>
  <c r="E64" i="3" s="1"/>
  <c r="K63" i="3"/>
  <c r="H63" i="3"/>
  <c r="C63" i="3"/>
  <c r="B54" i="3"/>
  <c r="B44" i="3"/>
  <c r="D43" i="3"/>
  <c r="D44" i="3" s="1"/>
  <c r="C43" i="3"/>
  <c r="C44" i="3" s="1"/>
  <c r="J34" i="3"/>
  <c r="F32" i="3"/>
  <c r="E32" i="3"/>
  <c r="D32" i="3"/>
  <c r="D31" i="3"/>
  <c r="G30" i="3"/>
  <c r="E30" i="3"/>
  <c r="D30" i="3"/>
  <c r="D33" i="3" s="1"/>
  <c r="G29" i="3"/>
  <c r="G33" i="3" s="1"/>
  <c r="F29" i="3"/>
  <c r="F33" i="3" s="1"/>
  <c r="B29" i="3"/>
  <c r="F28" i="3"/>
  <c r="B22" i="3"/>
  <c r="D21" i="3"/>
  <c r="D22" i="3" s="1"/>
  <c r="C21" i="3"/>
  <c r="C22" i="3" s="1"/>
  <c r="F15" i="3"/>
  <c r="B15" i="3"/>
  <c r="C12" i="3"/>
  <c r="D12" i="3" s="1"/>
  <c r="D15" i="3" s="1"/>
  <c r="D5" i="3"/>
  <c r="G5" i="3" s="1"/>
  <c r="J242" i="2"/>
  <c r="I242" i="2"/>
  <c r="H242" i="2"/>
  <c r="G242" i="2"/>
  <c r="J179" i="2"/>
  <c r="H179" i="2"/>
  <c r="J135" i="2"/>
  <c r="J238" i="2" s="1"/>
  <c r="G135" i="2"/>
  <c r="I90" i="2"/>
  <c r="I238" i="2" s="1"/>
  <c r="H90" i="2"/>
  <c r="H238" i="2" s="1"/>
  <c r="G90" i="2"/>
  <c r="G238" i="2" s="1"/>
  <c r="E15" i="3" l="1"/>
  <c r="C15" i="3"/>
  <c r="F22" i="3"/>
  <c r="E22" i="3"/>
  <c r="E33" i="3"/>
  <c r="F44" i="3"/>
  <c r="E44" i="3"/>
  <c r="F54" i="3"/>
  <c r="F55" i="3" s="1"/>
  <c r="E54" i="3"/>
  <c r="E55" i="3" s="1"/>
  <c r="D54" i="3"/>
  <c r="D55" i="3" s="1"/>
  <c r="C54" i="3"/>
  <c r="C55" i="3" s="1"/>
  <c r="C66" i="3"/>
  <c r="E66" i="3" s="1"/>
  <c r="E63" i="3"/>
  <c r="E67" i="3" s="1"/>
  <c r="C69" i="3" s="1"/>
  <c r="I63" i="3"/>
  <c r="F69" i="3"/>
  <c r="E69" i="3"/>
  <c r="I64" i="3"/>
  <c r="I88" i="3"/>
  <c r="I86" i="3"/>
  <c r="I87" i="3" s="1"/>
  <c r="J88" i="3"/>
  <c r="J86" i="3"/>
  <c r="J87" i="3" s="1"/>
  <c r="K88" i="3"/>
  <c r="K86" i="3"/>
  <c r="K87" i="3" s="1"/>
  <c r="L88" i="3"/>
  <c r="L86" i="3"/>
  <c r="L87" i="3" s="1"/>
  <c r="F100" i="3"/>
  <c r="E100" i="3"/>
  <c r="D100" i="3"/>
  <c r="C100" i="3"/>
  <c r="E125" i="3"/>
  <c r="E127" i="3" s="1"/>
  <c r="D125" i="3"/>
  <c r="D127" i="3" s="1"/>
  <c r="C125" i="3"/>
  <c r="C127" i="3" s="1"/>
  <c r="F127" i="3"/>
  <c r="F126" i="3"/>
  <c r="G205" i="3"/>
  <c r="K197" i="3"/>
  <c r="I205" i="3"/>
  <c r="K205" i="3"/>
  <c r="P205" i="3"/>
  <c r="F220" i="3"/>
  <c r="R211" i="3"/>
  <c r="F222" i="3" s="1"/>
  <c r="F223" i="3" s="1"/>
  <c r="D239" i="3"/>
  <c r="E239" i="3"/>
  <c r="F239" i="3"/>
  <c r="G239" i="3"/>
  <c r="C248" i="3"/>
  <c r="E248" i="3"/>
  <c r="C257" i="3"/>
  <c r="E257" i="3"/>
  <c r="L269" i="3"/>
  <c r="R269" i="3" s="1"/>
  <c r="X269" i="3" s="1"/>
  <c r="K269" i="3"/>
  <c r="Q269" i="3" s="1"/>
  <c r="W269" i="3" s="1"/>
  <c r="J269" i="3"/>
  <c r="P269" i="3" s="1"/>
  <c r="V269" i="3" s="1"/>
  <c r="I269" i="3"/>
  <c r="O269" i="3" s="1"/>
  <c r="U269" i="3" s="1"/>
  <c r="L270" i="3"/>
  <c r="R270" i="3" s="1"/>
  <c r="X270" i="3" s="1"/>
  <c r="K270" i="3"/>
  <c r="Q270" i="3" s="1"/>
  <c r="W270" i="3" s="1"/>
  <c r="J270" i="3"/>
  <c r="P270" i="3" s="1"/>
  <c r="V270" i="3" s="1"/>
  <c r="I270" i="3"/>
  <c r="O270" i="3" s="1"/>
  <c r="U270" i="3" s="1"/>
  <c r="L271" i="3"/>
  <c r="R271" i="3" s="1"/>
  <c r="X271" i="3" s="1"/>
  <c r="K271" i="3"/>
  <c r="Q271" i="3" s="1"/>
  <c r="W271" i="3" s="1"/>
  <c r="J271" i="3"/>
  <c r="P271" i="3" s="1"/>
  <c r="V271" i="3" s="1"/>
  <c r="I271" i="3"/>
  <c r="O271" i="3" s="1"/>
  <c r="U271" i="3" s="1"/>
  <c r="L272" i="3"/>
  <c r="R272" i="3" s="1"/>
  <c r="X272" i="3" s="1"/>
  <c r="K272" i="3"/>
  <c r="Q272" i="3" s="1"/>
  <c r="W272" i="3" s="1"/>
  <c r="J272" i="3"/>
  <c r="P272" i="3" s="1"/>
  <c r="V272" i="3" s="1"/>
  <c r="I272" i="3"/>
  <c r="O272" i="3" s="1"/>
  <c r="U272" i="3" s="1"/>
  <c r="L273" i="3"/>
  <c r="R273" i="3" s="1"/>
  <c r="X273" i="3" s="1"/>
  <c r="K273" i="3"/>
  <c r="Q273" i="3" s="1"/>
  <c r="W273" i="3" s="1"/>
  <c r="J273" i="3"/>
  <c r="P273" i="3" s="1"/>
  <c r="V273" i="3" s="1"/>
  <c r="I273" i="3"/>
  <c r="O273" i="3" s="1"/>
  <c r="U273" i="3" s="1"/>
  <c r="L274" i="3"/>
  <c r="R274" i="3" s="1"/>
  <c r="X274" i="3" s="1"/>
  <c r="K274" i="3"/>
  <c r="Q274" i="3" s="1"/>
  <c r="W274" i="3" s="1"/>
  <c r="J274" i="3"/>
  <c r="P274" i="3" s="1"/>
  <c r="V274" i="3" s="1"/>
  <c r="I274" i="3"/>
  <c r="O274" i="3" s="1"/>
  <c r="U274" i="3" s="1"/>
  <c r="L275" i="3"/>
  <c r="R275" i="3" s="1"/>
  <c r="X275" i="3" s="1"/>
  <c r="K275" i="3"/>
  <c r="Q275" i="3" s="1"/>
  <c r="W275" i="3" s="1"/>
  <c r="J275" i="3"/>
  <c r="P275" i="3" s="1"/>
  <c r="V275" i="3" s="1"/>
  <c r="I275" i="3"/>
  <c r="O275" i="3" s="1"/>
  <c r="U275" i="3" s="1"/>
  <c r="L276" i="3"/>
  <c r="R276" i="3" s="1"/>
  <c r="X276" i="3" s="1"/>
  <c r="K276" i="3"/>
  <c r="Q276" i="3" s="1"/>
  <c r="W276" i="3" s="1"/>
  <c r="J276" i="3"/>
  <c r="P276" i="3" s="1"/>
  <c r="V276" i="3" s="1"/>
  <c r="I276" i="3"/>
  <c r="O276" i="3" s="1"/>
  <c r="U276" i="3" s="1"/>
  <c r="L277" i="3"/>
  <c r="R277" i="3" s="1"/>
  <c r="X277" i="3" s="1"/>
  <c r="K277" i="3"/>
  <c r="Q277" i="3" s="1"/>
  <c r="W277" i="3" s="1"/>
  <c r="J277" i="3"/>
  <c r="P277" i="3" s="1"/>
  <c r="V277" i="3" s="1"/>
  <c r="I277" i="3"/>
  <c r="O277" i="3" s="1"/>
  <c r="U277" i="3" s="1"/>
  <c r="F278" i="3"/>
  <c r="E278" i="3"/>
  <c r="D278" i="3"/>
  <c r="C278" i="3"/>
  <c r="L278" i="3"/>
  <c r="K278" i="3"/>
  <c r="J278" i="3"/>
  <c r="I278" i="3"/>
  <c r="F279" i="3"/>
  <c r="E279" i="3"/>
  <c r="D279" i="3"/>
  <c r="C279" i="3"/>
  <c r="L279" i="3"/>
  <c r="K279" i="3"/>
  <c r="J279" i="3"/>
  <c r="I279" i="3"/>
  <c r="F280" i="3"/>
  <c r="E280" i="3"/>
  <c r="D280" i="3"/>
  <c r="C280" i="3"/>
  <c r="L280" i="3"/>
  <c r="K280" i="3"/>
  <c r="J280" i="3"/>
  <c r="I280" i="3"/>
  <c r="L281" i="3"/>
  <c r="K281" i="3"/>
  <c r="J281" i="3"/>
  <c r="I281" i="3"/>
  <c r="L285" i="3"/>
  <c r="K285" i="3"/>
  <c r="J285" i="3"/>
  <c r="I285" i="3"/>
  <c r="L286" i="3"/>
  <c r="R286" i="3" s="1"/>
  <c r="X286" i="3" s="1"/>
  <c r="K286" i="3"/>
  <c r="Q286" i="3" s="1"/>
  <c r="W286" i="3" s="1"/>
  <c r="J286" i="3"/>
  <c r="P286" i="3" s="1"/>
  <c r="V286" i="3" s="1"/>
  <c r="I286" i="3"/>
  <c r="O286" i="3" s="1"/>
  <c r="U286" i="3" s="1"/>
  <c r="F352" i="3"/>
  <c r="G352" i="3" s="1"/>
  <c r="E354" i="3" s="1"/>
  <c r="D379" i="3"/>
  <c r="D380" i="3"/>
  <c r="D381" i="3"/>
  <c r="D382" i="3"/>
  <c r="G403" i="3"/>
  <c r="F403" i="3"/>
  <c r="E403" i="3"/>
  <c r="D403" i="3"/>
  <c r="H408" i="3"/>
  <c r="F256" i="3" s="1"/>
  <c r="F257" i="3" s="1"/>
  <c r="G408" i="3"/>
  <c r="F247" i="3" s="1"/>
  <c r="F248" i="3" s="1"/>
  <c r="F408" i="3"/>
  <c r="N413" i="3" s="1"/>
  <c r="E408" i="3"/>
  <c r="E449" i="3"/>
  <c r="I447" i="3"/>
  <c r="F481" i="3"/>
  <c r="G481" i="3" s="1"/>
  <c r="B488" i="3" s="1"/>
  <c r="F483" i="3"/>
  <c r="G483" i="3" s="1"/>
  <c r="F484" i="3"/>
  <c r="G484" i="3" s="1"/>
  <c r="F485" i="3"/>
  <c r="G485" i="3" s="1"/>
  <c r="D539" i="3"/>
  <c r="D538" i="3"/>
  <c r="E539" i="3"/>
  <c r="E538" i="3"/>
  <c r="F539" i="3"/>
  <c r="F538" i="3"/>
  <c r="G539" i="3"/>
  <c r="G538" i="3"/>
  <c r="E569" i="3"/>
  <c r="E568" i="3"/>
  <c r="E567" i="3"/>
  <c r="E565" i="3"/>
  <c r="F569" i="3"/>
  <c r="F568" i="3"/>
  <c r="F567" i="3"/>
  <c r="F565" i="3"/>
  <c r="G569" i="3"/>
  <c r="G568" i="3"/>
  <c r="G567" i="3"/>
  <c r="G566" i="3"/>
  <c r="G565" i="3"/>
  <c r="H569" i="3"/>
  <c r="H568" i="3"/>
  <c r="H567" i="3"/>
  <c r="H566" i="3"/>
  <c r="H565" i="3"/>
  <c r="Z566" i="3"/>
  <c r="Y566" i="3"/>
  <c r="X566" i="3"/>
  <c r="W566" i="3"/>
  <c r="Z567" i="3"/>
  <c r="Y567" i="3"/>
  <c r="X567" i="3"/>
  <c r="W567" i="3"/>
  <c r="D584" i="3"/>
  <c r="D583" i="3"/>
  <c r="D582" i="3"/>
  <c r="E584" i="3"/>
  <c r="E583" i="3"/>
  <c r="E582" i="3"/>
  <c r="F584" i="3"/>
  <c r="F583" i="3"/>
  <c r="F582" i="3"/>
  <c r="G584" i="3"/>
  <c r="G583" i="3"/>
  <c r="G582" i="3"/>
  <c r="E600" i="3"/>
  <c r="E598" i="3"/>
  <c r="E599" i="3" s="1"/>
  <c r="F600" i="3"/>
  <c r="F598" i="3"/>
  <c r="F599" i="3" s="1"/>
  <c r="G600" i="3"/>
  <c r="G598" i="3"/>
  <c r="G599" i="3" s="1"/>
  <c r="G594" i="3"/>
  <c r="E597" i="3"/>
  <c r="E596" i="3"/>
  <c r="E595" i="3"/>
  <c r="F597" i="3"/>
  <c r="F596" i="3"/>
  <c r="F595" i="3"/>
  <c r="H597" i="3"/>
  <c r="H596" i="3"/>
  <c r="H595" i="3"/>
  <c r="F637" i="3"/>
  <c r="F636" i="3"/>
  <c r="F635" i="3"/>
  <c r="B634" i="3"/>
  <c r="F634" i="3" s="1"/>
  <c r="B633" i="3"/>
  <c r="F633" i="3" s="1"/>
  <c r="I626" i="3"/>
  <c r="B638" i="3" s="1"/>
  <c r="F638" i="3" s="1"/>
  <c r="C638" i="3"/>
  <c r="C637" i="3"/>
  <c r="C636" i="3"/>
  <c r="C635" i="3"/>
  <c r="C634" i="3"/>
  <c r="C633" i="3"/>
  <c r="D638" i="3"/>
  <c r="D637" i="3"/>
  <c r="D636" i="3"/>
  <c r="D635" i="3"/>
  <c r="D634" i="3"/>
  <c r="D633" i="3"/>
  <c r="E638" i="3"/>
  <c r="E637" i="3"/>
  <c r="E636" i="3"/>
  <c r="E635" i="3"/>
  <c r="E634" i="3"/>
  <c r="E633" i="3"/>
  <c r="C680" i="3"/>
  <c r="C679" i="3"/>
  <c r="C678" i="3"/>
  <c r="D680" i="3"/>
  <c r="D679" i="3"/>
  <c r="D678" i="3"/>
  <c r="E680" i="3"/>
  <c r="E679" i="3"/>
  <c r="E678" i="3"/>
  <c r="F680" i="3"/>
  <c r="F679" i="3"/>
  <c r="F678" i="3"/>
  <c r="L714" i="3"/>
  <c r="D722" i="3" s="1"/>
  <c r="J714" i="3"/>
  <c r="C722" i="3" s="1"/>
  <c r="H714" i="3"/>
  <c r="B722" i="3" s="1"/>
  <c r="L715" i="3"/>
  <c r="D723" i="3" s="1"/>
  <c r="J715" i="3"/>
  <c r="C723" i="3" s="1"/>
  <c r="H715" i="3"/>
  <c r="B723" i="3" s="1"/>
  <c r="L716" i="3"/>
  <c r="D724" i="3" s="1"/>
  <c r="J716" i="3"/>
  <c r="C724" i="3" s="1"/>
  <c r="H716" i="3"/>
  <c r="B724" i="3" s="1"/>
  <c r="L717" i="3"/>
  <c r="D725" i="3" s="1"/>
  <c r="J717" i="3"/>
  <c r="C725" i="3" s="1"/>
  <c r="H717" i="3"/>
  <c r="B725" i="3" s="1"/>
  <c r="L718" i="3"/>
  <c r="D726" i="3" s="1"/>
  <c r="J718" i="3"/>
  <c r="C726" i="3" s="1"/>
  <c r="H718" i="3"/>
  <c r="B726" i="3" s="1"/>
  <c r="L719" i="3"/>
  <c r="D727" i="3" s="1"/>
  <c r="J719" i="3"/>
  <c r="C727" i="3" s="1"/>
  <c r="H719" i="3"/>
  <c r="B727" i="3" s="1"/>
  <c r="L720" i="3"/>
  <c r="D728" i="3" s="1"/>
  <c r="J720" i="3"/>
  <c r="C728" i="3" s="1"/>
  <c r="H720" i="3"/>
  <c r="B728" i="3" s="1"/>
  <c r="L742" i="3"/>
  <c r="D747" i="3" s="1"/>
  <c r="J742" i="3"/>
  <c r="C747" i="3" s="1"/>
  <c r="H742" i="3"/>
  <c r="B747" i="3" s="1"/>
  <c r="L743" i="3"/>
  <c r="D748" i="3" s="1"/>
  <c r="J743" i="3"/>
  <c r="C748" i="3" s="1"/>
  <c r="H743" i="3"/>
  <c r="B748" i="3" s="1"/>
  <c r="L744" i="3"/>
  <c r="D749" i="3" s="1"/>
  <c r="J744" i="3"/>
  <c r="C749" i="3" s="1"/>
  <c r="H744" i="3"/>
  <c r="B749" i="3" s="1"/>
  <c r="L745" i="3"/>
  <c r="D750" i="3" s="1"/>
  <c r="J745" i="3"/>
  <c r="C750" i="3" s="1"/>
  <c r="H745" i="3"/>
  <c r="B750" i="3" s="1"/>
  <c r="L758" i="3"/>
  <c r="D765" i="3" s="1"/>
  <c r="J758" i="3"/>
  <c r="C765" i="3" s="1"/>
  <c r="H758" i="3"/>
  <c r="B765" i="3" s="1"/>
  <c r="L759" i="3"/>
  <c r="D766" i="3" s="1"/>
  <c r="J759" i="3"/>
  <c r="C766" i="3" s="1"/>
  <c r="H759" i="3"/>
  <c r="B766" i="3" s="1"/>
  <c r="L761" i="3"/>
  <c r="D768" i="3" s="1"/>
  <c r="J761" i="3"/>
  <c r="C768" i="3" s="1"/>
  <c r="H761" i="3"/>
  <c r="B768" i="3" s="1"/>
  <c r="L763" i="3"/>
  <c r="D770" i="3" s="1"/>
  <c r="J763" i="3"/>
  <c r="C770" i="3" s="1"/>
  <c r="H763" i="3"/>
  <c r="B770" i="3" s="1"/>
  <c r="I811" i="3"/>
  <c r="J811" i="3"/>
  <c r="Y838" i="3"/>
  <c r="Y840" i="3" s="1"/>
  <c r="F870" i="3"/>
  <c r="G870" i="3" s="1"/>
  <c r="C877" i="3" s="1"/>
  <c r="C870" i="3"/>
  <c r="B877" i="3" s="1"/>
  <c r="D936" i="3"/>
  <c r="D935" i="3"/>
  <c r="G1126" i="3"/>
  <c r="C1129" i="3" s="1"/>
  <c r="M1126" i="3"/>
  <c r="D1129" i="3" s="1"/>
  <c r="G1159" i="3"/>
  <c r="F1159" i="3"/>
  <c r="E1159" i="3"/>
  <c r="D1159" i="3"/>
  <c r="D1212" i="3"/>
  <c r="D1211" i="3"/>
  <c r="E1212" i="3" s="1"/>
  <c r="E1215" i="3" s="1"/>
  <c r="F1212" i="3"/>
  <c r="F1211" i="3"/>
  <c r="G1212" i="3" s="1"/>
  <c r="F1215" i="3" s="1"/>
  <c r="H1241" i="3"/>
  <c r="G1241" i="3"/>
  <c r="F1241" i="3"/>
  <c r="E1241" i="3"/>
  <c r="C1261" i="3"/>
  <c r="C1259" i="3"/>
  <c r="C1258" i="3"/>
  <c r="D1261" i="3"/>
  <c r="D1259" i="3"/>
  <c r="D1258" i="3"/>
  <c r="H1252" i="3"/>
  <c r="D1251" i="3"/>
  <c r="G1251" i="3" s="1"/>
  <c r="E1260" i="3" s="1"/>
  <c r="B1259" i="3"/>
  <c r="L1304" i="3"/>
  <c r="U1304" i="3"/>
  <c r="Z1272" i="3"/>
  <c r="Z1275" i="3"/>
  <c r="Z1276" i="3"/>
  <c r="Z1278" i="3"/>
  <c r="Z1281" i="3"/>
  <c r="Z1282" i="3"/>
  <c r="Z1283" i="3"/>
  <c r="Z1287" i="3"/>
  <c r="Z1288" i="3"/>
  <c r="Z1289" i="3"/>
  <c r="Z1290" i="3"/>
  <c r="Z1291" i="3"/>
  <c r="Z1293" i="3"/>
  <c r="D1304" i="3"/>
  <c r="D1303" i="3"/>
  <c r="D1302" i="3"/>
  <c r="D1296" i="3"/>
  <c r="D1295" i="3"/>
  <c r="E1304" i="3"/>
  <c r="E1303" i="3"/>
  <c r="E1302" i="3"/>
  <c r="E1296" i="3"/>
  <c r="E1295" i="3"/>
  <c r="G1304" i="3"/>
  <c r="G1303" i="3"/>
  <c r="G1302" i="3"/>
  <c r="G1296" i="3"/>
  <c r="G1295" i="3"/>
  <c r="F1302" i="3"/>
  <c r="F1296" i="3"/>
  <c r="Z1295" i="3"/>
  <c r="Z1296" i="3"/>
  <c r="Z1298" i="3"/>
  <c r="Z1301" i="3"/>
  <c r="F1318" i="3"/>
  <c r="G1320" i="3" s="1"/>
  <c r="C1322" i="3" s="1"/>
  <c r="H1329" i="3"/>
  <c r="C1331" i="3" s="1"/>
  <c r="J1329" i="3"/>
  <c r="D1331" i="3" s="1"/>
  <c r="L1329" i="3"/>
  <c r="E1331" i="3" s="1"/>
  <c r="H1337" i="3"/>
  <c r="G1337" i="3"/>
  <c r="F1337" i="3"/>
  <c r="E1337" i="3"/>
  <c r="F14" i="4"/>
  <c r="E14" i="4"/>
  <c r="D14" i="4"/>
  <c r="C14" i="4"/>
  <c r="E53" i="4"/>
  <c r="F62" i="4"/>
  <c r="E62" i="4"/>
  <c r="D62" i="4"/>
  <c r="C62" i="4"/>
  <c r="G80" i="4"/>
  <c r="K72" i="4"/>
  <c r="I80" i="4"/>
  <c r="K80" i="4"/>
  <c r="P80" i="4"/>
  <c r="F95" i="4"/>
  <c r="R86" i="4"/>
  <c r="F97" i="4" s="1"/>
  <c r="F98" i="4" s="1"/>
  <c r="F114" i="4"/>
  <c r="D114" i="4"/>
  <c r="C114" i="4"/>
  <c r="E114" i="4"/>
  <c r="F121" i="4"/>
  <c r="D121" i="4"/>
  <c r="C121" i="4"/>
  <c r="E121" i="4"/>
  <c r="E132" i="4"/>
  <c r="C159" i="4"/>
  <c r="E159" i="4" s="1"/>
  <c r="E156" i="4"/>
  <c r="E160" i="4" s="1"/>
  <c r="C162" i="4" s="1"/>
  <c r="I156" i="4"/>
  <c r="F164" i="4"/>
  <c r="F163" i="4"/>
  <c r="I157" i="4"/>
  <c r="E164" i="4"/>
  <c r="E163" i="4"/>
  <c r="E185" i="4"/>
  <c r="C185" i="4"/>
  <c r="G200" i="4"/>
  <c r="G201" i="4"/>
  <c r="V9" i="7"/>
  <c r="X9" i="7" s="1"/>
  <c r="Y9" i="7" s="1"/>
  <c r="Z9" i="7" s="1"/>
  <c r="AA9" i="7" s="1"/>
  <c r="V10" i="7"/>
  <c r="X10" i="7" s="1"/>
  <c r="Y8" i="7" s="1"/>
  <c r="Z8" i="7" s="1"/>
  <c r="AA8" i="7" s="1"/>
  <c r="V11" i="7"/>
  <c r="X11" i="7" s="1"/>
  <c r="Z11" i="7" s="1"/>
  <c r="AA11" i="7" s="1"/>
  <c r="V12" i="7"/>
  <c r="X12" i="7" s="1"/>
  <c r="Z14" i="7"/>
  <c r="AA14" i="7" s="1"/>
  <c r="V15" i="7"/>
  <c r="X15" i="7" s="1"/>
  <c r="Y15" i="7" s="1"/>
  <c r="Z15" i="7" s="1"/>
  <c r="AA15" i="7" s="1"/>
  <c r="V16" i="7"/>
  <c r="X16" i="7" s="1"/>
  <c r="Y16" i="7" s="1"/>
  <c r="Z16" i="7" s="1"/>
  <c r="AA16" i="7" s="1"/>
  <c r="V17" i="7"/>
  <c r="X17" i="7" s="1"/>
  <c r="V18" i="7"/>
  <c r="X18" i="7" s="1"/>
  <c r="Y18" i="7" s="1"/>
  <c r="Z18" i="7" s="1"/>
  <c r="AA18" i="7" s="1"/>
  <c r="T26" i="7"/>
  <c r="T25" i="7"/>
  <c r="U25" i="7" s="1"/>
  <c r="T24" i="7"/>
  <c r="T23" i="7"/>
  <c r="U23" i="7" s="1"/>
  <c r="S23" i="7"/>
  <c r="U24" i="7"/>
  <c r="S24" i="7"/>
  <c r="U26" i="7"/>
  <c r="V26" i="7" s="1"/>
  <c r="X26" i="7" s="1"/>
  <c r="S26" i="7"/>
  <c r="U35" i="7"/>
  <c r="U34" i="7"/>
  <c r="U33" i="7"/>
  <c r="U32" i="7"/>
  <c r="U29" i="7"/>
  <c r="U28" i="7"/>
  <c r="U27" i="7"/>
  <c r="V27" i="7" s="1"/>
  <c r="X27" i="7" s="1"/>
  <c r="Y19" i="7" s="1"/>
  <c r="Z19" i="7" s="1"/>
  <c r="AA19" i="7" s="1"/>
  <c r="T35" i="7"/>
  <c r="T34" i="7"/>
  <c r="T33" i="7"/>
  <c r="T32" i="7"/>
  <c r="T31" i="7"/>
  <c r="U30" i="7"/>
  <c r="T30" i="7"/>
  <c r="S30" i="7"/>
  <c r="U31" i="7"/>
  <c r="V31" i="7" s="1"/>
  <c r="X31" i="7" s="1"/>
  <c r="S31" i="7"/>
  <c r="V38" i="7"/>
  <c r="X38" i="7" s="1"/>
  <c r="V39" i="7"/>
  <c r="X39" i="7" s="1"/>
  <c r="V40" i="7"/>
  <c r="X40" i="7" s="1"/>
  <c r="V41" i="7"/>
  <c r="X41" i="7" s="1"/>
  <c r="Y41" i="7" s="1"/>
  <c r="Z41" i="7" s="1"/>
  <c r="AA41" i="7" s="1"/>
  <c r="V42" i="7"/>
  <c r="X42" i="7" s="1"/>
  <c r="Z42" i="7" s="1"/>
  <c r="AA42" i="7" s="1"/>
  <c r="V43" i="7"/>
  <c r="X43" i="7" s="1"/>
  <c r="V44" i="7"/>
  <c r="X44" i="7" s="1"/>
  <c r="V45" i="7"/>
  <c r="X45" i="7" s="1"/>
  <c r="V46" i="7"/>
  <c r="X46" i="7" s="1"/>
  <c r="V47" i="7"/>
  <c r="X47" i="7" s="1"/>
  <c r="V48" i="7"/>
  <c r="X48" i="7" s="1"/>
  <c r="V49" i="7"/>
  <c r="X49" i="7" s="1"/>
  <c r="V50" i="7"/>
  <c r="X50" i="7" s="1"/>
  <c r="V51" i="7"/>
  <c r="X51" i="7" s="1"/>
  <c r="V52" i="7"/>
  <c r="X52" i="7" s="1"/>
  <c r="V53" i="7"/>
  <c r="X53" i="7" s="1"/>
  <c r="V54" i="7"/>
  <c r="X54" i="7" s="1"/>
  <c r="Z54" i="7" s="1"/>
  <c r="AA54" i="7" s="1"/>
  <c r="V55" i="7"/>
  <c r="X55" i="7" s="1"/>
  <c r="V56" i="7"/>
  <c r="X56" i="7" s="1"/>
  <c r="V57" i="7"/>
  <c r="X57" i="7" s="1"/>
  <c r="Z57" i="7" s="1"/>
  <c r="AA57" i="7" s="1"/>
  <c r="U65" i="7"/>
  <c r="V65" i="7" s="1"/>
  <c r="X65" i="7" s="1"/>
  <c r="U64" i="7"/>
  <c r="V64" i="7" s="1"/>
  <c r="X64" i="7" s="1"/>
  <c r="U63" i="7"/>
  <c r="V63" i="7" s="1"/>
  <c r="X63" i="7" s="1"/>
  <c r="U62" i="7"/>
  <c r="V62" i="7" s="1"/>
  <c r="X62" i="7" s="1"/>
  <c r="U61" i="7"/>
  <c r="V61" i="7" s="1"/>
  <c r="X61" i="7" s="1"/>
  <c r="U60" i="7"/>
  <c r="V60" i="7" s="1"/>
  <c r="X60" i="7" s="1"/>
  <c r="U59" i="7"/>
  <c r="V59" i="7" s="1"/>
  <c r="X59" i="7" s="1"/>
  <c r="U58" i="7"/>
  <c r="V58" i="7" s="1"/>
  <c r="X58" i="7" s="1"/>
  <c r="AA71" i="7"/>
  <c r="Y71" i="7"/>
  <c r="V78" i="7"/>
  <c r="X78" i="7" s="1"/>
  <c r="V80" i="7"/>
  <c r="X80" i="7" s="1"/>
  <c r="V81" i="7"/>
  <c r="X81" i="7" s="1"/>
  <c r="V82" i="7"/>
  <c r="X82" i="7" s="1"/>
  <c r="V83" i="7"/>
  <c r="X83" i="7" s="1"/>
  <c r="V84" i="7"/>
  <c r="X84" i="7" s="1"/>
  <c r="Y84" i="7" s="1"/>
  <c r="Z84" i="7" s="1"/>
  <c r="AA84" i="7" s="1"/>
  <c r="V85" i="7"/>
  <c r="X85" i="7" s="1"/>
  <c r="V86" i="7"/>
  <c r="X86" i="7" s="1"/>
  <c r="V87" i="7"/>
  <c r="X87" i="7" s="1"/>
  <c r="Z87" i="7" s="1"/>
  <c r="AA87" i="7" s="1"/>
  <c r="V88" i="7"/>
  <c r="X88" i="7" s="1"/>
  <c r="V89" i="7"/>
  <c r="X89" i="7" s="1"/>
  <c r="V90" i="7"/>
  <c r="X90" i="7" s="1"/>
  <c r="V91" i="7"/>
  <c r="X91" i="7" s="1"/>
  <c r="V92" i="7"/>
  <c r="X92" i="7" s="1"/>
  <c r="Y92" i="7" s="1"/>
  <c r="Z92" i="7" s="1"/>
  <c r="AA92" i="7" s="1"/>
  <c r="V93" i="7"/>
  <c r="X93" i="7" s="1"/>
  <c r="V94" i="7"/>
  <c r="X94" i="7" s="1"/>
  <c r="Z94" i="7" s="1"/>
  <c r="AA94" i="7" s="1"/>
  <c r="V108" i="7"/>
  <c r="X108" i="7" s="1"/>
  <c r="Z72" i="7" s="1"/>
  <c r="AA72" i="7" s="1"/>
  <c r="V109" i="7"/>
  <c r="X109" i="7" s="1"/>
  <c r="V110" i="7"/>
  <c r="X110" i="7" s="1"/>
  <c r="Z69" i="7" s="1"/>
  <c r="AA69" i="7" s="1"/>
  <c r="V111" i="7"/>
  <c r="X111" i="7" s="1"/>
  <c r="V112" i="7"/>
  <c r="X112" i="7" s="1"/>
  <c r="V113" i="7"/>
  <c r="X113" i="7" s="1"/>
  <c r="Z119" i="7"/>
  <c r="AA119" i="7" s="1"/>
  <c r="Y119" i="7"/>
  <c r="X124" i="7"/>
  <c r="V125" i="7"/>
  <c r="X125" i="7" s="1"/>
  <c r="V126" i="7"/>
  <c r="X126" i="7" s="1"/>
  <c r="V127" i="7"/>
  <c r="X127" i="7" s="1"/>
  <c r="V128" i="7"/>
  <c r="X128" i="7" s="1"/>
  <c r="X129" i="7"/>
  <c r="R954" i="7"/>
  <c r="V130" i="7"/>
  <c r="X130" i="7" s="1"/>
  <c r="R955" i="7"/>
  <c r="V131" i="7"/>
  <c r="X131" i="7" s="1"/>
  <c r="R956" i="7"/>
  <c r="V132" i="7"/>
  <c r="X132" i="7" s="1"/>
  <c r="R957" i="7"/>
  <c r="V133" i="7"/>
  <c r="X133" i="7" s="1"/>
  <c r="R958" i="7"/>
  <c r="V134" i="7"/>
  <c r="X134" i="7" s="1"/>
  <c r="R959" i="7"/>
  <c r="V135" i="7"/>
  <c r="X136" i="7"/>
  <c r="V137" i="7"/>
  <c r="X137" i="7" s="1"/>
  <c r="V138" i="7"/>
  <c r="X138" i="7" s="1"/>
  <c r="V139" i="7"/>
  <c r="X139" i="7" s="1"/>
  <c r="V140" i="7"/>
  <c r="X140" i="7" s="1"/>
  <c r="V141" i="7"/>
  <c r="X141" i="7" s="1"/>
  <c r="X142" i="7"/>
  <c r="X143" i="7"/>
  <c r="V144" i="7"/>
  <c r="X144" i="7" s="1"/>
  <c r="V145" i="7"/>
  <c r="X145" i="7" s="1"/>
  <c r="V146" i="7"/>
  <c r="X146" i="7" s="1"/>
  <c r="X147" i="7"/>
  <c r="X148" i="7"/>
  <c r="V149" i="7"/>
  <c r="X149" i="7" s="1"/>
  <c r="V150" i="7"/>
  <c r="X150" i="7" s="1"/>
  <c r="V151" i="7"/>
  <c r="X151" i="7" s="1"/>
  <c r="V152" i="7"/>
  <c r="X152" i="7" s="1"/>
  <c r="V153" i="7"/>
  <c r="X153" i="7" s="1"/>
  <c r="X154" i="7"/>
  <c r="X155" i="7"/>
  <c r="V156" i="7"/>
  <c r="X156" i="7" s="1"/>
  <c r="V157" i="7"/>
  <c r="X157" i="7" s="1"/>
  <c r="V158" i="7"/>
  <c r="X158" i="7" s="1"/>
  <c r="X159" i="7"/>
  <c r="X160" i="7"/>
  <c r="V161" i="7"/>
  <c r="X161" i="7" s="1"/>
  <c r="V162" i="7"/>
  <c r="X162" i="7" s="1"/>
  <c r="X163" i="7"/>
  <c r="V165" i="7"/>
  <c r="X165" i="7" s="1"/>
  <c r="Y165" i="7" s="1"/>
  <c r="Z165" i="7" s="1"/>
  <c r="AA165" i="7" s="1"/>
  <c r="Z168" i="7"/>
  <c r="AA168" i="7" s="1"/>
  <c r="Y168" i="7"/>
  <c r="Z174" i="7"/>
  <c r="AA174" i="7" s="1"/>
  <c r="Y171" i="7"/>
  <c r="AA172" i="7"/>
  <c r="Y172" i="7"/>
  <c r="Z172" i="7" s="1"/>
  <c r="Z175" i="7"/>
  <c r="AA175" i="7" s="1"/>
  <c r="Y175" i="7"/>
  <c r="Z176" i="7"/>
  <c r="AA176" i="7" s="1"/>
  <c r="Y176" i="7"/>
  <c r="Z214" i="7"/>
  <c r="AA214" i="7" s="1"/>
  <c r="Y214" i="7"/>
  <c r="V215" i="7"/>
  <c r="X215" i="7" s="1"/>
  <c r="Y215" i="7" s="1"/>
  <c r="Z215" i="7" s="1"/>
  <c r="AA215" i="7" s="1"/>
  <c r="V216" i="7"/>
  <c r="X216" i="7" s="1"/>
  <c r="Y216" i="7" s="1"/>
  <c r="Z216" i="7" s="1"/>
  <c r="AA216" i="7" s="1"/>
  <c r="Z222" i="7"/>
  <c r="AA222" i="7" s="1"/>
  <c r="Y222" i="7"/>
  <c r="Z224" i="7"/>
  <c r="AA224" i="7" s="1"/>
  <c r="Y224" i="7"/>
  <c r="V225" i="7"/>
  <c r="X225" i="7" s="1"/>
  <c r="Y225" i="7" s="1"/>
  <c r="Z225" i="7" s="1"/>
  <c r="AA225" i="7" s="1"/>
  <c r="V226" i="7"/>
  <c r="X226" i="7" s="1"/>
  <c r="Y226" i="7" s="1"/>
  <c r="Z226" i="7" s="1"/>
  <c r="AA226" i="7" s="1"/>
  <c r="V235" i="7"/>
  <c r="X235" i="7" s="1"/>
  <c r="Y235" i="7" s="1"/>
  <c r="Z235" i="7" s="1"/>
  <c r="AA235" i="7" s="1"/>
  <c r="AA236" i="7"/>
  <c r="Z236" i="7"/>
  <c r="V237" i="7"/>
  <c r="X237" i="7" s="1"/>
  <c r="V238" i="7"/>
  <c r="X238" i="7" s="1"/>
  <c r="V239" i="7"/>
  <c r="X239" i="7" s="1"/>
  <c r="V240" i="7"/>
  <c r="X240" i="7" s="1"/>
  <c r="V241" i="7"/>
  <c r="X241" i="7" s="1"/>
  <c r="V242" i="7"/>
  <c r="X242" i="7" s="1"/>
  <c r="AA243" i="7"/>
  <c r="Y243" i="7"/>
  <c r="Z243" i="7" s="1"/>
  <c r="Z244" i="7"/>
  <c r="AA244" i="7" s="1"/>
  <c r="V245" i="7"/>
  <c r="X245" i="7" s="1"/>
  <c r="V246" i="7"/>
  <c r="X246" i="7" s="1"/>
  <c r="Y246" i="7" s="1"/>
  <c r="Z246" i="7" s="1"/>
  <c r="AA246" i="7" s="1"/>
  <c r="V247" i="7"/>
  <c r="X247" i="7" s="1"/>
  <c r="Y247" i="7" s="1"/>
  <c r="Z247" i="7" s="1"/>
  <c r="AA247" i="7" s="1"/>
  <c r="V248" i="7"/>
  <c r="X248" i="7" s="1"/>
  <c r="Y248" i="7" s="1"/>
  <c r="Z248" i="7" s="1"/>
  <c r="AA248" i="7" s="1"/>
  <c r="V249" i="7"/>
  <c r="X249" i="7" s="1"/>
  <c r="V250" i="7"/>
  <c r="X250" i="7" s="1"/>
  <c r="V251" i="7"/>
  <c r="X251" i="7" s="1"/>
  <c r="V252" i="7"/>
  <c r="X252" i="7" s="1"/>
  <c r="Z254" i="7"/>
  <c r="AA254" i="7" s="1"/>
  <c r="V255" i="7"/>
  <c r="X255" i="7" s="1"/>
  <c r="V256" i="7"/>
  <c r="X256" i="7" s="1"/>
  <c r="Z256" i="7" s="1"/>
  <c r="AA256" i="7" s="1"/>
  <c r="V257" i="7"/>
  <c r="X257" i="7" s="1"/>
  <c r="Y257" i="7" s="1"/>
  <c r="Z257" i="7" s="1"/>
  <c r="AA257" i="7" s="1"/>
  <c r="V258" i="7"/>
  <c r="X258" i="7" s="1"/>
  <c r="V259" i="7"/>
  <c r="X259" i="7" s="1"/>
  <c r="Z259" i="7" s="1"/>
  <c r="AA259" i="7" s="1"/>
  <c r="V260" i="7"/>
  <c r="X260" i="7" s="1"/>
  <c r="V261" i="7"/>
  <c r="X261" i="7" s="1"/>
  <c r="V262" i="7"/>
  <c r="X262" i="7" s="1"/>
  <c r="V263" i="7"/>
  <c r="X263" i="7" s="1"/>
  <c r="X265" i="7"/>
  <c r="Y265" i="7" s="1"/>
  <c r="Z265" i="7" s="1"/>
  <c r="AA265" i="7" s="1"/>
  <c r="X266" i="7"/>
  <c r="X267" i="7"/>
  <c r="Y267" i="7" s="1"/>
  <c r="Z267" i="7" s="1"/>
  <c r="AA267" i="7" s="1"/>
  <c r="X268" i="7"/>
  <c r="U270" i="7"/>
  <c r="V270" i="7" s="1"/>
  <c r="X270" i="7" s="1"/>
  <c r="S270" i="7"/>
  <c r="T281" i="7"/>
  <c r="U281" i="7" s="1"/>
  <c r="T280" i="7"/>
  <c r="U280" i="7" s="1"/>
  <c r="T279" i="7"/>
  <c r="U279" i="7" s="1"/>
  <c r="T278" i="7"/>
  <c r="U278" i="7" s="1"/>
  <c r="T277" i="7"/>
  <c r="U277" i="7" s="1"/>
  <c r="T276" i="7"/>
  <c r="U276" i="7" s="1"/>
  <c r="T275" i="7"/>
  <c r="U275" i="7" s="1"/>
  <c r="T274" i="7"/>
  <c r="U274" i="7" s="1"/>
  <c r="T273" i="7"/>
  <c r="T272" i="7"/>
  <c r="T271" i="7"/>
  <c r="U271" i="7" s="1"/>
  <c r="S271" i="7"/>
  <c r="U272" i="7"/>
  <c r="S272" i="7"/>
  <c r="U273" i="7"/>
  <c r="V273" i="7" s="1"/>
  <c r="X273" i="7" s="1"/>
  <c r="S273" i="7"/>
  <c r="X282" i="7"/>
  <c r="X283" i="7"/>
  <c r="V284" i="7"/>
  <c r="X284" i="7" s="1"/>
  <c r="V285" i="7"/>
  <c r="X285" i="7" s="1"/>
  <c r="V286" i="7"/>
  <c r="X286" i="7" s="1"/>
  <c r="Y286" i="7" s="1"/>
  <c r="Z286" i="7" s="1"/>
  <c r="AA286" i="7" s="1"/>
  <c r="V287" i="7"/>
  <c r="X287" i="7" s="1"/>
  <c r="Y287" i="7" s="1"/>
  <c r="Z287" i="7" s="1"/>
  <c r="AA287" i="7" s="1"/>
  <c r="V288" i="7"/>
  <c r="X288" i="7" s="1"/>
  <c r="V289" i="7"/>
  <c r="X289" i="7" s="1"/>
  <c r="Z289" i="7" s="1"/>
  <c r="AA289" i="7" s="1"/>
  <c r="V290" i="7"/>
  <c r="X290" i="7" s="1"/>
  <c r="X291" i="7"/>
  <c r="V291" i="7"/>
  <c r="T319" i="7"/>
  <c r="U319" i="7" s="1"/>
  <c r="T318" i="7"/>
  <c r="U318" i="7" s="1"/>
  <c r="T317" i="7"/>
  <c r="U317" i="7" s="1"/>
  <c r="T316" i="7"/>
  <c r="U316" i="7" s="1"/>
  <c r="T315" i="7"/>
  <c r="U315" i="7" s="1"/>
  <c r="T314" i="7"/>
  <c r="U314" i="7" s="1"/>
  <c r="T313" i="7"/>
  <c r="U313" i="7" s="1"/>
  <c r="T312" i="7"/>
  <c r="U312" i="7" s="1"/>
  <c r="T311" i="7"/>
  <c r="U311" i="7" s="1"/>
  <c r="T310" i="7"/>
  <c r="U310" i="7" s="1"/>
  <c r="T309" i="7"/>
  <c r="U309" i="7" s="1"/>
  <c r="T308" i="7"/>
  <c r="U308" i="7" s="1"/>
  <c r="T307" i="7"/>
  <c r="U307" i="7" s="1"/>
  <c r="T306" i="7"/>
  <c r="U306" i="7" s="1"/>
  <c r="T305" i="7"/>
  <c r="U305" i="7" s="1"/>
  <c r="T304" i="7"/>
  <c r="U304" i="7" s="1"/>
  <c r="T303" i="7"/>
  <c r="U303" i="7" s="1"/>
  <c r="T302" i="7"/>
  <c r="U302" i="7" s="1"/>
  <c r="T301" i="7"/>
  <c r="U301" i="7" s="1"/>
  <c r="T300" i="7"/>
  <c r="U300" i="7" s="1"/>
  <c r="T299" i="7"/>
  <c r="U299" i="7" s="1"/>
  <c r="T298" i="7"/>
  <c r="T297" i="7"/>
  <c r="T296" i="7"/>
  <c r="T295" i="7"/>
  <c r="U295" i="7" s="1"/>
  <c r="S295" i="7"/>
  <c r="U296" i="7"/>
  <c r="S296" i="7"/>
  <c r="U297" i="7"/>
  <c r="V297" i="7" s="1"/>
  <c r="X297" i="7" s="1"/>
  <c r="S297" i="7"/>
  <c r="U298" i="7"/>
  <c r="V298" i="7" s="1"/>
  <c r="X298" i="7" s="1"/>
  <c r="Z298" i="7" s="1"/>
  <c r="AA298" i="7" s="1"/>
  <c r="S298" i="7"/>
  <c r="T337" i="7"/>
  <c r="U337" i="7" s="1"/>
  <c r="V337" i="7" s="1"/>
  <c r="X337" i="7" s="1"/>
  <c r="Y337" i="7" s="1"/>
  <c r="Z337" i="7" s="1"/>
  <c r="AA337" i="7" s="1"/>
  <c r="T336" i="7"/>
  <c r="U336" i="7" s="1"/>
  <c r="V336" i="7" s="1"/>
  <c r="X336" i="7" s="1"/>
  <c r="T335" i="7"/>
  <c r="U335" i="7" s="1"/>
  <c r="V335" i="7" s="1"/>
  <c r="X335" i="7" s="1"/>
  <c r="Y335" i="7" s="1"/>
  <c r="Z335" i="7" s="1"/>
  <c r="AA335" i="7" s="1"/>
  <c r="T334" i="7"/>
  <c r="U334" i="7" s="1"/>
  <c r="V334" i="7" s="1"/>
  <c r="X334" i="7" s="1"/>
  <c r="Y334" i="7" s="1"/>
  <c r="Z334" i="7" s="1"/>
  <c r="AA334" i="7" s="1"/>
  <c r="T333" i="7"/>
  <c r="T332" i="7"/>
  <c r="T330" i="7"/>
  <c r="U330" i="7" s="1"/>
  <c r="V330" i="7" s="1"/>
  <c r="X330" i="7" s="1"/>
  <c r="Y330" i="7" s="1"/>
  <c r="Z330" i="7" s="1"/>
  <c r="AA330" i="7" s="1"/>
  <c r="S330" i="7"/>
  <c r="U331" i="7"/>
  <c r="V331" i="7" s="1"/>
  <c r="X331" i="7" s="1"/>
  <c r="Y331" i="7" s="1"/>
  <c r="Z331" i="7" s="1"/>
  <c r="AA331" i="7" s="1"/>
  <c r="S331" i="7"/>
  <c r="U332" i="7"/>
  <c r="V332" i="7" s="1"/>
  <c r="X332" i="7" s="1"/>
  <c r="Y332" i="7" s="1"/>
  <c r="Z332" i="7" s="1"/>
  <c r="AA332" i="7" s="1"/>
  <c r="S332" i="7"/>
  <c r="U333" i="7"/>
  <c r="V333" i="7" s="1"/>
  <c r="X333" i="7" s="1"/>
  <c r="Y333" i="7" s="1"/>
  <c r="Z333" i="7" s="1"/>
  <c r="AA333" i="7" s="1"/>
  <c r="S333" i="7"/>
  <c r="AA348" i="7"/>
  <c r="Y348" i="7"/>
  <c r="Z348" i="7" s="1"/>
  <c r="AA352" i="7"/>
  <c r="Y352" i="7"/>
  <c r="Z352" i="7" s="1"/>
  <c r="AA353" i="7"/>
  <c r="Y353" i="7"/>
  <c r="Z353" i="7" s="1"/>
  <c r="AA359" i="7"/>
  <c r="Y359" i="7"/>
  <c r="Z359" i="7" s="1"/>
  <c r="AA360" i="7"/>
  <c r="Y360" i="7"/>
  <c r="Z360" i="7" s="1"/>
  <c r="X365" i="7"/>
  <c r="V365" i="7"/>
  <c r="V367" i="7"/>
  <c r="X367" i="7" s="1"/>
  <c r="Y367" i="7" s="1"/>
  <c r="Z367" i="7" s="1"/>
  <c r="AA367" i="7" s="1"/>
  <c r="AA368" i="7"/>
  <c r="Z368" i="7"/>
  <c r="V370" i="7"/>
  <c r="X370" i="7" s="1"/>
  <c r="V371" i="7"/>
  <c r="X371" i="7" s="1"/>
  <c r="Y371" i="7" s="1"/>
  <c r="Z371" i="7" s="1"/>
  <c r="AA371" i="7" s="1"/>
  <c r="V372" i="7"/>
  <c r="X372" i="7" s="1"/>
  <c r="V373" i="7"/>
  <c r="X373" i="7" s="1"/>
  <c r="Z373" i="7" s="1"/>
  <c r="AA373" i="7" s="1"/>
  <c r="V374" i="7"/>
  <c r="X374" i="7" s="1"/>
  <c r="Y374" i="7" s="1"/>
  <c r="Z374" i="7" s="1"/>
  <c r="AA374" i="7" s="1"/>
  <c r="V375" i="7"/>
  <c r="X375" i="7" s="1"/>
  <c r="Y375" i="7" s="1"/>
  <c r="Z375" i="7" s="1"/>
  <c r="AA375" i="7" s="1"/>
  <c r="V376" i="7"/>
  <c r="X376" i="7" s="1"/>
  <c r="Y376" i="7" s="1"/>
  <c r="Z376" i="7" s="1"/>
  <c r="AA376" i="7" s="1"/>
  <c r="V377" i="7"/>
  <c r="X377" i="7" s="1"/>
  <c r="Z378" i="7"/>
  <c r="AA378" i="7" s="1"/>
  <c r="V379" i="7"/>
  <c r="X379" i="7" s="1"/>
  <c r="V381" i="7"/>
  <c r="X381" i="7" s="1"/>
  <c r="V382" i="7"/>
  <c r="X382" i="7" s="1"/>
  <c r="V383" i="7"/>
  <c r="X383" i="7" s="1"/>
  <c r="V384" i="7"/>
  <c r="X384" i="7" s="1"/>
  <c r="V387" i="7"/>
  <c r="X387" i="7" s="1"/>
  <c r="V388" i="7"/>
  <c r="X388" i="7" s="1"/>
  <c r="V389" i="7"/>
  <c r="X389" i="7" s="1"/>
  <c r="V390" i="7"/>
  <c r="X390" i="7" s="1"/>
  <c r="V391" i="7"/>
  <c r="X391" i="7" s="1"/>
  <c r="V392" i="7"/>
  <c r="X392" i="7" s="1"/>
  <c r="V393" i="7"/>
  <c r="X393" i="7" s="1"/>
  <c r="V395" i="7"/>
  <c r="X395" i="7" s="1"/>
  <c r="V397" i="7"/>
  <c r="X397" i="7" s="1"/>
  <c r="V398" i="7"/>
  <c r="X398" i="7" s="1"/>
  <c r="V399" i="7"/>
  <c r="X399" i="7" s="1"/>
  <c r="V400" i="7"/>
  <c r="X400" i="7" s="1"/>
  <c r="V401" i="7"/>
  <c r="X401" i="7" s="1"/>
  <c r="V404" i="7"/>
  <c r="X404" i="7" s="1"/>
  <c r="V405" i="7"/>
  <c r="X405" i="7" s="1"/>
  <c r="V406" i="7"/>
  <c r="X406" i="7" s="1"/>
  <c r="V407" i="7"/>
  <c r="X407" i="7" s="1"/>
  <c r="V408" i="7"/>
  <c r="X408" i="7" s="1"/>
  <c r="V409" i="7"/>
  <c r="X409" i="7" s="1"/>
  <c r="V410" i="7"/>
  <c r="X410" i="7" s="1"/>
  <c r="V413" i="7"/>
  <c r="X413" i="7" s="1"/>
  <c r="V414" i="7"/>
  <c r="X414" i="7" s="1"/>
  <c r="V415" i="7"/>
  <c r="X415" i="7" s="1"/>
  <c r="V416" i="7"/>
  <c r="X416" i="7" s="1"/>
  <c r="V417" i="7"/>
  <c r="X417" i="7" s="1"/>
  <c r="V418" i="7"/>
  <c r="X418" i="7" s="1"/>
  <c r="V419" i="7"/>
  <c r="X419" i="7" s="1"/>
  <c r="Z433" i="7"/>
  <c r="AA433" i="7" s="1"/>
  <c r="Y433" i="7"/>
  <c r="V444" i="7"/>
  <c r="X444" i="7" s="1"/>
  <c r="V445" i="7"/>
  <c r="X445" i="7" s="1"/>
  <c r="Y445" i="7" s="1"/>
  <c r="Z445" i="7" s="1"/>
  <c r="AA445" i="7" s="1"/>
  <c r="V446" i="7"/>
  <c r="X446" i="7" s="1"/>
  <c r="V447" i="7"/>
  <c r="X447" i="7" s="1"/>
  <c r="V448" i="7"/>
  <c r="X448" i="7" s="1"/>
  <c r="V450" i="7"/>
  <c r="X450" i="7" s="1"/>
  <c r="V451" i="7"/>
  <c r="X451" i="7" s="1"/>
  <c r="V452" i="7"/>
  <c r="X452" i="7" s="1"/>
  <c r="V453" i="7"/>
  <c r="X453" i="7" s="1"/>
  <c r="V454" i="7"/>
  <c r="X454" i="7" s="1"/>
  <c r="Y454" i="7" s="1"/>
  <c r="Z454" i="7" s="1"/>
  <c r="AA454" i="7" s="1"/>
  <c r="V455" i="7"/>
  <c r="X455" i="7" s="1"/>
  <c r="V456" i="7"/>
  <c r="X456" i="7" s="1"/>
  <c r="Y456" i="7" s="1"/>
  <c r="Z456" i="7" s="1"/>
  <c r="AA456" i="7" s="1"/>
  <c r="V457" i="7"/>
  <c r="X457" i="7" s="1"/>
  <c r="V458" i="7"/>
  <c r="X458" i="7" s="1"/>
  <c r="Z458" i="7" s="1"/>
  <c r="AA458" i="7" s="1"/>
  <c r="V459" i="7"/>
  <c r="X459" i="7" s="1"/>
  <c r="V460" i="7"/>
  <c r="X460" i="7" s="1"/>
  <c r="V461" i="7"/>
  <c r="X461" i="7" s="1"/>
  <c r="V462" i="7"/>
  <c r="X462" i="7" s="1"/>
  <c r="AA463" i="7"/>
  <c r="Y463" i="7"/>
  <c r="Z463" i="7" s="1"/>
  <c r="AA464" i="7"/>
  <c r="Y464" i="7"/>
  <c r="Z464" i="7" s="1"/>
  <c r="AA465" i="7"/>
  <c r="Y465" i="7"/>
  <c r="Z465" i="7" s="1"/>
  <c r="X466" i="7"/>
  <c r="X467" i="7"/>
  <c r="X468" i="7"/>
  <c r="X469" i="7"/>
  <c r="Y469" i="7" s="1"/>
  <c r="Z469" i="7" s="1"/>
  <c r="AA469" i="7" s="1"/>
  <c r="X470" i="7"/>
  <c r="X471" i="7"/>
  <c r="X472" i="7"/>
  <c r="X473" i="7"/>
  <c r="X474" i="7"/>
  <c r="Y474" i="7" s="1"/>
  <c r="Z474" i="7" s="1"/>
  <c r="AA474" i="7" s="1"/>
  <c r="T479" i="7"/>
  <c r="T478" i="7"/>
  <c r="T477" i="7"/>
  <c r="T475" i="7"/>
  <c r="U475" i="7" s="1"/>
  <c r="S475" i="7"/>
  <c r="U476" i="7"/>
  <c r="S476" i="7"/>
  <c r="U477" i="7"/>
  <c r="S477" i="7"/>
  <c r="U478" i="7"/>
  <c r="S478" i="7"/>
  <c r="U479" i="7"/>
  <c r="S479" i="7"/>
  <c r="X480" i="7"/>
  <c r="Y480" i="7" s="1"/>
  <c r="V480" i="7"/>
  <c r="X481" i="7"/>
  <c r="Y481" i="7" s="1"/>
  <c r="Z481" i="7" s="1"/>
  <c r="AA481" i="7" s="1"/>
  <c r="V481" i="7"/>
  <c r="X482" i="7"/>
  <c r="Y482" i="7" s="1"/>
  <c r="Z482" i="7" s="1"/>
  <c r="AA482" i="7" s="1"/>
  <c r="V482" i="7"/>
  <c r="X483" i="7"/>
  <c r="Y483" i="7" s="1"/>
  <c r="Z483" i="7" s="1"/>
  <c r="AA483" i="7" s="1"/>
  <c r="V483" i="7"/>
  <c r="X484" i="7"/>
  <c r="Y484" i="7" s="1"/>
  <c r="Z484" i="7" s="1"/>
  <c r="AA484" i="7" s="1"/>
  <c r="V484" i="7"/>
  <c r="X485" i="7"/>
  <c r="Y485" i="7" s="1"/>
  <c r="Z485" i="7" s="1"/>
  <c r="AA485" i="7" s="1"/>
  <c r="V485" i="7"/>
  <c r="X486" i="7"/>
  <c r="Y486" i="7" s="1"/>
  <c r="Z486" i="7" s="1"/>
  <c r="AA486" i="7" s="1"/>
  <c r="V486" i="7"/>
  <c r="X487" i="7"/>
  <c r="X488" i="7"/>
  <c r="X489" i="7"/>
  <c r="X490" i="7"/>
  <c r="X491" i="7"/>
  <c r="X492" i="7"/>
  <c r="X493" i="7"/>
  <c r="X494" i="7"/>
  <c r="X495" i="7"/>
  <c r="Z495" i="7" s="1"/>
  <c r="AA495" i="7" s="1"/>
  <c r="X496" i="7"/>
  <c r="X497" i="7"/>
  <c r="Z497" i="7" s="1"/>
  <c r="AA497" i="7" s="1"/>
  <c r="X498" i="7"/>
  <c r="X499" i="7"/>
  <c r="X500" i="7"/>
  <c r="X501" i="7"/>
  <c r="X502" i="7"/>
  <c r="X503" i="7"/>
  <c r="X504" i="7"/>
  <c r="Y504" i="7" s="1"/>
  <c r="Z504" i="7" s="1"/>
  <c r="AA504" i="7" s="1"/>
  <c r="X505" i="7"/>
  <c r="X506" i="7"/>
  <c r="X507" i="7"/>
  <c r="X508" i="7"/>
  <c r="X509" i="7"/>
  <c r="X510" i="7"/>
  <c r="X511" i="7"/>
  <c r="X512" i="7"/>
  <c r="X513" i="7"/>
  <c r="X514" i="7"/>
  <c r="X515" i="7"/>
  <c r="X516" i="7"/>
  <c r="Y516" i="7" s="1"/>
  <c r="Z516" i="7" s="1"/>
  <c r="AA516" i="7" s="1"/>
  <c r="T520" i="7"/>
  <c r="U520" i="7" s="1"/>
  <c r="V520" i="7" s="1"/>
  <c r="X520" i="7" s="1"/>
  <c r="Z520" i="7" s="1"/>
  <c r="AA520" i="7" s="1"/>
  <c r="T519" i="7"/>
  <c r="U519" i="7" s="1"/>
  <c r="V519" i="7" s="1"/>
  <c r="X519" i="7" s="1"/>
  <c r="T518" i="7"/>
  <c r="T517" i="7"/>
  <c r="U517" i="7" s="1"/>
  <c r="V517" i="7" s="1"/>
  <c r="X517" i="7" s="1"/>
  <c r="S517" i="7"/>
  <c r="U518" i="7"/>
  <c r="V518" i="7" s="1"/>
  <c r="X518" i="7" s="1"/>
  <c r="S518" i="7"/>
  <c r="X521" i="7"/>
  <c r="Y521" i="7" s="1"/>
  <c r="Z521" i="7" s="1"/>
  <c r="AA521" i="7" s="1"/>
  <c r="X522" i="7"/>
  <c r="X523" i="7"/>
  <c r="Z523" i="7" s="1"/>
  <c r="AA523" i="7" s="1"/>
  <c r="X524" i="7"/>
  <c r="X525" i="7"/>
  <c r="X526" i="7"/>
  <c r="Y526" i="7" s="1"/>
  <c r="X527" i="7"/>
  <c r="Y527" i="7" s="1"/>
  <c r="Z527" i="7" s="1"/>
  <c r="AA527" i="7" s="1"/>
  <c r="X528" i="7"/>
  <c r="Y528" i="7" s="1"/>
  <c r="AA528" i="7" s="1"/>
  <c r="X529" i="7"/>
  <c r="X530" i="7"/>
  <c r="X531" i="7"/>
  <c r="X532" i="7"/>
  <c r="X533" i="7"/>
  <c r="X534" i="7"/>
  <c r="X535" i="7"/>
  <c r="X536" i="7"/>
  <c r="X537" i="7"/>
  <c r="X538" i="7"/>
  <c r="X539" i="7"/>
  <c r="X540" i="7"/>
  <c r="X541" i="7"/>
  <c r="X542" i="7"/>
  <c r="X543" i="7"/>
  <c r="X544" i="7"/>
  <c r="X545" i="7"/>
  <c r="X546" i="7"/>
  <c r="X547" i="7"/>
  <c r="X548" i="7"/>
  <c r="Z549" i="7"/>
  <c r="AA549" i="7" s="1"/>
  <c r="Y549" i="7"/>
  <c r="V550" i="7"/>
  <c r="X550" i="7" s="1"/>
  <c r="Y550" i="7" s="1"/>
  <c r="Z550" i="7" s="1"/>
  <c r="AA550" i="7" s="1"/>
  <c r="V551" i="7"/>
  <c r="X551" i="7" s="1"/>
  <c r="Y551" i="7" s="1"/>
  <c r="Z551" i="7" s="1"/>
  <c r="AA551" i="7" s="1"/>
  <c r="V552" i="7"/>
  <c r="X552" i="7" s="1"/>
  <c r="Y552" i="7" s="1"/>
  <c r="Z552" i="7" s="1"/>
  <c r="AA552" i="7" s="1"/>
  <c r="Z554" i="7"/>
  <c r="AA554" i="7" s="1"/>
  <c r="V555" i="7"/>
  <c r="X555" i="7" s="1"/>
  <c r="V556" i="7"/>
  <c r="X556" i="7" s="1"/>
  <c r="V557" i="7"/>
  <c r="X557" i="7" s="1"/>
  <c r="V562" i="7"/>
  <c r="X562" i="7" s="1"/>
  <c r="Y562" i="7" s="1"/>
  <c r="Z562" i="7" s="1"/>
  <c r="AA562" i="7" s="1"/>
  <c r="V564" i="7"/>
  <c r="X564" i="7" s="1"/>
  <c r="V565" i="7"/>
  <c r="X565" i="7" s="1"/>
  <c r="V566" i="7"/>
  <c r="X566" i="7" s="1"/>
  <c r="V567" i="7"/>
  <c r="X567" i="7" s="1"/>
  <c r="V568" i="7"/>
  <c r="X568" i="7" s="1"/>
  <c r="V569" i="7"/>
  <c r="X569" i="7" s="1"/>
  <c r="V570" i="7"/>
  <c r="X570" i="7" s="1"/>
  <c r="V571" i="7"/>
  <c r="X571" i="7" s="1"/>
  <c r="V572" i="7"/>
  <c r="X572" i="7" s="1"/>
  <c r="V573" i="7"/>
  <c r="X573" i="7" s="1"/>
  <c r="V574" i="7"/>
  <c r="X574" i="7" s="1"/>
  <c r="Z574" i="7" s="1"/>
  <c r="AA574" i="7" s="1"/>
  <c r="V575" i="7"/>
  <c r="X575" i="7" s="1"/>
  <c r="V576" i="7"/>
  <c r="X576" i="7" s="1"/>
  <c r="V577" i="7"/>
  <c r="X577" i="7" s="1"/>
  <c r="V578" i="7"/>
  <c r="X578" i="7" s="1"/>
  <c r="V579" i="7"/>
  <c r="X579" i="7" s="1"/>
  <c r="V580" i="7"/>
  <c r="X580" i="7" s="1"/>
  <c r="Z580" i="7" s="1"/>
  <c r="V582" i="7"/>
  <c r="X582" i="7" s="1"/>
  <c r="V584" i="7"/>
  <c r="X584" i="7" s="1"/>
  <c r="Y584" i="7" s="1"/>
  <c r="Z584" i="7" s="1"/>
  <c r="AA584" i="7" s="1"/>
  <c r="V585" i="7"/>
  <c r="X585" i="7" s="1"/>
  <c r="V586" i="7"/>
  <c r="X586" i="7" s="1"/>
  <c r="V587" i="7"/>
  <c r="X587" i="7" s="1"/>
  <c r="Y587" i="7" s="1"/>
  <c r="Z587" i="7" s="1"/>
  <c r="AA587" i="7" s="1"/>
  <c r="V588" i="7"/>
  <c r="X588" i="7" s="1"/>
  <c r="V589" i="7"/>
  <c r="X589" i="7" s="1"/>
  <c r="Z589" i="7" s="1"/>
  <c r="AA589" i="7" s="1"/>
  <c r="V590" i="7"/>
  <c r="X590" i="7" s="1"/>
  <c r="V591" i="7"/>
  <c r="X591" i="7" s="1"/>
  <c r="Z591" i="7" s="1"/>
  <c r="AA591" i="7" s="1"/>
  <c r="V592" i="7"/>
  <c r="X592" i="7" s="1"/>
  <c r="V593" i="7"/>
  <c r="X593" i="7" s="1"/>
  <c r="V594" i="7"/>
  <c r="X594" i="7" s="1"/>
  <c r="X595" i="7"/>
  <c r="V596" i="7"/>
  <c r="X596" i="7" s="1"/>
  <c r="X597" i="7"/>
  <c r="V598" i="7"/>
  <c r="X598" i="7" s="1"/>
  <c r="V599" i="7"/>
  <c r="X599" i="7" s="1"/>
  <c r="V600" i="7"/>
  <c r="X600" i="7" s="1"/>
  <c r="V601" i="7"/>
  <c r="X601" i="7" s="1"/>
  <c r="V602" i="7"/>
  <c r="X602" i="7" s="1"/>
  <c r="V603" i="7"/>
  <c r="X603" i="7" s="1"/>
  <c r="V604" i="7"/>
  <c r="X604" i="7" s="1"/>
  <c r="V605" i="7"/>
  <c r="X605" i="7" s="1"/>
  <c r="V606" i="7"/>
  <c r="X606" i="7" s="1"/>
  <c r="V607" i="7"/>
  <c r="X607" i="7" s="1"/>
  <c r="V608" i="7"/>
  <c r="X608" i="7" s="1"/>
  <c r="X609" i="7"/>
  <c r="V610" i="7"/>
  <c r="X610" i="7" s="1"/>
  <c r="X611" i="7"/>
  <c r="V612" i="7"/>
  <c r="X612" i="7" s="1"/>
  <c r="V613" i="7"/>
  <c r="X613" i="7" s="1"/>
  <c r="V614" i="7"/>
  <c r="X614" i="7" s="1"/>
  <c r="V615" i="7"/>
  <c r="X615" i="7" s="1"/>
  <c r="V616" i="7"/>
  <c r="X616" i="7" s="1"/>
  <c r="V617" i="7"/>
  <c r="X617" i="7" s="1"/>
  <c r="V618" i="7"/>
  <c r="X618" i="7" s="1"/>
  <c r="V619" i="7"/>
  <c r="X619" i="7" s="1"/>
  <c r="V620" i="7"/>
  <c r="X620" i="7" s="1"/>
  <c r="X621" i="7"/>
  <c r="V622" i="7"/>
  <c r="X622" i="7" s="1"/>
  <c r="X623" i="7"/>
  <c r="V624" i="7"/>
  <c r="X624" i="7" s="1"/>
  <c r="V625" i="7"/>
  <c r="X625" i="7" s="1"/>
  <c r="V626" i="7"/>
  <c r="X626" i="7" s="1"/>
  <c r="V627" i="7"/>
  <c r="X627" i="7" s="1"/>
  <c r="V628" i="7"/>
  <c r="X628" i="7" s="1"/>
  <c r="V629" i="7"/>
  <c r="X629" i="7" s="1"/>
  <c r="V630" i="7"/>
  <c r="X630" i="7" s="1"/>
  <c r="V631" i="7"/>
  <c r="X631" i="7" s="1"/>
  <c r="V632" i="7"/>
  <c r="X632" i="7" s="1"/>
  <c r="V633" i="7"/>
  <c r="X633" i="7" s="1"/>
  <c r="V634" i="7"/>
  <c r="X634" i="7" s="1"/>
  <c r="V635" i="7"/>
  <c r="X635" i="7" s="1"/>
  <c r="Y635" i="7" s="1"/>
  <c r="Z635" i="7" s="1"/>
  <c r="AA635" i="7" s="1"/>
  <c r="V636" i="7"/>
  <c r="X636" i="7" s="1"/>
  <c r="V637" i="7"/>
  <c r="X637" i="7" s="1"/>
  <c r="V638" i="7"/>
  <c r="X638" i="7" s="1"/>
  <c r="X640" i="7"/>
  <c r="T663" i="7"/>
  <c r="U663" i="7" s="1"/>
  <c r="T662" i="7"/>
  <c r="U662" i="7" s="1"/>
  <c r="T661" i="7"/>
  <c r="U661" i="7" s="1"/>
  <c r="T660" i="7"/>
  <c r="U660" i="7" s="1"/>
  <c r="T659" i="7"/>
  <c r="U659" i="7" s="1"/>
  <c r="T658" i="7"/>
  <c r="U658" i="7" s="1"/>
  <c r="T657" i="7"/>
  <c r="U657" i="7" s="1"/>
  <c r="T656" i="7"/>
  <c r="U656" i="7" s="1"/>
  <c r="T655" i="7"/>
  <c r="U655" i="7" s="1"/>
  <c r="T654" i="7"/>
  <c r="U654" i="7" s="1"/>
  <c r="T653" i="7"/>
  <c r="U653" i="7" s="1"/>
  <c r="T652" i="7"/>
  <c r="U652" i="7" s="1"/>
  <c r="T651" i="7"/>
  <c r="U651" i="7" s="1"/>
  <c r="T650" i="7"/>
  <c r="T649" i="7"/>
  <c r="T648" i="7"/>
  <c r="T647" i="7"/>
  <c r="T646" i="7"/>
  <c r="T645" i="7"/>
  <c r="U645" i="7" s="1"/>
  <c r="S645" i="7"/>
  <c r="U646" i="7"/>
  <c r="S646" i="7"/>
  <c r="U647" i="7"/>
  <c r="S647" i="7"/>
  <c r="U648" i="7"/>
  <c r="S648" i="7"/>
  <c r="U649" i="7"/>
  <c r="S649" i="7"/>
  <c r="U650" i="7"/>
  <c r="V650" i="7" s="1"/>
  <c r="X650" i="7" s="1"/>
  <c r="S650" i="7"/>
  <c r="X664" i="7"/>
  <c r="X665" i="7"/>
  <c r="V666" i="7"/>
  <c r="X666" i="7" s="1"/>
  <c r="V667" i="7"/>
  <c r="X667" i="7" s="1"/>
  <c r="V668" i="7"/>
  <c r="X668" i="7" s="1"/>
  <c r="V669" i="7"/>
  <c r="X669" i="7" s="1"/>
  <c r="V670" i="7"/>
  <c r="X670" i="7" s="1"/>
  <c r="V671" i="7"/>
  <c r="X671" i="7" s="1"/>
  <c r="V672" i="7"/>
  <c r="X672" i="7" s="1"/>
  <c r="V673" i="7"/>
  <c r="X673" i="7" s="1"/>
  <c r="V674" i="7"/>
  <c r="X674" i="7" s="1"/>
  <c r="V675" i="7"/>
  <c r="X675" i="7" s="1"/>
  <c r="V676" i="7"/>
  <c r="X676" i="7" s="1"/>
  <c r="X677" i="7"/>
  <c r="V678" i="7"/>
  <c r="X678" i="7" s="1"/>
  <c r="X679" i="7"/>
  <c r="V680" i="7"/>
  <c r="X680" i="7" s="1"/>
  <c r="V681" i="7"/>
  <c r="X681" i="7" s="1"/>
  <c r="V682" i="7"/>
  <c r="X682" i="7" s="1"/>
  <c r="V683" i="7"/>
  <c r="X683" i="7" s="1"/>
  <c r="Z683" i="7" s="1"/>
  <c r="AA683" i="7" s="1"/>
  <c r="V684" i="7"/>
  <c r="X684" i="7" s="1"/>
  <c r="V685" i="7"/>
  <c r="X685" i="7" s="1"/>
  <c r="V686" i="7"/>
  <c r="X686" i="7" s="1"/>
  <c r="V687" i="7"/>
  <c r="X687" i="7" s="1"/>
  <c r="V688" i="7"/>
  <c r="X688" i="7" s="1"/>
  <c r="V689" i="7"/>
  <c r="X689" i="7" s="1"/>
  <c r="V690" i="7"/>
  <c r="X690" i="7" s="1"/>
  <c r="V691" i="7"/>
  <c r="X691" i="7" s="1"/>
  <c r="V692" i="7"/>
  <c r="X692" i="7" s="1"/>
  <c r="V693" i="7"/>
  <c r="X693" i="7" s="1"/>
  <c r="V694" i="7"/>
  <c r="X694" i="7" s="1"/>
  <c r="V695" i="7"/>
  <c r="X695" i="7" s="1"/>
  <c r="V696" i="7"/>
  <c r="X696" i="7" s="1"/>
  <c r="Z701" i="7"/>
  <c r="AA701" i="7" s="1"/>
  <c r="Y701" i="7"/>
  <c r="Z702" i="7"/>
  <c r="AA702" i="7" s="1"/>
  <c r="Y702" i="7"/>
  <c r="Z703" i="7"/>
  <c r="AA703" i="7" s="1"/>
  <c r="Y703" i="7"/>
  <c r="Z704" i="7"/>
  <c r="AA704" i="7" s="1"/>
  <c r="Y704" i="7"/>
  <c r="Z706" i="7"/>
  <c r="AA706" i="7" s="1"/>
  <c r="Y706" i="7"/>
  <c r="X707" i="7"/>
  <c r="X708" i="7"/>
  <c r="X709" i="7"/>
  <c r="X710" i="7"/>
  <c r="X711" i="7"/>
  <c r="X712" i="7"/>
  <c r="X713" i="7"/>
  <c r="Z713" i="7" s="1"/>
  <c r="AA713" i="7" s="1"/>
  <c r="X714" i="7"/>
  <c r="X715" i="7"/>
  <c r="X716" i="7"/>
  <c r="X717" i="7"/>
  <c r="Z717" i="7" s="1"/>
  <c r="AA717" i="7" s="1"/>
  <c r="X718" i="7"/>
  <c r="Z718" i="7" s="1"/>
  <c r="AA718" i="7" s="1"/>
  <c r="X719" i="7"/>
  <c r="X720" i="7"/>
  <c r="X721" i="7"/>
  <c r="Z721" i="7" s="1"/>
  <c r="AA721" i="7" s="1"/>
  <c r="X722" i="7"/>
  <c r="X723" i="7"/>
  <c r="X724" i="7"/>
  <c r="Z724" i="7" s="1"/>
  <c r="AA724" i="7" s="1"/>
  <c r="X725" i="7"/>
  <c r="X726" i="7"/>
  <c r="X727" i="7"/>
  <c r="X728" i="7"/>
  <c r="X729" i="7"/>
  <c r="X730" i="7"/>
  <c r="X731" i="7"/>
  <c r="X732" i="7"/>
  <c r="X733" i="7"/>
  <c r="Z733" i="7" s="1"/>
  <c r="AA733" i="7" s="1"/>
  <c r="X734" i="7"/>
  <c r="X735" i="7"/>
  <c r="X736" i="7"/>
  <c r="X737" i="7"/>
  <c r="X738" i="7"/>
  <c r="X739" i="7"/>
  <c r="X740" i="7"/>
  <c r="X741" i="7"/>
  <c r="X742" i="7"/>
  <c r="X743" i="7"/>
  <c r="X744" i="7"/>
  <c r="V746" i="7"/>
  <c r="X746" i="7" s="1"/>
  <c r="V748" i="7"/>
  <c r="X748" i="7" s="1"/>
  <c r="V749" i="7"/>
  <c r="X749" i="7" s="1"/>
  <c r="V750" i="7"/>
  <c r="X750" i="7" s="1"/>
  <c r="V752" i="7"/>
  <c r="X752" i="7" s="1"/>
  <c r="V754" i="7"/>
  <c r="X754" i="7" s="1"/>
  <c r="V755" i="7"/>
  <c r="X755" i="7" s="1"/>
  <c r="V756" i="7"/>
  <c r="X756" i="7" s="1"/>
  <c r="V757" i="7"/>
  <c r="X757" i="7" s="1"/>
  <c r="V758" i="7"/>
  <c r="X758" i="7" s="1"/>
  <c r="V759" i="7"/>
  <c r="X759" i="7" s="1"/>
  <c r="Y759" i="7" s="1"/>
  <c r="Z759" i="7" s="1"/>
  <c r="AA759" i="7" s="1"/>
  <c r="V760" i="7"/>
  <c r="X760" i="7" s="1"/>
  <c r="V761" i="7"/>
  <c r="X761" i="7" s="1"/>
  <c r="Y761" i="7" s="1"/>
  <c r="Z761" i="7" s="1"/>
  <c r="AA761" i="7" s="1"/>
  <c r="V762" i="7"/>
  <c r="X762" i="7" s="1"/>
  <c r="V763" i="7"/>
  <c r="X763" i="7" s="1"/>
  <c r="V764" i="7"/>
  <c r="X764" i="7" s="1"/>
  <c r="V765" i="7"/>
  <c r="X765" i="7" s="1"/>
  <c r="V766" i="7"/>
  <c r="X766" i="7" s="1"/>
  <c r="Y766" i="7" s="1"/>
  <c r="Z766" i="7" s="1"/>
  <c r="AA766" i="7" s="1"/>
  <c r="V767" i="7"/>
  <c r="X767" i="7" s="1"/>
  <c r="Y767" i="7" s="1"/>
  <c r="Z767" i="7" s="1"/>
  <c r="AA767" i="7" s="1"/>
  <c r="V768" i="7"/>
  <c r="X768" i="7" s="1"/>
  <c r="V769" i="7"/>
  <c r="X769" i="7" s="1"/>
  <c r="V770" i="7"/>
  <c r="X770" i="7" s="1"/>
  <c r="Z770" i="7" s="1"/>
  <c r="AA770" i="7" s="1"/>
  <c r="V771" i="7"/>
  <c r="X771" i="7" s="1"/>
  <c r="V772" i="7"/>
  <c r="X772" i="7" s="1"/>
  <c r="V773" i="7"/>
  <c r="X773" i="7" s="1"/>
  <c r="V774" i="7"/>
  <c r="X774" i="7" s="1"/>
  <c r="V776" i="7"/>
  <c r="X776" i="7" s="1"/>
  <c r="V778" i="7"/>
  <c r="X778" i="7" s="1"/>
  <c r="V779" i="7"/>
  <c r="X779" i="7" s="1"/>
  <c r="V780" i="7"/>
  <c r="X780" i="7" s="1"/>
  <c r="V781" i="7"/>
  <c r="X781" i="7" s="1"/>
  <c r="V782" i="7"/>
  <c r="X782" i="7" s="1"/>
  <c r="V783" i="7"/>
  <c r="X783" i="7" s="1"/>
  <c r="V784" i="7"/>
  <c r="X784" i="7" s="1"/>
  <c r="V785" i="7"/>
  <c r="X785" i="7" s="1"/>
  <c r="V786" i="7"/>
  <c r="X786" i="7" s="1"/>
  <c r="V787" i="7"/>
  <c r="X787" i="7" s="1"/>
  <c r="V788" i="7"/>
  <c r="X788" i="7" s="1"/>
  <c r="V789" i="7"/>
  <c r="X789" i="7" s="1"/>
  <c r="V790" i="7"/>
  <c r="X790" i="7" s="1"/>
  <c r="V791" i="7"/>
  <c r="X791" i="7" s="1"/>
  <c r="V792" i="7"/>
  <c r="X792" i="7" s="1"/>
  <c r="V795" i="7"/>
  <c r="X795" i="7" s="1"/>
  <c r="V796" i="7"/>
  <c r="X796" i="7" s="1"/>
  <c r="V797" i="7"/>
  <c r="X797" i="7" s="1"/>
  <c r="V798" i="7"/>
  <c r="X798" i="7" s="1"/>
  <c r="V799" i="7"/>
  <c r="X799" i="7" s="1"/>
  <c r="V800" i="7"/>
  <c r="X800" i="7" s="1"/>
  <c r="V801" i="7"/>
  <c r="X801" i="7" s="1"/>
  <c r="V802" i="7"/>
  <c r="X802" i="7" s="1"/>
  <c r="V803" i="7"/>
  <c r="X803" i="7" s="1"/>
  <c r="V804" i="7"/>
  <c r="X804" i="7" s="1"/>
  <c r="V805" i="7"/>
  <c r="X805" i="7" s="1"/>
  <c r="V806" i="7"/>
  <c r="X806" i="7" s="1"/>
  <c r="V807" i="7"/>
  <c r="X807" i="7" s="1"/>
  <c r="Y807" i="7" s="1"/>
  <c r="Z807" i="7" s="1"/>
  <c r="AA807" i="7" s="1"/>
  <c r="V808" i="7"/>
  <c r="X808" i="7" s="1"/>
  <c r="V809" i="7"/>
  <c r="X809" i="7" s="1"/>
  <c r="V810" i="7"/>
  <c r="X810" i="7" s="1"/>
  <c r="V811" i="7"/>
  <c r="X811" i="7" s="1"/>
  <c r="V813" i="7"/>
  <c r="X813" i="7" s="1"/>
  <c r="V815" i="7"/>
  <c r="X815" i="7" s="1"/>
  <c r="V816" i="7"/>
  <c r="X816" i="7" s="1"/>
  <c r="V817" i="7"/>
  <c r="X817" i="7" s="1"/>
  <c r="V818" i="7"/>
  <c r="X818" i="7" s="1"/>
  <c r="V819" i="7"/>
  <c r="X819" i="7" s="1"/>
  <c r="V820" i="7"/>
  <c r="X820" i="7" s="1"/>
  <c r="V821" i="7"/>
  <c r="X821" i="7" s="1"/>
  <c r="Z821" i="7" s="1"/>
  <c r="AA821" i="7" s="1"/>
  <c r="V822" i="7"/>
  <c r="X822" i="7" s="1"/>
  <c r="V823" i="7"/>
  <c r="X823" i="7" s="1"/>
  <c r="V824" i="7"/>
  <c r="X824" i="7" s="1"/>
  <c r="V825" i="7"/>
  <c r="X825" i="7" s="1"/>
  <c r="V826" i="7"/>
  <c r="X826" i="7" s="1"/>
  <c r="Y749" i="7" s="1"/>
  <c r="V827" i="7"/>
  <c r="X827" i="7" s="1"/>
  <c r="V828" i="7"/>
  <c r="X828" i="7" s="1"/>
  <c r="V829" i="7"/>
  <c r="X829" i="7" s="1"/>
  <c r="V830" i="7"/>
  <c r="X830" i="7" s="1"/>
  <c r="V831" i="7"/>
  <c r="X831" i="7" s="1"/>
  <c r="T868" i="7"/>
  <c r="T867" i="7"/>
  <c r="T866" i="7"/>
  <c r="T865" i="7"/>
  <c r="T864" i="7"/>
  <c r="T863" i="7"/>
  <c r="T862" i="7"/>
  <c r="T861" i="7"/>
  <c r="T860" i="7"/>
  <c r="T859" i="7"/>
  <c r="T858" i="7"/>
  <c r="T857" i="7"/>
  <c r="T856" i="7"/>
  <c r="T855" i="7"/>
  <c r="T854" i="7"/>
  <c r="T853" i="7"/>
  <c r="T852" i="7"/>
  <c r="T851" i="7"/>
  <c r="T850" i="7"/>
  <c r="U850" i="7" s="1"/>
  <c r="S850" i="7"/>
  <c r="U851" i="7"/>
  <c r="V851" i="7" s="1"/>
  <c r="X851" i="7" s="1"/>
  <c r="S851" i="7"/>
  <c r="V852" i="7"/>
  <c r="X852" i="7" s="1"/>
  <c r="V853" i="7"/>
  <c r="X853" i="7" s="1"/>
  <c r="Y853" i="7" s="1"/>
  <c r="V854" i="7"/>
  <c r="X854" i="7" s="1"/>
  <c r="V855" i="7"/>
  <c r="X855" i="7" s="1"/>
  <c r="V856" i="7"/>
  <c r="X856" i="7" s="1"/>
  <c r="Y856" i="7" s="1"/>
  <c r="Z856" i="7" s="1"/>
  <c r="AA856" i="7" s="1"/>
  <c r="V857" i="7"/>
  <c r="X857" i="7" s="1"/>
  <c r="Z857" i="7" s="1"/>
  <c r="AA857" i="7" s="1"/>
  <c r="V858" i="7"/>
  <c r="X858" i="7" s="1"/>
  <c r="V859" i="7"/>
  <c r="X859" i="7" s="1"/>
  <c r="V860" i="7"/>
  <c r="X860" i="7" s="1"/>
  <c r="V861" i="7"/>
  <c r="X861" i="7" s="1"/>
  <c r="V862" i="7"/>
  <c r="X862" i="7" s="1"/>
  <c r="Y862" i="7" s="1"/>
  <c r="V863" i="7"/>
  <c r="X863" i="7" s="1"/>
  <c r="V864" i="7"/>
  <c r="X864" i="7" s="1"/>
  <c r="Z864" i="7" s="1"/>
  <c r="AA864" i="7" s="1"/>
  <c r="V865" i="7"/>
  <c r="X865" i="7" s="1"/>
  <c r="Z865" i="7" s="1"/>
  <c r="AA865" i="7" s="1"/>
  <c r="V866" i="7"/>
  <c r="X866" i="7" s="1"/>
  <c r="V867" i="7"/>
  <c r="X867" i="7" s="1"/>
  <c r="V868" i="7"/>
  <c r="X868" i="7" s="1"/>
  <c r="T887" i="7"/>
  <c r="U887" i="7" s="1"/>
  <c r="T886" i="7"/>
  <c r="U886" i="7" s="1"/>
  <c r="T885" i="7"/>
  <c r="U885" i="7" s="1"/>
  <c r="T884" i="7"/>
  <c r="U884" i="7" s="1"/>
  <c r="T883" i="7"/>
  <c r="U883" i="7" s="1"/>
  <c r="T882" i="7"/>
  <c r="U882" i="7" s="1"/>
  <c r="T881" i="7"/>
  <c r="U881" i="7" s="1"/>
  <c r="T880" i="7"/>
  <c r="U880" i="7" s="1"/>
  <c r="T879" i="7"/>
  <c r="U879" i="7" s="1"/>
  <c r="T878" i="7"/>
  <c r="U878" i="7" s="1"/>
  <c r="T877" i="7"/>
  <c r="U877" i="7" s="1"/>
  <c r="T876" i="7"/>
  <c r="U876" i="7" s="1"/>
  <c r="T875" i="7"/>
  <c r="U875" i="7" s="1"/>
  <c r="T874" i="7"/>
  <c r="U874" i="7" s="1"/>
  <c r="T873" i="7"/>
  <c r="U873" i="7" s="1"/>
  <c r="T872" i="7"/>
  <c r="T871" i="7"/>
  <c r="U871" i="7" s="1"/>
  <c r="S871" i="7"/>
  <c r="U872" i="7"/>
  <c r="V872" i="7" s="1"/>
  <c r="X872" i="7" s="1"/>
  <c r="S872" i="7"/>
  <c r="V890" i="7"/>
  <c r="X890" i="7" s="1"/>
  <c r="V891" i="7"/>
  <c r="X891" i="7" s="1"/>
  <c r="V892" i="7"/>
  <c r="X892" i="7" s="1"/>
  <c r="V893" i="7"/>
  <c r="X893" i="7" s="1"/>
  <c r="V894" i="7"/>
  <c r="X894" i="7" s="1"/>
  <c r="V895" i="7"/>
  <c r="X895" i="7" s="1"/>
  <c r="V896" i="7"/>
  <c r="X896" i="7" s="1"/>
  <c r="V897" i="7"/>
  <c r="X897" i="7" s="1"/>
  <c r="V898" i="7"/>
  <c r="X898" i="7" s="1"/>
  <c r="V899" i="7"/>
  <c r="X899" i="7" s="1"/>
  <c r="V900" i="7"/>
  <c r="X900" i="7" s="1"/>
  <c r="Z900" i="7" s="1"/>
  <c r="AA900" i="7" s="1"/>
  <c r="V901" i="7"/>
  <c r="X901" i="7" s="1"/>
  <c r="Z901" i="7" s="1"/>
  <c r="AA901" i="7" s="1"/>
  <c r="V902" i="7"/>
  <c r="X902" i="7" s="1"/>
  <c r="V903" i="7"/>
  <c r="X903" i="7" s="1"/>
  <c r="Z903" i="7" s="1"/>
  <c r="AA903" i="7" s="1"/>
  <c r="V904" i="7"/>
  <c r="X904" i="7" s="1"/>
  <c r="Z904" i="7" s="1"/>
  <c r="AA904" i="7" s="1"/>
  <c r="V905" i="7"/>
  <c r="X905" i="7" s="1"/>
  <c r="V906" i="7"/>
  <c r="X906" i="7" s="1"/>
  <c r="V907" i="7"/>
  <c r="X907" i="7" s="1"/>
  <c r="Z907" i="7" s="1"/>
  <c r="AA907" i="7" s="1"/>
  <c r="V908" i="7"/>
  <c r="X908" i="7" s="1"/>
  <c r="Z908" i="7" s="1"/>
  <c r="AA908" i="7" s="1"/>
  <c r="V909" i="7"/>
  <c r="X909" i="7" s="1"/>
  <c r="Y909" i="7" s="1"/>
  <c r="Z909" i="7" s="1"/>
  <c r="AA909" i="7" s="1"/>
  <c r="V910" i="7"/>
  <c r="X910" i="7" s="1"/>
  <c r="Z910" i="7" s="1"/>
  <c r="AA910" i="7" s="1"/>
  <c r="V911" i="7"/>
  <c r="X911" i="7" s="1"/>
  <c r="Z911" i="7" s="1"/>
  <c r="AA911" i="7" s="1"/>
  <c r="AA912" i="7"/>
  <c r="Y912" i="7"/>
  <c r="Z912" i="7" s="1"/>
  <c r="AA913" i="7"/>
  <c r="Y913" i="7"/>
  <c r="Z913" i="7" s="1"/>
  <c r="Z914" i="7"/>
  <c r="AA914" i="7" s="1"/>
  <c r="Y914" i="7"/>
  <c r="AA918" i="7"/>
  <c r="Z918" i="7"/>
  <c r="V922" i="7"/>
  <c r="X922" i="7" s="1"/>
  <c r="V923" i="7"/>
  <c r="X923" i="7" s="1"/>
  <c r="V924" i="7"/>
  <c r="X924" i="7" s="1"/>
  <c r="Y924" i="7" s="1"/>
  <c r="Z924" i="7" s="1"/>
  <c r="AA924" i="7" s="1"/>
  <c r="V925" i="7"/>
  <c r="X925" i="7" s="1"/>
  <c r="V926" i="7"/>
  <c r="X926" i="7" s="1"/>
  <c r="Y926" i="7" s="1"/>
  <c r="Z926" i="7" s="1"/>
  <c r="AA926" i="7" s="1"/>
  <c r="V927" i="7"/>
  <c r="X927" i="7" s="1"/>
  <c r="V928" i="7"/>
  <c r="X928" i="7" s="1"/>
  <c r="Y928" i="7" s="1"/>
  <c r="Z928" i="7" s="1"/>
  <c r="AA928" i="7" s="1"/>
  <c r="V929" i="7"/>
  <c r="X929" i="7" s="1"/>
  <c r="Z929" i="7" s="1"/>
  <c r="AA929" i="7" s="1"/>
  <c r="V932" i="7"/>
  <c r="X932" i="7" s="1"/>
  <c r="Z932" i="7" s="1"/>
  <c r="AA932" i="7" s="1"/>
  <c r="V933" i="7"/>
  <c r="X933" i="7" s="1"/>
  <c r="Y933" i="7" s="1"/>
  <c r="Z933" i="7" s="1"/>
  <c r="AA933" i="7" s="1"/>
  <c r="Z935" i="7"/>
  <c r="AA935" i="7" s="1"/>
  <c r="Y935" i="7"/>
  <c r="Z938" i="7"/>
  <c r="AA938" i="7" s="1"/>
  <c r="Y938" i="7"/>
  <c r="Z971" i="7"/>
  <c r="AA971" i="7" s="1"/>
  <c r="Y971" i="7"/>
  <c r="Z972" i="7"/>
  <c r="AA972" i="7" s="1"/>
  <c r="Y972" i="7"/>
  <c r="Z974" i="7"/>
  <c r="AA974" i="7" s="1"/>
  <c r="Y974" i="7"/>
  <c r="Z986" i="7"/>
  <c r="AA986" i="7" s="1"/>
  <c r="T995" i="7"/>
  <c r="U995" i="7" s="1"/>
  <c r="X995" i="7" s="1"/>
  <c r="Z995" i="7" s="1"/>
  <c r="AA995" i="7" s="1"/>
  <c r="T994" i="7"/>
  <c r="U994" i="7" s="1"/>
  <c r="X994" i="7" s="1"/>
  <c r="Y981" i="7" s="1"/>
  <c r="Z981" i="7" s="1"/>
  <c r="AA981" i="7" s="1"/>
  <c r="T993" i="7"/>
  <c r="U993" i="7" s="1"/>
  <c r="X993" i="7" s="1"/>
  <c r="Z993" i="7" s="1"/>
  <c r="AA993" i="7" s="1"/>
  <c r="T992" i="7"/>
  <c r="U992" i="7" s="1"/>
  <c r="X992" i="7" s="1"/>
  <c r="T991" i="7"/>
  <c r="U991" i="7" s="1"/>
  <c r="X991" i="7" s="1"/>
  <c r="Y978" i="7" s="1"/>
  <c r="Z978" i="7" s="1"/>
  <c r="AA978" i="7" s="1"/>
  <c r="T990" i="7"/>
  <c r="T989" i="7"/>
  <c r="U989" i="7" s="1"/>
  <c r="X989" i="7" s="1"/>
  <c r="Y989" i="7" s="1"/>
  <c r="Z989" i="7" s="1"/>
  <c r="AA989" i="7" s="1"/>
  <c r="S989" i="7"/>
  <c r="U990" i="7"/>
  <c r="X990" i="7" s="1"/>
  <c r="S990" i="7"/>
  <c r="Z998" i="7"/>
  <c r="AA998" i="7" s="1"/>
  <c r="Y998" i="7"/>
  <c r="T1011" i="7"/>
  <c r="U1011" i="7" s="1"/>
  <c r="V1011" i="7" s="1"/>
  <c r="X1011" i="7" s="1"/>
  <c r="Y1011" i="7" s="1"/>
  <c r="Z1011" i="7" s="1"/>
  <c r="AA1011" i="7" s="1"/>
  <c r="T1010" i="7"/>
  <c r="U1010" i="7" s="1"/>
  <c r="V1010" i="7" s="1"/>
  <c r="X1010" i="7" s="1"/>
  <c r="Y1010" i="7" s="1"/>
  <c r="Z1010" i="7" s="1"/>
  <c r="AA1010" i="7" s="1"/>
  <c r="T1009" i="7"/>
  <c r="U1009" i="7" s="1"/>
  <c r="V1009" i="7" s="1"/>
  <c r="X1009" i="7" s="1"/>
  <c r="T1008" i="7"/>
  <c r="U1008" i="7" s="1"/>
  <c r="V1008" i="7" s="1"/>
  <c r="X1008" i="7" s="1"/>
  <c r="Y1008" i="7" s="1"/>
  <c r="Z1008" i="7" s="1"/>
  <c r="AA1008" i="7" s="1"/>
  <c r="T1007" i="7"/>
  <c r="U1007" i="7" s="1"/>
  <c r="V1007" i="7" s="1"/>
  <c r="X1007" i="7" s="1"/>
  <c r="Y1007" i="7" s="1"/>
  <c r="Z1007" i="7" s="1"/>
  <c r="AA1007" i="7" s="1"/>
  <c r="T1006" i="7"/>
  <c r="U1006" i="7" s="1"/>
  <c r="V1006" i="7" s="1"/>
  <c r="X1006" i="7" s="1"/>
  <c r="T1005" i="7"/>
  <c r="U1005" i="7" s="1"/>
  <c r="V1005" i="7" s="1"/>
  <c r="X1005" i="7" s="1"/>
  <c r="T1004" i="7"/>
  <c r="U1004" i="7" s="1"/>
  <c r="V1004" i="7" s="1"/>
  <c r="X1004" i="7" s="1"/>
  <c r="T1003" i="7"/>
  <c r="T1002" i="7"/>
  <c r="T1001" i="7"/>
  <c r="T1000" i="7"/>
  <c r="U1000" i="7" s="1"/>
  <c r="V1000" i="7" s="1"/>
  <c r="X1000" i="7" s="1"/>
  <c r="Y1000" i="7" s="1"/>
  <c r="Z1000" i="7" s="1"/>
  <c r="AA1000" i="7" s="1"/>
  <c r="S1000" i="7"/>
  <c r="U1001" i="7"/>
  <c r="V1001" i="7" s="1"/>
  <c r="X1001" i="7" s="1"/>
  <c r="Y1001" i="7" s="1"/>
  <c r="Z1001" i="7" s="1"/>
  <c r="AA1001" i="7" s="1"/>
  <c r="S1001" i="7"/>
  <c r="U1002" i="7"/>
  <c r="V1002" i="7" s="1"/>
  <c r="X1002" i="7" s="1"/>
  <c r="Y1002" i="7" s="1"/>
  <c r="Z1002" i="7" s="1"/>
  <c r="AA1002" i="7" s="1"/>
  <c r="S1002" i="7"/>
  <c r="U1003" i="7"/>
  <c r="V1003" i="7" s="1"/>
  <c r="X1003" i="7" s="1"/>
  <c r="Y1003" i="7" s="1"/>
  <c r="Z1003" i="7" s="1"/>
  <c r="AA1003" i="7" s="1"/>
  <c r="S1003" i="7"/>
  <c r="V1022" i="7"/>
  <c r="X1022" i="7" s="1"/>
  <c r="Y1019" i="7" s="1"/>
  <c r="Z1019" i="7" s="1"/>
  <c r="AA1019" i="7" s="1"/>
  <c r="V1023" i="7"/>
  <c r="X1023" i="7" s="1"/>
  <c r="Y1023" i="7" s="1"/>
  <c r="Z1023" i="7" s="1"/>
  <c r="AA1023" i="7" s="1"/>
  <c r="V1024" i="7"/>
  <c r="X1024" i="7" s="1"/>
  <c r="Y1016" i="7" s="1"/>
  <c r="Z1016" i="7" s="1"/>
  <c r="AA1016" i="7" s="1"/>
  <c r="V1025" i="7"/>
  <c r="X1025" i="7" s="1"/>
  <c r="T1028" i="7"/>
  <c r="T1027" i="7"/>
  <c r="T1026" i="7"/>
  <c r="U1026" i="7" s="1"/>
  <c r="S1026" i="7"/>
  <c r="U1027" i="7"/>
  <c r="S1027" i="7"/>
  <c r="U1028" i="7"/>
  <c r="S1028" i="7"/>
  <c r="V1029" i="7"/>
  <c r="X1029" i="7" s="1"/>
  <c r="Y1018" i="7" s="1"/>
  <c r="Z1018" i="7" s="1"/>
  <c r="AA1018" i="7" s="1"/>
  <c r="U1029" i="7"/>
  <c r="AA1030" i="7"/>
  <c r="Y1030" i="7"/>
  <c r="Z1030" i="7" s="1"/>
  <c r="AA1031" i="7"/>
  <c r="Y1031" i="7"/>
  <c r="Z1031" i="7" s="1"/>
  <c r="AA1032" i="7"/>
  <c r="Y1032" i="7"/>
  <c r="Z1032" i="7" s="1"/>
  <c r="AA1033" i="7"/>
  <c r="Y1033" i="7"/>
  <c r="Z1033" i="7" s="1"/>
  <c r="AA1034" i="7"/>
  <c r="Y1034" i="7"/>
  <c r="Z1034" i="7" s="1"/>
  <c r="AA1035" i="7"/>
  <c r="Y1035" i="7"/>
  <c r="Z1035" i="7" s="1"/>
  <c r="AA1036" i="7"/>
  <c r="Y1036" i="7"/>
  <c r="Z1036" i="7" s="1"/>
  <c r="AA1037" i="7"/>
  <c r="Y1037" i="7"/>
  <c r="Z1037" i="7" s="1"/>
  <c r="AA1038" i="7"/>
  <c r="Y1038" i="7"/>
  <c r="Z1038" i="7" s="1"/>
  <c r="AA1039" i="7"/>
  <c r="Y1039" i="7"/>
  <c r="Z1039" i="7" s="1"/>
  <c r="AA1040" i="7"/>
  <c r="Y1040" i="7"/>
  <c r="Z1040" i="7" s="1"/>
  <c r="Z1042" i="7"/>
  <c r="AA1042" i="7" s="1"/>
  <c r="Y1042" i="7"/>
  <c r="AA1048" i="7"/>
  <c r="Y1048" i="7"/>
  <c r="Z1048" i="7" s="1"/>
  <c r="AA1049" i="7"/>
  <c r="Y1049" i="7"/>
  <c r="Z1049" i="7" s="1"/>
  <c r="AA1050" i="7"/>
  <c r="Y1050" i="7"/>
  <c r="Z1050" i="7" s="1"/>
  <c r="AA1051" i="7"/>
  <c r="Y1051" i="7"/>
  <c r="Z1051" i="7" s="1"/>
  <c r="AA1052" i="7"/>
  <c r="Y1052" i="7"/>
  <c r="Z1052" i="7" s="1"/>
  <c r="AA1053" i="7"/>
  <c r="Y1053" i="7"/>
  <c r="Z1053" i="7" s="1"/>
  <c r="AA1054" i="7"/>
  <c r="Y1054" i="7"/>
  <c r="Z1054" i="7" s="1"/>
  <c r="AA1055" i="7"/>
  <c r="Y1055" i="7"/>
  <c r="Z1055" i="7" s="1"/>
  <c r="Z1058" i="7"/>
  <c r="AA1058" i="7" s="1"/>
  <c r="Z1067" i="7"/>
  <c r="AA1067" i="7" s="1"/>
  <c r="Y1067" i="7"/>
  <c r="T1088" i="7"/>
  <c r="U1088" i="7" s="1"/>
  <c r="T1087" i="7"/>
  <c r="U1087" i="7" s="1"/>
  <c r="T1086" i="7"/>
  <c r="U1086" i="7" s="1"/>
  <c r="T1085" i="7"/>
  <c r="T1084" i="7"/>
  <c r="T1083" i="7"/>
  <c r="T1082" i="7"/>
  <c r="U1082" i="7" s="1"/>
  <c r="S1082" i="7"/>
  <c r="U1083" i="7"/>
  <c r="S1083" i="7"/>
  <c r="U1084" i="7"/>
  <c r="S1084" i="7"/>
  <c r="U1085" i="7"/>
  <c r="V1085" i="7" s="1"/>
  <c r="X1085" i="7" s="1"/>
  <c r="S1085" i="7"/>
  <c r="Z1091" i="7"/>
  <c r="AA1091" i="7" s="1"/>
  <c r="Z1097" i="7"/>
  <c r="AA1097" i="7" s="1"/>
  <c r="Y1097" i="7"/>
  <c r="Z1104" i="7"/>
  <c r="AA1104" i="7" s="1"/>
  <c r="T1135" i="7"/>
  <c r="U1135" i="7" s="1"/>
  <c r="X1135" i="7" s="1"/>
  <c r="T1134" i="7"/>
  <c r="U1134" i="7" s="1"/>
  <c r="X1134" i="7" s="1"/>
  <c r="T1133" i="7"/>
  <c r="U1133" i="7" s="1"/>
  <c r="X1133" i="7" s="1"/>
  <c r="Z1133" i="7" s="1"/>
  <c r="AA1133" i="7" s="1"/>
  <c r="T1132" i="7"/>
  <c r="U1132" i="7" s="1"/>
  <c r="X1132" i="7" s="1"/>
  <c r="T1131" i="7"/>
  <c r="U1131" i="7" s="1"/>
  <c r="X1131" i="7" s="1"/>
  <c r="T1130" i="7"/>
  <c r="U1130" i="7" s="1"/>
  <c r="X1130" i="7" s="1"/>
  <c r="T1129" i="7"/>
  <c r="U1129" i="7" s="1"/>
  <c r="X1129" i="7" s="1"/>
  <c r="Z1110" i="7" s="1"/>
  <c r="AA1110" i="7" s="1"/>
  <c r="T1128" i="7"/>
  <c r="U1128" i="7" s="1"/>
  <c r="X1128" i="7" s="1"/>
  <c r="T1127" i="7"/>
  <c r="S1127" i="7"/>
  <c r="T1126" i="7"/>
  <c r="U1126" i="7" s="1"/>
  <c r="X1126" i="7" s="1"/>
  <c r="S1126" i="7"/>
  <c r="U1127" i="7"/>
  <c r="X1127" i="7" s="1"/>
  <c r="T1172" i="7"/>
  <c r="U1172" i="7" s="1"/>
  <c r="X1172" i="7" s="1"/>
  <c r="T1171" i="7"/>
  <c r="U1171" i="7" s="1"/>
  <c r="X1171" i="7" s="1"/>
  <c r="T1170" i="7"/>
  <c r="U1170" i="7" s="1"/>
  <c r="X1170" i="7" s="1"/>
  <c r="Y1170" i="7" s="1"/>
  <c r="Z1170" i="7" s="1"/>
  <c r="AA1170" i="7" s="1"/>
  <c r="T1169" i="7"/>
  <c r="U1169" i="7" s="1"/>
  <c r="X1169" i="7" s="1"/>
  <c r="Y1169" i="7" s="1"/>
  <c r="Z1169" i="7" s="1"/>
  <c r="AA1169" i="7" s="1"/>
  <c r="T1168" i="7"/>
  <c r="U1168" i="7" s="1"/>
  <c r="X1168" i="7" s="1"/>
  <c r="Z1123" i="7" s="1"/>
  <c r="AA1123" i="7" s="1"/>
  <c r="T1167" i="7"/>
  <c r="U1167" i="7" s="1"/>
  <c r="X1167" i="7" s="1"/>
  <c r="T1166" i="7"/>
  <c r="U1166" i="7" s="1"/>
  <c r="X1166" i="7" s="1"/>
  <c r="T1165" i="7"/>
  <c r="U1165" i="7" s="1"/>
  <c r="X1165" i="7" s="1"/>
  <c r="T1164" i="7"/>
  <c r="U1164" i="7" s="1"/>
  <c r="X1164" i="7" s="1"/>
  <c r="T1163" i="7"/>
  <c r="U1163" i="7" s="1"/>
  <c r="X1163" i="7" s="1"/>
  <c r="T1162" i="7"/>
  <c r="U1162" i="7" s="1"/>
  <c r="X1162" i="7" s="1"/>
  <c r="T1161" i="7"/>
  <c r="U1161" i="7" s="1"/>
  <c r="X1161" i="7" s="1"/>
  <c r="T1160" i="7"/>
  <c r="U1160" i="7" s="1"/>
  <c r="X1160" i="7" s="1"/>
  <c r="T1159" i="7"/>
  <c r="U1159" i="7" s="1"/>
  <c r="X1159" i="7" s="1"/>
  <c r="T1158" i="7"/>
  <c r="U1158" i="7" s="1"/>
  <c r="X1158" i="7" s="1"/>
  <c r="T1157" i="7"/>
  <c r="U1157" i="7" s="1"/>
  <c r="X1157" i="7" s="1"/>
  <c r="T1156" i="7"/>
  <c r="U1156" i="7" s="1"/>
  <c r="X1156" i="7" s="1"/>
  <c r="T1155" i="7"/>
  <c r="U1155" i="7" s="1"/>
  <c r="X1155" i="7" s="1"/>
  <c r="T1154" i="7"/>
  <c r="U1154" i="7" s="1"/>
  <c r="X1154" i="7" s="1"/>
  <c r="Z1154" i="7" s="1"/>
  <c r="AA1154" i="7" s="1"/>
  <c r="T1153" i="7"/>
  <c r="U1153" i="7" s="1"/>
  <c r="X1153" i="7" s="1"/>
  <c r="Z1100" i="7" s="1"/>
  <c r="AA1100" i="7" s="1"/>
  <c r="T1152" i="7"/>
  <c r="U1152" i="7" s="1"/>
  <c r="X1152" i="7" s="1"/>
  <c r="T1151" i="7"/>
  <c r="U1151" i="7" s="1"/>
  <c r="X1151" i="7" s="1"/>
  <c r="T1150" i="7"/>
  <c r="U1150" i="7" s="1"/>
  <c r="X1150" i="7" s="1"/>
  <c r="Y1092" i="7" s="1"/>
  <c r="Z1092" i="7" s="1"/>
  <c r="AA1092" i="7" s="1"/>
  <c r="T1149" i="7"/>
  <c r="U1149" i="7" s="1"/>
  <c r="X1149" i="7" s="1"/>
  <c r="T1148" i="7"/>
  <c r="U1148" i="7" s="1"/>
  <c r="X1148" i="7" s="1"/>
  <c r="Y1148" i="7" s="1"/>
  <c r="Z1148" i="7" s="1"/>
  <c r="AA1148" i="7" s="1"/>
  <c r="T1147" i="7"/>
  <c r="U1147" i="7" s="1"/>
  <c r="X1147" i="7" s="1"/>
  <c r="Y1098" i="7" s="1"/>
  <c r="Z1098" i="7" s="1"/>
  <c r="AA1098" i="7" s="1"/>
  <c r="T1146" i="7"/>
  <c r="U1146" i="7" s="1"/>
  <c r="X1146" i="7" s="1"/>
  <c r="T1145" i="7"/>
  <c r="U1145" i="7" s="1"/>
  <c r="X1145" i="7" s="1"/>
  <c r="T1144" i="7"/>
  <c r="U1144" i="7" s="1"/>
  <c r="X1144" i="7" s="1"/>
  <c r="T1143" i="7"/>
  <c r="U1143" i="7" s="1"/>
  <c r="X1143" i="7" s="1"/>
  <c r="T1142" i="7"/>
  <c r="U1142" i="7" s="1"/>
  <c r="X1142" i="7" s="1"/>
  <c r="T1141" i="7"/>
  <c r="T1140" i="7"/>
  <c r="U1140" i="7" s="1"/>
  <c r="X1140" i="7" s="1"/>
  <c r="S1140" i="7"/>
  <c r="U1141" i="7"/>
  <c r="X1141" i="7" s="1"/>
  <c r="S1141" i="7"/>
  <c r="T1192" i="7"/>
  <c r="U1192" i="7" s="1"/>
  <c r="T1191" i="7"/>
  <c r="U1191" i="7" s="1"/>
  <c r="T1190" i="7"/>
  <c r="U1190" i="7" s="1"/>
  <c r="T1189" i="7"/>
  <c r="T1188" i="7"/>
  <c r="T1187" i="7"/>
  <c r="T1186" i="7"/>
  <c r="U1186" i="7" s="1"/>
  <c r="S1186" i="7"/>
  <c r="U1187" i="7"/>
  <c r="S1187" i="7"/>
  <c r="U1188" i="7"/>
  <c r="S1188" i="7"/>
  <c r="U1189" i="7"/>
  <c r="V1189" i="7" s="1"/>
  <c r="X1189" i="7" s="1"/>
  <c r="Y1189" i="7" s="1"/>
  <c r="Z1189" i="7" s="1"/>
  <c r="AA1189" i="7" s="1"/>
  <c r="S1189" i="7"/>
  <c r="T1232" i="7"/>
  <c r="U1232" i="7" s="1"/>
  <c r="T1231" i="7"/>
  <c r="U1231" i="7" s="1"/>
  <c r="T1230" i="7"/>
  <c r="U1230" i="7" s="1"/>
  <c r="T1229" i="7"/>
  <c r="U1229" i="7" s="1"/>
  <c r="T1228" i="7"/>
  <c r="U1228" i="7" s="1"/>
  <c r="T1227" i="7"/>
  <c r="T1226" i="7"/>
  <c r="T1225" i="7"/>
  <c r="U1225" i="7" s="1"/>
  <c r="T1224" i="7"/>
  <c r="U1224" i="7" s="1"/>
  <c r="T1223" i="7"/>
  <c r="U1223" i="7" s="1"/>
  <c r="T1222" i="7"/>
  <c r="U1222" i="7" s="1"/>
  <c r="T1221" i="7"/>
  <c r="U1221" i="7" s="1"/>
  <c r="T1220" i="7"/>
  <c r="U1220" i="7" s="1"/>
  <c r="T1219" i="7"/>
  <c r="U1219" i="7" s="1"/>
  <c r="T1218" i="7"/>
  <c r="U1218" i="7" s="1"/>
  <c r="T1217" i="7"/>
  <c r="U1217" i="7" s="1"/>
  <c r="T1216" i="7"/>
  <c r="U1216" i="7" s="1"/>
  <c r="T1215" i="7"/>
  <c r="U1215" i="7" s="1"/>
  <c r="T1214" i="7"/>
  <c r="U1214" i="7" s="1"/>
  <c r="T1213" i="7"/>
  <c r="U1213" i="7" s="1"/>
  <c r="T1212" i="7"/>
  <c r="U1212" i="7" s="1"/>
  <c r="T1211" i="7"/>
  <c r="U1211" i="7" s="1"/>
  <c r="T1210" i="7"/>
  <c r="U1210" i="7" s="1"/>
  <c r="T1209" i="7"/>
  <c r="T1208" i="7"/>
  <c r="U1208" i="7" s="1"/>
  <c r="S1208" i="7"/>
  <c r="U1209" i="7"/>
  <c r="S1209" i="7"/>
  <c r="U1226" i="7"/>
  <c r="S1226" i="7"/>
  <c r="U1227" i="7"/>
  <c r="V1227" i="7" s="1"/>
  <c r="X1227" i="7" s="1"/>
  <c r="S1227" i="7"/>
  <c r="T1266" i="7"/>
  <c r="U1266" i="7" s="1"/>
  <c r="T1265" i="7"/>
  <c r="U1265" i="7" s="1"/>
  <c r="T1264" i="7"/>
  <c r="U1264" i="7" s="1"/>
  <c r="T1263" i="7"/>
  <c r="U1263" i="7" s="1"/>
  <c r="T1262" i="7"/>
  <c r="U1262" i="7" s="1"/>
  <c r="T1261" i="7"/>
  <c r="U1261" i="7" s="1"/>
  <c r="T1260" i="7"/>
  <c r="U1260" i="7" s="1"/>
  <c r="T1259" i="7"/>
  <c r="U1259" i="7" s="1"/>
  <c r="T1258" i="7"/>
  <c r="U1258" i="7" s="1"/>
  <c r="T1257" i="7"/>
  <c r="U1257" i="7" s="1"/>
  <c r="T1256" i="7"/>
  <c r="U1256" i="7" s="1"/>
  <c r="T1255" i="7"/>
  <c r="U1255" i="7" s="1"/>
  <c r="T1254" i="7"/>
  <c r="U1254" i="7" s="1"/>
  <c r="T1253" i="7"/>
  <c r="U1253" i="7" s="1"/>
  <c r="T1252" i="7"/>
  <c r="U1252" i="7" s="1"/>
  <c r="T1251" i="7"/>
  <c r="U1251" i="7" s="1"/>
  <c r="T1250" i="7"/>
  <c r="U1250" i="7" s="1"/>
  <c r="T1249" i="7"/>
  <c r="U1249" i="7" s="1"/>
  <c r="T1248" i="7"/>
  <c r="U1248" i="7" s="1"/>
  <c r="T1247" i="7"/>
  <c r="U1247" i="7" s="1"/>
  <c r="T1246" i="7"/>
  <c r="T1245" i="7"/>
  <c r="T1244" i="7"/>
  <c r="U1244" i="7" s="1"/>
  <c r="V1244" i="7" s="1"/>
  <c r="X1244" i="7" s="1"/>
  <c r="T1243" i="7"/>
  <c r="U1243" i="7" s="1"/>
  <c r="T1242" i="7"/>
  <c r="U1242" i="7" s="1"/>
  <c r="T1241" i="7"/>
  <c r="U1241" i="7" s="1"/>
  <c r="T1240" i="7"/>
  <c r="U1240" i="7" s="1"/>
  <c r="T1239" i="7"/>
  <c r="T1238" i="7"/>
  <c r="T1237" i="7"/>
  <c r="T1236" i="7"/>
  <c r="T1235" i="7"/>
  <c r="T1234" i="7"/>
  <c r="T1233" i="7"/>
  <c r="U1233" i="7" s="1"/>
  <c r="S1233" i="7"/>
  <c r="U1234" i="7"/>
  <c r="S1234" i="7"/>
  <c r="U1235" i="7"/>
  <c r="V1235" i="7" s="1"/>
  <c r="X1235" i="7" s="1"/>
  <c r="Y1235" i="7" s="1"/>
  <c r="Z1235" i="7" s="1"/>
  <c r="AA1235" i="7" s="1"/>
  <c r="S1235" i="7"/>
  <c r="U1236" i="7"/>
  <c r="S1236" i="7"/>
  <c r="U1237" i="7"/>
  <c r="S1237" i="7"/>
  <c r="U1238" i="7"/>
  <c r="S1238" i="7"/>
  <c r="U1239" i="7"/>
  <c r="S1239" i="7"/>
  <c r="U1245" i="7"/>
  <c r="S1245" i="7"/>
  <c r="U1246" i="7"/>
  <c r="V1246" i="7" s="1"/>
  <c r="X1246" i="7" s="1"/>
  <c r="S1246" i="7"/>
  <c r="T1295" i="7"/>
  <c r="U1295" i="7" s="1"/>
  <c r="T1294" i="7"/>
  <c r="U1294" i="7" s="1"/>
  <c r="T1293" i="7"/>
  <c r="U1293" i="7" s="1"/>
  <c r="T1292" i="7"/>
  <c r="U1292" i="7" s="1"/>
  <c r="T1291" i="7"/>
  <c r="U1291" i="7" s="1"/>
  <c r="T1290" i="7"/>
  <c r="U1290" i="7" s="1"/>
  <c r="T1289" i="7"/>
  <c r="U1289" i="7" s="1"/>
  <c r="T1288" i="7"/>
  <c r="U1288" i="7" s="1"/>
  <c r="T1287" i="7"/>
  <c r="U1287" i="7" s="1"/>
  <c r="T1286" i="7"/>
  <c r="U1286" i="7" s="1"/>
  <c r="T1285" i="7"/>
  <c r="U1285" i="7" s="1"/>
  <c r="T1284" i="7"/>
  <c r="U1284" i="7" s="1"/>
  <c r="T1283" i="7"/>
  <c r="U1283" i="7" s="1"/>
  <c r="T1282" i="7"/>
  <c r="U1282" i="7" s="1"/>
  <c r="T1281" i="7"/>
  <c r="U1281" i="7" s="1"/>
  <c r="T1280" i="7"/>
  <c r="T1279" i="7"/>
  <c r="T1278" i="7"/>
  <c r="T1277" i="7"/>
  <c r="T1276" i="7"/>
  <c r="T1275" i="7"/>
  <c r="U1275" i="7" s="1"/>
  <c r="S1275" i="7"/>
  <c r="U1276" i="7"/>
  <c r="S1276" i="7"/>
  <c r="U1277" i="7"/>
  <c r="S1277" i="7"/>
  <c r="U1278" i="7"/>
  <c r="S1278" i="7"/>
  <c r="U1279" i="7"/>
  <c r="S1279" i="7"/>
  <c r="U1280" i="7"/>
  <c r="V1280" i="7" s="1"/>
  <c r="X1280" i="7" s="1"/>
  <c r="S1280" i="7"/>
  <c r="V1301" i="7"/>
  <c r="X1301" i="7" s="1"/>
  <c r="Y1297" i="7" s="1"/>
  <c r="Z1297" i="7" s="1"/>
  <c r="AA1297" i="7" s="1"/>
  <c r="V1303" i="7"/>
  <c r="X1303" i="7" s="1"/>
  <c r="Y1303" i="7" s="1"/>
  <c r="Z1303" i="7" s="1"/>
  <c r="AA1303" i="7" s="1"/>
  <c r="V1304" i="7"/>
  <c r="X1304" i="7" s="1"/>
  <c r="Y1304" i="7" s="1"/>
  <c r="Z1304" i="7" s="1"/>
  <c r="AA1304" i="7" s="1"/>
  <c r="T1310" i="7"/>
  <c r="T1309" i="7"/>
  <c r="U1309" i="7" s="1"/>
  <c r="X1309" i="7" s="1"/>
  <c r="S1309" i="7"/>
  <c r="U1310" i="7"/>
  <c r="X1310" i="7" s="1"/>
  <c r="S1310" i="7"/>
  <c r="Z1312" i="7"/>
  <c r="AA1312" i="7" s="1"/>
  <c r="Y1312" i="7"/>
  <c r="T1320" i="7"/>
  <c r="T1319" i="7"/>
  <c r="T1318" i="7"/>
  <c r="T1317" i="7"/>
  <c r="U1317" i="7" s="1"/>
  <c r="X1317" i="7" s="1"/>
  <c r="S1317" i="7"/>
  <c r="U1318" i="7"/>
  <c r="X1318" i="7" s="1"/>
  <c r="S1318" i="7"/>
  <c r="U1319" i="7"/>
  <c r="X1319" i="7" s="1"/>
  <c r="Y1319" i="7" s="1"/>
  <c r="Z1319" i="7" s="1"/>
  <c r="AA1319" i="7" s="1"/>
  <c r="S1319" i="7"/>
  <c r="U1320" i="7"/>
  <c r="X1320" i="7" s="1"/>
  <c r="S1320" i="7"/>
  <c r="X1327" i="7"/>
  <c r="Y1327" i="7" s="1"/>
  <c r="Z1327" i="7" s="1"/>
  <c r="AA1327" i="7" s="1"/>
  <c r="X1328" i="7"/>
  <c r="Y1328" i="7" s="1"/>
  <c r="Z1328" i="7" s="1"/>
  <c r="AA1328" i="7" s="1"/>
  <c r="X1329" i="7"/>
  <c r="Y1329" i="7" s="1"/>
  <c r="Z1329" i="7" s="1"/>
  <c r="AA1329" i="7" s="1"/>
  <c r="X1330" i="7"/>
  <c r="X1331" i="7"/>
  <c r="X1332" i="7"/>
  <c r="Z1332" i="7" s="1"/>
  <c r="AA1332" i="7" s="1"/>
  <c r="V1345" i="7"/>
  <c r="X1345" i="7" s="1"/>
  <c r="Y1345" i="7" s="1"/>
  <c r="Z1345" i="7" s="1"/>
  <c r="AA1345" i="7" s="1"/>
  <c r="V1346" i="7"/>
  <c r="X1346" i="7" s="1"/>
  <c r="V1347" i="7"/>
  <c r="X1347" i="7" s="1"/>
  <c r="V1348" i="7"/>
  <c r="X1348" i="7" s="1"/>
  <c r="V1349" i="7"/>
  <c r="X1349" i="7" s="1"/>
  <c r="V1350" i="7"/>
  <c r="X1350" i="7" s="1"/>
  <c r="V1351" i="7"/>
  <c r="X1351" i="7" s="1"/>
  <c r="V1352" i="7"/>
  <c r="X1352" i="7" s="1"/>
  <c r="V1353" i="7"/>
  <c r="X1353" i="7" s="1"/>
  <c r="V1354" i="7"/>
  <c r="X1354" i="7" s="1"/>
  <c r="V1355" i="7"/>
  <c r="X1355" i="7" s="1"/>
  <c r="V1356" i="7"/>
  <c r="X1356" i="7" s="1"/>
  <c r="V1357" i="7"/>
  <c r="X1357" i="7" s="1"/>
  <c r="V1358" i="7"/>
  <c r="X1358" i="7" s="1"/>
  <c r="V1359" i="7"/>
  <c r="X1359" i="7" s="1"/>
  <c r="V1360" i="7"/>
  <c r="X1360" i="7" s="1"/>
  <c r="Z1360" i="7" s="1"/>
  <c r="AA1360" i="7" s="1"/>
  <c r="V1361" i="7"/>
  <c r="X1361" i="7" s="1"/>
  <c r="Z1361" i="7" s="1"/>
  <c r="AA1361" i="7" s="1"/>
  <c r="V1362" i="7"/>
  <c r="X1362" i="7" s="1"/>
  <c r="V1363" i="7"/>
  <c r="X1363" i="7" s="1"/>
  <c r="Y1363" i="7" s="1"/>
  <c r="Z1363" i="7" s="1"/>
  <c r="AA1363" i="7" s="1"/>
  <c r="V1364" i="7"/>
  <c r="X1364" i="7" s="1"/>
  <c r="Y1364" i="7" s="1"/>
  <c r="Z1364" i="7" s="1"/>
  <c r="AA1364" i="7" s="1"/>
  <c r="V1365" i="7"/>
  <c r="X1365" i="7" s="1"/>
  <c r="Z1365" i="7" s="1"/>
  <c r="AA1365" i="7" s="1"/>
  <c r="V1366" i="7"/>
  <c r="X1366" i="7" s="1"/>
  <c r="Z1366" i="7" s="1"/>
  <c r="AA1366" i="7" s="1"/>
  <c r="V1367" i="7"/>
  <c r="X1367" i="7" s="1"/>
  <c r="Z1367" i="7" s="1"/>
  <c r="AA1367" i="7" s="1"/>
  <c r="V1368" i="7"/>
  <c r="X1368" i="7" s="1"/>
  <c r="Y1368" i="7" s="1"/>
  <c r="Z1368" i="7" s="1"/>
  <c r="AA1368" i="7" s="1"/>
  <c r="V1369" i="7"/>
  <c r="X1369" i="7" s="1"/>
  <c r="Y1369" i="7" s="1"/>
  <c r="Z1369" i="7" s="1"/>
  <c r="AA1369" i="7" s="1"/>
  <c r="V1370" i="7"/>
  <c r="X1370" i="7" s="1"/>
  <c r="Z1370" i="7" s="1"/>
  <c r="AA1370" i="7" s="1"/>
  <c r="V1371" i="7"/>
  <c r="X1371" i="7" s="1"/>
  <c r="V1372" i="7"/>
  <c r="X1372" i="7" s="1"/>
  <c r="Z1372" i="7" s="1"/>
  <c r="AA1372" i="7" s="1"/>
  <c r="V1373" i="7"/>
  <c r="X1373" i="7" s="1"/>
  <c r="Z1373" i="7" s="1"/>
  <c r="AA1373" i="7" s="1"/>
  <c r="V1374" i="7"/>
  <c r="X1374" i="7" s="1"/>
  <c r="Y1374" i="7" s="1"/>
  <c r="Z1374" i="7" s="1"/>
  <c r="AA1374" i="7" s="1"/>
  <c r="V1377" i="7"/>
  <c r="X1377" i="7" s="1"/>
  <c r="V1378" i="7"/>
  <c r="X1378" i="7" s="1"/>
  <c r="V1379" i="7"/>
  <c r="X1379" i="7" s="1"/>
  <c r="V1380" i="7"/>
  <c r="X1380" i="7" s="1"/>
  <c r="V1381" i="7"/>
  <c r="X1381" i="7" s="1"/>
  <c r="V1382" i="7"/>
  <c r="X1382" i="7" s="1"/>
  <c r="V1383" i="7"/>
  <c r="X1383" i="7" s="1"/>
  <c r="Z1383" i="7" s="1"/>
  <c r="AA1383" i="7" s="1"/>
  <c r="V1384" i="7"/>
  <c r="X1384" i="7" s="1"/>
  <c r="Z1384" i="7" s="1"/>
  <c r="AA1384" i="7" s="1"/>
  <c r="V1385" i="7"/>
  <c r="X1385" i="7" s="1"/>
  <c r="V1386" i="7"/>
  <c r="X1386" i="7" s="1"/>
  <c r="V1387" i="7"/>
  <c r="X1387" i="7" s="1"/>
  <c r="V1388" i="7"/>
  <c r="X1388" i="7" s="1"/>
  <c r="Z1389" i="7"/>
  <c r="AA1389" i="7" s="1"/>
  <c r="Z1390" i="7"/>
  <c r="AA1390" i="7" s="1"/>
  <c r="T1431" i="7"/>
  <c r="U1431" i="7" s="1"/>
  <c r="V1431" i="7" s="1"/>
  <c r="X1431" i="7" s="1"/>
  <c r="Z1431" i="7" s="1"/>
  <c r="AA1431" i="7" s="1"/>
  <c r="T1430" i="7"/>
  <c r="U1430" i="7" s="1"/>
  <c r="V1430" i="7" s="1"/>
  <c r="X1430" i="7" s="1"/>
  <c r="T1429" i="7"/>
  <c r="U1429" i="7" s="1"/>
  <c r="V1429" i="7" s="1"/>
  <c r="X1429" i="7" s="1"/>
  <c r="Z1429" i="7" s="1"/>
  <c r="AA1429" i="7" s="1"/>
  <c r="T1428" i="7"/>
  <c r="U1428" i="7" s="1"/>
  <c r="V1428" i="7" s="1"/>
  <c r="X1428" i="7" s="1"/>
  <c r="Z1428" i="7" s="1"/>
  <c r="AA1428" i="7" s="1"/>
  <c r="T1427" i="7"/>
  <c r="U1427" i="7" s="1"/>
  <c r="V1427" i="7" s="1"/>
  <c r="X1427" i="7" s="1"/>
  <c r="T1426" i="7"/>
  <c r="U1426" i="7" s="1"/>
  <c r="V1426" i="7" s="1"/>
  <c r="X1426" i="7" s="1"/>
  <c r="T1425" i="7"/>
  <c r="U1425" i="7" s="1"/>
  <c r="V1425" i="7" s="1"/>
  <c r="X1425" i="7" s="1"/>
  <c r="T1424" i="7"/>
  <c r="U1424" i="7" s="1"/>
  <c r="V1424" i="7" s="1"/>
  <c r="X1424" i="7" s="1"/>
  <c r="Z1424" i="7" s="1"/>
  <c r="AA1424" i="7" s="1"/>
  <c r="T1423" i="7"/>
  <c r="U1423" i="7" s="1"/>
  <c r="V1423" i="7" s="1"/>
  <c r="X1423" i="7" s="1"/>
  <c r="T1422" i="7"/>
  <c r="U1422" i="7" s="1"/>
  <c r="V1422" i="7" s="1"/>
  <c r="X1422" i="7" s="1"/>
  <c r="Y1422" i="7" s="1"/>
  <c r="Z1422" i="7" s="1"/>
  <c r="AA1422" i="7" s="1"/>
  <c r="T1421" i="7"/>
  <c r="U1421" i="7" s="1"/>
  <c r="V1421" i="7" s="1"/>
  <c r="X1421" i="7" s="1"/>
  <c r="T1420" i="7"/>
  <c r="U1420" i="7" s="1"/>
  <c r="V1420" i="7" s="1"/>
  <c r="X1420" i="7" s="1"/>
  <c r="T1419" i="7"/>
  <c r="U1419" i="7" s="1"/>
  <c r="V1419" i="7" s="1"/>
  <c r="X1419" i="7" s="1"/>
  <c r="Y1419" i="7" s="1"/>
  <c r="Z1419" i="7" s="1"/>
  <c r="AA1419" i="7" s="1"/>
  <c r="T1418" i="7"/>
  <c r="U1418" i="7" s="1"/>
  <c r="V1418" i="7" s="1"/>
  <c r="X1418" i="7" s="1"/>
  <c r="Z1418" i="7" s="1"/>
  <c r="AA1418" i="7" s="1"/>
  <c r="T1417" i="7"/>
  <c r="U1417" i="7" s="1"/>
  <c r="V1417" i="7" s="1"/>
  <c r="X1417" i="7" s="1"/>
  <c r="Z1417" i="7" s="1"/>
  <c r="AA1417" i="7" s="1"/>
  <c r="T1416" i="7"/>
  <c r="U1416" i="7" s="1"/>
  <c r="V1416" i="7" s="1"/>
  <c r="X1416" i="7" s="1"/>
  <c r="Y1416" i="7" s="1"/>
  <c r="Z1416" i="7" s="1"/>
  <c r="AA1416" i="7" s="1"/>
  <c r="T1415" i="7"/>
  <c r="U1415" i="7" s="1"/>
  <c r="V1415" i="7" s="1"/>
  <c r="X1415" i="7" s="1"/>
  <c r="T1414" i="7"/>
  <c r="U1414" i="7" s="1"/>
  <c r="V1414" i="7" s="1"/>
  <c r="X1414" i="7" s="1"/>
  <c r="Y1414" i="7" s="1"/>
  <c r="Z1414" i="7" s="1"/>
  <c r="AA1414" i="7" s="1"/>
  <c r="T1413" i="7"/>
  <c r="U1413" i="7" s="1"/>
  <c r="V1413" i="7" s="1"/>
  <c r="X1413" i="7" s="1"/>
  <c r="T1412" i="7"/>
  <c r="U1412" i="7" s="1"/>
  <c r="V1412" i="7" s="1"/>
  <c r="X1412" i="7" s="1"/>
  <c r="T1411" i="7"/>
  <c r="U1411" i="7" s="1"/>
  <c r="V1411" i="7" s="1"/>
  <c r="X1411" i="7" s="1"/>
  <c r="T1410" i="7"/>
  <c r="U1410" i="7" s="1"/>
  <c r="V1410" i="7" s="1"/>
  <c r="X1410" i="7" s="1"/>
  <c r="T1409" i="7"/>
  <c r="U1409" i="7" s="1"/>
  <c r="V1409" i="7" s="1"/>
  <c r="X1409" i="7" s="1"/>
  <c r="T1408" i="7"/>
  <c r="U1408" i="7" s="1"/>
  <c r="V1408" i="7" s="1"/>
  <c r="X1408" i="7" s="1"/>
  <c r="Z1391" i="7" s="1"/>
  <c r="AA1391" i="7" s="1"/>
  <c r="T1407" i="7"/>
  <c r="U1407" i="7" s="1"/>
  <c r="V1407" i="7" s="1"/>
  <c r="X1407" i="7" s="1"/>
  <c r="Z1407" i="7" s="1"/>
  <c r="AA1407" i="7" s="1"/>
  <c r="T1406" i="7"/>
  <c r="U1406" i="7" s="1"/>
  <c r="V1406" i="7" s="1"/>
  <c r="X1406" i="7" s="1"/>
  <c r="T1405" i="7"/>
  <c r="U1405" i="7" s="1"/>
  <c r="V1405" i="7" s="1"/>
  <c r="X1405" i="7" s="1"/>
  <c r="Z1405" i="7" s="1"/>
  <c r="AA1405" i="7" s="1"/>
  <c r="T1404" i="7"/>
  <c r="U1404" i="7" s="1"/>
  <c r="V1404" i="7" s="1"/>
  <c r="X1404" i="7" s="1"/>
  <c r="Z1404" i="7" s="1"/>
  <c r="AA1404" i="7" s="1"/>
  <c r="T1403" i="7"/>
  <c r="U1403" i="7" s="1"/>
  <c r="V1403" i="7" s="1"/>
  <c r="X1403" i="7" s="1"/>
  <c r="Z1403" i="7" s="1"/>
  <c r="AA1403" i="7" s="1"/>
  <c r="T1402" i="7"/>
  <c r="U1402" i="7" s="1"/>
  <c r="V1402" i="7" s="1"/>
  <c r="X1402" i="7" s="1"/>
  <c r="T1401" i="7"/>
  <c r="U1401" i="7" s="1"/>
  <c r="V1401" i="7" s="1"/>
  <c r="X1401" i="7" s="1"/>
  <c r="T1400" i="7"/>
  <c r="U1400" i="7" s="1"/>
  <c r="V1400" i="7" s="1"/>
  <c r="X1400" i="7" s="1"/>
  <c r="T1399" i="7"/>
  <c r="U1399" i="7" s="1"/>
  <c r="V1399" i="7" s="1"/>
  <c r="X1399" i="7" s="1"/>
  <c r="T1398" i="7"/>
  <c r="U1398" i="7" s="1"/>
  <c r="V1398" i="7" s="1"/>
  <c r="X1398" i="7" s="1"/>
  <c r="T1397" i="7"/>
  <c r="U1397" i="7" s="1"/>
  <c r="V1397" i="7" s="1"/>
  <c r="X1397" i="7" s="1"/>
  <c r="T1396" i="7"/>
  <c r="U1396" i="7" s="1"/>
  <c r="V1396" i="7" s="1"/>
  <c r="X1396" i="7" s="1"/>
  <c r="T1395" i="7"/>
  <c r="U1395" i="7" s="1"/>
  <c r="V1395" i="7" s="1"/>
  <c r="X1395" i="7" s="1"/>
  <c r="T1394" i="7"/>
  <c r="T1393" i="7"/>
  <c r="U1393" i="7" s="1"/>
  <c r="V1393" i="7" s="1"/>
  <c r="X1393" i="7" s="1"/>
  <c r="S1393" i="7"/>
  <c r="U1394" i="7"/>
  <c r="V1394" i="7" s="1"/>
  <c r="X1394" i="7" s="1"/>
  <c r="S1394" i="7"/>
  <c r="Z1432" i="7"/>
  <c r="AA1432" i="7" s="1"/>
  <c r="Y1432" i="7"/>
  <c r="Z1433" i="7"/>
  <c r="AA1433" i="7" s="1"/>
  <c r="Y1433" i="7"/>
  <c r="Z1440" i="7"/>
  <c r="AA1440" i="7" s="1"/>
  <c r="Y1440" i="7"/>
  <c r="Z1441" i="7"/>
  <c r="AA1441" i="7" s="1"/>
  <c r="Y1441" i="7"/>
  <c r="Z1442" i="7"/>
  <c r="AA1442" i="7" s="1"/>
  <c r="Y1442" i="7"/>
  <c r="Z1443" i="7"/>
  <c r="AA1443" i="7" s="1"/>
  <c r="Y1443" i="7"/>
  <c r="Z1446" i="7"/>
  <c r="AA1446" i="7" s="1"/>
  <c r="Y1446" i="7"/>
  <c r="Z1448" i="7"/>
  <c r="AA1448" i="7" s="1"/>
  <c r="Y1448" i="7"/>
  <c r="Z1449" i="7"/>
  <c r="AA1449" i="7" s="1"/>
  <c r="Y1449" i="7"/>
  <c r="Z1450" i="7"/>
  <c r="AA1450" i="7" s="1"/>
  <c r="Y1450" i="7"/>
  <c r="Z1451" i="7"/>
  <c r="AA1451" i="7" s="1"/>
  <c r="Y1451" i="7"/>
  <c r="Z1452" i="7"/>
  <c r="AA1452" i="7" s="1"/>
  <c r="Y1452" i="7"/>
  <c r="Z1456" i="7"/>
  <c r="AA1456" i="7" s="1"/>
  <c r="Y1456" i="7"/>
  <c r="Z1462" i="7"/>
  <c r="AA1462" i="7" s="1"/>
  <c r="Y1462" i="7"/>
  <c r="Z1465" i="7"/>
  <c r="AA1465" i="7" s="1"/>
  <c r="Y1465" i="7"/>
  <c r="Z1466" i="7"/>
  <c r="AA1466" i="7" s="1"/>
  <c r="Y1466" i="7"/>
  <c r="Z1470" i="7"/>
  <c r="AA1470" i="7" s="1"/>
  <c r="Y1470" i="7"/>
  <c r="Z1471" i="7"/>
  <c r="AA1471" i="7" s="1"/>
  <c r="Y1471" i="7"/>
  <c r="Z1479" i="7"/>
  <c r="AA1479" i="7" s="1"/>
  <c r="Y1479" i="7"/>
  <c r="Z1489" i="7"/>
  <c r="AA1489" i="7" s="1"/>
  <c r="Y1489" i="7"/>
  <c r="Z1491" i="7"/>
  <c r="AA1491" i="7" s="1"/>
  <c r="Y1491" i="7"/>
  <c r="Z1511" i="7"/>
  <c r="AA1511" i="7" s="1"/>
  <c r="V1513" i="7"/>
  <c r="X1513" i="7" s="1"/>
  <c r="Y1513" i="7" s="1"/>
  <c r="Z1513" i="7" s="1"/>
  <c r="AA1513" i="7" s="1"/>
  <c r="V1514" i="7"/>
  <c r="X1514" i="7" s="1"/>
  <c r="V1515" i="7"/>
  <c r="X1515" i="7" s="1"/>
  <c r="V1516" i="7"/>
  <c r="X1516" i="7" s="1"/>
  <c r="Y1516" i="7" s="1"/>
  <c r="Z1516" i="7" s="1"/>
  <c r="AA1516" i="7" s="1"/>
  <c r="V1517" i="7"/>
  <c r="X1517" i="7" s="1"/>
  <c r="V1518" i="7"/>
  <c r="X1518" i="7" s="1"/>
  <c r="V1519" i="7"/>
  <c r="X1519" i="7" s="1"/>
  <c r="V1520" i="7"/>
  <c r="X1520" i="7" s="1"/>
  <c r="V1521" i="7"/>
  <c r="X1521" i="7" s="1"/>
  <c r="Y1521" i="7" s="1"/>
  <c r="Z1521" i="7" s="1"/>
  <c r="AA1521" i="7" s="1"/>
  <c r="V1522" i="7"/>
  <c r="X1522" i="7" s="1"/>
  <c r="Z1522" i="7" s="1"/>
  <c r="AA1522" i="7" s="1"/>
  <c r="V1523" i="7"/>
  <c r="X1523" i="7" s="1"/>
  <c r="Z1523" i="7" s="1"/>
  <c r="AA1523" i="7" s="1"/>
  <c r="V1524" i="7"/>
  <c r="X1524" i="7" s="1"/>
  <c r="Y1524" i="7" s="1"/>
  <c r="Z1524" i="7" s="1"/>
  <c r="AA1524" i="7" s="1"/>
  <c r="V1525" i="7"/>
  <c r="X1525" i="7" s="1"/>
  <c r="Y1525" i="7" s="1"/>
  <c r="Z1525" i="7" s="1"/>
  <c r="AA1525" i="7" s="1"/>
  <c r="V1528" i="7"/>
  <c r="X1528" i="7" s="1"/>
  <c r="V1529" i="7"/>
  <c r="X1529" i="7" s="1"/>
  <c r="Z1529" i="7" s="1"/>
  <c r="AA1529" i="7" s="1"/>
  <c r="V1530" i="7"/>
  <c r="X1530" i="7" s="1"/>
  <c r="Y1530" i="7" s="1"/>
  <c r="Z1530" i="7" s="1"/>
  <c r="AA1530" i="7" s="1"/>
  <c r="V1531" i="7"/>
  <c r="X1531" i="7" s="1"/>
  <c r="V1532" i="7"/>
  <c r="X1532" i="7" s="1"/>
  <c r="Z1532" i="7" s="1"/>
  <c r="AA1532" i="7" s="1"/>
  <c r="V1533" i="7"/>
  <c r="X1533" i="7" s="1"/>
  <c r="Y1533" i="7" s="1"/>
  <c r="Z1533" i="7" s="1"/>
  <c r="AA1533" i="7" s="1"/>
  <c r="V1534" i="7"/>
  <c r="X1534" i="7" s="1"/>
  <c r="Y1534" i="7" s="1"/>
  <c r="Z1534" i="7" s="1"/>
  <c r="AA1534" i="7" s="1"/>
  <c r="V1535" i="7"/>
  <c r="X1535" i="7" s="1"/>
  <c r="Z1535" i="7" s="1"/>
  <c r="AA1535" i="7" s="1"/>
  <c r="Z1537" i="7"/>
  <c r="AA1537" i="7" s="1"/>
  <c r="Y1537" i="7"/>
  <c r="Z1538" i="7"/>
  <c r="AA1538" i="7" s="1"/>
  <c r="Y1538" i="7"/>
  <c r="Z1549" i="7"/>
  <c r="AA1549" i="7" s="1"/>
  <c r="Y1549" i="7"/>
  <c r="Z1550" i="7"/>
  <c r="AA1550" i="7" s="1"/>
  <c r="Y1550" i="7"/>
  <c r="Z1551" i="7"/>
  <c r="AA1551" i="7" s="1"/>
  <c r="Y1551" i="7"/>
  <c r="Z1552" i="7"/>
  <c r="AA1552" i="7" s="1"/>
  <c r="Y1552" i="7"/>
  <c r="Z1556" i="7"/>
  <c r="AA1556" i="7" s="1"/>
  <c r="V1558" i="7"/>
  <c r="X1558" i="7" s="1"/>
  <c r="Y1558" i="7" s="1"/>
  <c r="Z1558" i="7" s="1"/>
  <c r="AA1558" i="7" s="1"/>
  <c r="V1559" i="7"/>
  <c r="X1559" i="7" s="1"/>
  <c r="V1560" i="7"/>
  <c r="X1560" i="7" s="1"/>
  <c r="Y1560" i="7" s="1"/>
  <c r="Z1560" i="7" s="1"/>
  <c r="AA1560" i="7" s="1"/>
  <c r="V1561" i="7"/>
  <c r="X1561" i="7" s="1"/>
  <c r="Y1561" i="7" s="1"/>
  <c r="Z1561" i="7" s="1"/>
  <c r="AA1561" i="7" s="1"/>
  <c r="V1562" i="7"/>
  <c r="X1562" i="7" s="1"/>
  <c r="V1563" i="7"/>
  <c r="X1563" i="7" s="1"/>
  <c r="V1564" i="7"/>
  <c r="X1564" i="7" s="1"/>
  <c r="Y1564" i="7" s="1"/>
  <c r="Z1564" i="7" s="1"/>
  <c r="AA1564" i="7" s="1"/>
  <c r="V1565" i="7"/>
  <c r="X1565" i="7" s="1"/>
  <c r="V1566" i="7"/>
  <c r="X1566" i="7" s="1"/>
  <c r="V1567" i="7"/>
  <c r="X1567" i="7" s="1"/>
  <c r="V1568" i="7"/>
  <c r="X1568" i="7" s="1"/>
  <c r="V1569" i="7"/>
  <c r="X1569" i="7" s="1"/>
  <c r="V1572" i="7"/>
  <c r="X1572" i="7" s="1"/>
  <c r="Y1572" i="7" s="1"/>
  <c r="Z1572" i="7" s="1"/>
  <c r="AA1572" i="7" s="1"/>
  <c r="V1573" i="7"/>
  <c r="X1573" i="7" s="1"/>
  <c r="V1574" i="7"/>
  <c r="X1574" i="7" s="1"/>
  <c r="V1576" i="7"/>
  <c r="X1576" i="7" s="1"/>
  <c r="V1577" i="7"/>
  <c r="X1577" i="7" s="1"/>
  <c r="Z1577" i="7" s="1"/>
  <c r="AA1577" i="7" s="1"/>
  <c r="V1578" i="7"/>
  <c r="X1578" i="7" s="1"/>
  <c r="V1579" i="7"/>
  <c r="X1579" i="7" s="1"/>
  <c r="Y1579" i="7" s="1"/>
  <c r="Z1579" i="7" s="1"/>
  <c r="AA1579" i="7" s="1"/>
  <c r="V1580" i="7"/>
  <c r="X1580" i="7" s="1"/>
  <c r="V1581" i="7"/>
  <c r="X1581" i="7" s="1"/>
  <c r="V1582" i="7"/>
  <c r="X1582" i="7" s="1"/>
  <c r="Z1582" i="7" s="1"/>
  <c r="AA1582" i="7" s="1"/>
  <c r="V1583" i="7"/>
  <c r="X1583" i="7" s="1"/>
  <c r="V1584" i="7"/>
  <c r="X1584" i="7" s="1"/>
  <c r="Z1584" i="7" s="1"/>
  <c r="AA1584" i="7" s="1"/>
  <c r="V1585" i="7"/>
  <c r="X1585" i="7" s="1"/>
  <c r="V1586" i="7"/>
  <c r="X1586" i="7" s="1"/>
  <c r="Z1586" i="7" s="1"/>
  <c r="AA1586" i="7" s="1"/>
  <c r="V1587" i="7"/>
  <c r="X1587" i="7" s="1"/>
  <c r="Z1587" i="7" s="1"/>
  <c r="AA1587" i="7" s="1"/>
  <c r="V1588" i="7"/>
  <c r="X1588" i="7" s="1"/>
  <c r="Y1588" i="7" s="1"/>
  <c r="Z1588" i="7" s="1"/>
  <c r="AA1588" i="7" s="1"/>
  <c r="V1589" i="7"/>
  <c r="X1589" i="7" s="1"/>
  <c r="Y1589" i="7" s="1"/>
  <c r="Z1589" i="7" s="1"/>
  <c r="AA1589" i="7" s="1"/>
  <c r="V1590" i="7"/>
  <c r="X1590" i="7" s="1"/>
  <c r="V1591" i="7"/>
  <c r="X1591" i="7" s="1"/>
  <c r="V1594" i="7"/>
  <c r="X1594" i="7" s="1"/>
  <c r="Y1594" i="7" s="1"/>
  <c r="Z1594" i="7" s="1"/>
  <c r="AA1594" i="7" s="1"/>
  <c r="V1595" i="7"/>
  <c r="X1595" i="7" s="1"/>
  <c r="Y1595" i="7" s="1"/>
  <c r="Z1595" i="7" s="1"/>
  <c r="AA1595" i="7" s="1"/>
  <c r="V1596" i="7"/>
  <c r="X1596" i="7" s="1"/>
  <c r="Y1596" i="7" s="1"/>
  <c r="Z1596" i="7" s="1"/>
  <c r="AA1596" i="7" s="1"/>
  <c r="V1598" i="7"/>
  <c r="X1598" i="7" s="1"/>
  <c r="Y1598" i="7" s="1"/>
  <c r="Z1598" i="7" s="1"/>
  <c r="AA1598" i="7" s="1"/>
  <c r="V1609" i="7"/>
  <c r="X1609" i="7" s="1"/>
  <c r="Y1609" i="7" s="1"/>
  <c r="Z1609" i="7" s="1"/>
  <c r="AA1609" i="7" s="1"/>
  <c r="V1610" i="7"/>
  <c r="X1610" i="7" s="1"/>
  <c r="V1611" i="7"/>
  <c r="X1611" i="7" s="1"/>
  <c r="V1612" i="7"/>
  <c r="X1612" i="7" s="1"/>
  <c r="V1613" i="7"/>
  <c r="X1613" i="7" s="1"/>
  <c r="Y1613" i="7" s="1"/>
  <c r="Z1613" i="7" s="1"/>
  <c r="AA1613" i="7" s="1"/>
  <c r="V1614" i="7"/>
  <c r="X1614" i="7" s="1"/>
  <c r="V1615" i="7"/>
  <c r="X1615" i="7" s="1"/>
  <c r="V1616" i="7"/>
  <c r="X1616" i="7" s="1"/>
  <c r="V1619" i="7"/>
  <c r="X1619" i="7" s="1"/>
  <c r="V1620" i="7"/>
  <c r="X1620" i="7" s="1"/>
  <c r="V1621" i="7"/>
  <c r="X1621" i="7" s="1"/>
  <c r="V1622" i="7"/>
  <c r="X1622" i="7" s="1"/>
  <c r="V1623" i="7"/>
  <c r="X1623" i="7" s="1"/>
  <c r="V1624" i="7"/>
  <c r="X1624" i="7" s="1"/>
  <c r="Y1624" i="7" s="1"/>
  <c r="Z1624" i="7" s="1"/>
  <c r="AA1624" i="7" s="1"/>
  <c r="V1625" i="7"/>
  <c r="X1625" i="7" s="1"/>
  <c r="Y1625" i="7" s="1"/>
  <c r="Z1625" i="7" s="1"/>
  <c r="AA1625" i="7" s="1"/>
  <c r="V1628" i="7"/>
  <c r="X1628" i="7" s="1"/>
  <c r="V1629" i="7"/>
  <c r="X1629" i="7" s="1"/>
  <c r="V1630" i="7"/>
  <c r="X1630" i="7" s="1"/>
  <c r="Y1630" i="7" s="1"/>
  <c r="Z1630" i="7" s="1"/>
  <c r="AA1630" i="7" s="1"/>
  <c r="V1631" i="7"/>
  <c r="X1631" i="7" s="1"/>
  <c r="Y1631" i="7" s="1"/>
  <c r="Z1631" i="7" s="1"/>
  <c r="AA1631" i="7" s="1"/>
  <c r="V1632" i="7"/>
  <c r="X1632" i="7" s="1"/>
  <c r="Y1632" i="7" s="1"/>
  <c r="Z1632" i="7" s="1"/>
  <c r="AA1632" i="7" s="1"/>
  <c r="V1633" i="7"/>
  <c r="X1633" i="7" s="1"/>
  <c r="Y1633" i="7" s="1"/>
  <c r="Z1633" i="7" s="1"/>
  <c r="AA1633" i="7" s="1"/>
  <c r="V1636" i="7"/>
  <c r="X1636" i="7" s="1"/>
  <c r="Y1636" i="7" s="1"/>
  <c r="Z1636" i="7" s="1"/>
  <c r="AA1636" i="7" s="1"/>
  <c r="V1637" i="7"/>
  <c r="X1637" i="7" s="1"/>
  <c r="Y1637" i="7" s="1"/>
  <c r="Z1637" i="7" s="1"/>
  <c r="AA1637" i="7" s="1"/>
  <c r="V1638" i="7"/>
  <c r="X1638" i="7" s="1"/>
  <c r="Y1638" i="7" s="1"/>
  <c r="Z1638" i="7" s="1"/>
  <c r="AA1638" i="7" s="1"/>
  <c r="V1639" i="7"/>
  <c r="X1639" i="7" s="1"/>
  <c r="V1640" i="7"/>
  <c r="X1640" i="7" s="1"/>
  <c r="V1641" i="7"/>
  <c r="X1641" i="7" s="1"/>
  <c r="Y1641" i="7" s="1"/>
  <c r="Z1641" i="7" s="1"/>
  <c r="AA1641" i="7" s="1"/>
  <c r="V1642" i="7"/>
  <c r="X1642" i="7" s="1"/>
  <c r="V1643" i="7"/>
  <c r="X1643" i="7" s="1"/>
  <c r="Z1643" i="7" s="1"/>
  <c r="AA1643" i="7" s="1"/>
  <c r="V1644" i="7"/>
  <c r="X1644" i="7" s="1"/>
  <c r="Y1644" i="7" s="1"/>
  <c r="Z1644" i="7" s="1"/>
  <c r="AA1644" i="7" s="1"/>
  <c r="V1645" i="7"/>
  <c r="X1645" i="7" s="1"/>
  <c r="Z1645" i="7" s="1"/>
  <c r="AA1645" i="7" s="1"/>
  <c r="V1646" i="7"/>
  <c r="X1646" i="7" s="1"/>
  <c r="Z1646" i="7" s="1"/>
  <c r="AA1646" i="7" s="1"/>
  <c r="V1647" i="7"/>
  <c r="X1647" i="7" s="1"/>
  <c r="Y1647" i="7" s="1"/>
  <c r="Z1647" i="7" s="1"/>
  <c r="AA1647" i="7" s="1"/>
  <c r="Z1642" i="7" l="1"/>
  <c r="AA1642" i="7" s="1"/>
  <c r="Y1642" i="7"/>
  <c r="Z1640" i="7"/>
  <c r="AA1640" i="7" s="1"/>
  <c r="Y1640" i="7"/>
  <c r="Z1639" i="7"/>
  <c r="AA1639" i="7" s="1"/>
  <c r="Y1639" i="7"/>
  <c r="Y1628" i="7"/>
  <c r="Z1628" i="7" s="1"/>
  <c r="AA1628" i="7" s="1"/>
  <c r="Y1616" i="7"/>
  <c r="Z1616" i="7" s="1"/>
  <c r="AA1616" i="7" s="1"/>
  <c r="Y1615" i="7"/>
  <c r="Z1615" i="7" s="1"/>
  <c r="AA1615" i="7" s="1"/>
  <c r="Z1614" i="7"/>
  <c r="AA1614" i="7" s="1"/>
  <c r="Y1611" i="7"/>
  <c r="Z1611" i="7" s="1"/>
  <c r="AA1611" i="7" s="1"/>
  <c r="Z1610" i="7"/>
  <c r="AA1610" i="7" s="1"/>
  <c r="Y1610" i="7"/>
  <c r="Z1583" i="7"/>
  <c r="AA1583" i="7" s="1"/>
  <c r="Y1583" i="7"/>
  <c r="Z1570" i="7"/>
  <c r="AA1570" i="7" s="1"/>
  <c r="Y1570" i="7"/>
  <c r="Y1569" i="7"/>
  <c r="Z1568" i="7"/>
  <c r="AA1568" i="7" s="1"/>
  <c r="Z1567" i="7"/>
  <c r="AA1567" i="7" s="1"/>
  <c r="Y1556" i="7"/>
  <c r="Z1566" i="7"/>
  <c r="AA1566" i="7" s="1"/>
  <c r="Y1566" i="7"/>
  <c r="Z1565" i="7"/>
  <c r="AA1565" i="7" s="1"/>
  <c r="Z1563" i="7"/>
  <c r="AA1563" i="7" s="1"/>
  <c r="Z1562" i="7"/>
  <c r="AA1562" i="7" s="1"/>
  <c r="Y1562" i="7"/>
  <c r="Z1559" i="7"/>
  <c r="AA1559" i="7" s="1"/>
  <c r="Y1559" i="7"/>
  <c r="Z1531" i="7"/>
  <c r="AA1531" i="7" s="1"/>
  <c r="Y1531" i="7"/>
  <c r="Z1528" i="7"/>
  <c r="AA1528" i="7" s="1"/>
  <c r="Y1528" i="7"/>
  <c r="Z1519" i="7"/>
  <c r="AA1519" i="7" s="1"/>
  <c r="Y1519" i="7"/>
  <c r="Z1518" i="7"/>
  <c r="AA1518" i="7" s="1"/>
  <c r="Y1518" i="7"/>
  <c r="Z1517" i="7"/>
  <c r="AA1517" i="7" s="1"/>
  <c r="Y1511" i="7"/>
  <c r="Z1515" i="7"/>
  <c r="AA1515" i="7" s="1"/>
  <c r="Y1515" i="7"/>
  <c r="Z1514" i="7"/>
  <c r="AA1514" i="7" s="1"/>
  <c r="Y1514" i="7"/>
  <c r="Y1390" i="7"/>
  <c r="Z1392" i="7"/>
  <c r="AA1392" i="7" s="1"/>
  <c r="Z1393" i="7"/>
  <c r="AA1393" i="7" s="1"/>
  <c r="Y1393" i="7"/>
  <c r="Z1395" i="7"/>
  <c r="AA1395" i="7" s="1"/>
  <c r="Y1395" i="7"/>
  <c r="Z1396" i="7"/>
  <c r="AA1396" i="7" s="1"/>
  <c r="Y1396" i="7"/>
  <c r="Z1397" i="7"/>
  <c r="AA1397" i="7" s="1"/>
  <c r="Y1397" i="7"/>
  <c r="Z1398" i="7"/>
  <c r="AA1398" i="7" s="1"/>
  <c r="Y1389" i="7"/>
  <c r="Z1399" i="7"/>
  <c r="AA1399" i="7" s="1"/>
  <c r="Y1391" i="7"/>
  <c r="Z1401" i="7"/>
  <c r="AA1401" i="7" s="1"/>
  <c r="Y1401" i="7"/>
  <c r="Z1402" i="7"/>
  <c r="AA1402" i="7" s="1"/>
  <c r="Y1402" i="7"/>
  <c r="Z1406" i="7"/>
  <c r="AA1406" i="7" s="1"/>
  <c r="Y1406" i="7"/>
  <c r="Z1410" i="7"/>
  <c r="AA1410" i="7" s="1"/>
  <c r="Y1410" i="7"/>
  <c r="Z1413" i="7"/>
  <c r="AA1413" i="7" s="1"/>
  <c r="Y1413" i="7"/>
  <c r="Z1423" i="7"/>
  <c r="AA1423" i="7" s="1"/>
  <c r="Y1423" i="7"/>
  <c r="Z1430" i="7"/>
  <c r="AA1430" i="7" s="1"/>
  <c r="Y1430" i="7"/>
  <c r="Z1371" i="7"/>
  <c r="AA1371" i="7" s="1"/>
  <c r="Y1371" i="7"/>
  <c r="Y1358" i="7"/>
  <c r="Z1358" i="7" s="1"/>
  <c r="AA1358" i="7" s="1"/>
  <c r="Z1356" i="7"/>
  <c r="AA1356" i="7" s="1"/>
  <c r="Y1356" i="7"/>
  <c r="Y1355" i="7"/>
  <c r="Z1355" i="7" s="1"/>
  <c r="AA1355" i="7" s="1"/>
  <c r="Z1353" i="7"/>
  <c r="AA1353" i="7" s="1"/>
  <c r="Y1353" i="7"/>
  <c r="Z1352" i="7"/>
  <c r="AA1352" i="7" s="1"/>
  <c r="Y1352" i="7"/>
  <c r="Y1343" i="7"/>
  <c r="Z1343" i="7" s="1"/>
  <c r="AA1343" i="7" s="1"/>
  <c r="Z1350" i="7"/>
  <c r="AA1350" i="7" s="1"/>
  <c r="Z1349" i="7"/>
  <c r="AA1349" i="7" s="1"/>
  <c r="Y1349" i="7"/>
  <c r="Y1348" i="7"/>
  <c r="Z1348" i="7" s="1"/>
  <c r="AA1348" i="7" s="1"/>
  <c r="Z1347" i="7"/>
  <c r="AA1347" i="7" s="1"/>
  <c r="Y1347" i="7"/>
  <c r="Z1346" i="7"/>
  <c r="AA1346" i="7" s="1"/>
  <c r="Y1346" i="7"/>
  <c r="Z1331" i="7"/>
  <c r="AA1331" i="7" s="1"/>
  <c r="Y1331" i="7"/>
  <c r="Z1330" i="7"/>
  <c r="AA1330" i="7" s="1"/>
  <c r="Y1330" i="7"/>
  <c r="Y1310" i="7"/>
  <c r="Z1310" i="7" s="1"/>
  <c r="AA1310" i="7" s="1"/>
  <c r="Y1307" i="7"/>
  <c r="Z1307" i="7" s="1"/>
  <c r="AA1307" i="7" s="1"/>
  <c r="V1279" i="7"/>
  <c r="X1279" i="7" s="1"/>
  <c r="V1278" i="7"/>
  <c r="X1278" i="7" s="1"/>
  <c r="V1277" i="7"/>
  <c r="X1277" i="7" s="1"/>
  <c r="V1276" i="7"/>
  <c r="X1276" i="7" s="1"/>
  <c r="V1275" i="7"/>
  <c r="X1275" i="7" s="1"/>
  <c r="V1268" i="7"/>
  <c r="X1268" i="7" s="1"/>
  <c r="Y1268" i="7" s="1"/>
  <c r="Z1268" i="7" s="1"/>
  <c r="AA1268" i="7" s="1"/>
  <c r="V1269" i="7"/>
  <c r="X1269" i="7" s="1"/>
  <c r="Y1269" i="7" s="1"/>
  <c r="Z1269" i="7" s="1"/>
  <c r="AA1269" i="7" s="1"/>
  <c r="V1271" i="7"/>
  <c r="X1271" i="7" s="1"/>
  <c r="V1272" i="7"/>
  <c r="X1272" i="7" s="1"/>
  <c r="Y1272" i="7" s="1"/>
  <c r="Z1272" i="7" s="1"/>
  <c r="AA1272" i="7" s="1"/>
  <c r="V1273" i="7"/>
  <c r="X1273" i="7" s="1"/>
  <c r="V1274" i="7"/>
  <c r="X1274" i="7" s="1"/>
  <c r="V1281" i="7"/>
  <c r="X1281" i="7" s="1"/>
  <c r="V1282" i="7"/>
  <c r="X1282" i="7" s="1"/>
  <c r="V1283" i="7"/>
  <c r="X1283" i="7" s="1"/>
  <c r="Y1283" i="7" s="1"/>
  <c r="Z1283" i="7" s="1"/>
  <c r="AA1283" i="7" s="1"/>
  <c r="V1284" i="7"/>
  <c r="X1284" i="7" s="1"/>
  <c r="V1285" i="7"/>
  <c r="X1285" i="7" s="1"/>
  <c r="Y1285" i="7" s="1"/>
  <c r="Z1285" i="7" s="1"/>
  <c r="AA1285" i="7" s="1"/>
  <c r="V1286" i="7"/>
  <c r="X1286" i="7" s="1"/>
  <c r="V1287" i="7"/>
  <c r="X1287" i="7" s="1"/>
  <c r="Z1287" i="7" s="1"/>
  <c r="AA1287" i="7" s="1"/>
  <c r="V1288" i="7"/>
  <c r="X1288" i="7" s="1"/>
  <c r="V1289" i="7"/>
  <c r="X1289" i="7" s="1"/>
  <c r="Y1289" i="7" s="1"/>
  <c r="Z1289" i="7" s="1"/>
  <c r="AA1289" i="7" s="1"/>
  <c r="V1290" i="7"/>
  <c r="X1290" i="7" s="1"/>
  <c r="Y1290" i="7" s="1"/>
  <c r="Z1290" i="7" s="1"/>
  <c r="AA1290" i="7" s="1"/>
  <c r="V1291" i="7"/>
  <c r="X1291" i="7" s="1"/>
  <c r="V1292" i="7"/>
  <c r="X1292" i="7" s="1"/>
  <c r="V1293" i="7"/>
  <c r="X1293" i="7" s="1"/>
  <c r="V1294" i="7"/>
  <c r="X1294" i="7" s="1"/>
  <c r="Y1294" i="7" s="1"/>
  <c r="Z1294" i="7" s="1"/>
  <c r="AA1294" i="7" s="1"/>
  <c r="V1295" i="7"/>
  <c r="X1295" i="7" s="1"/>
  <c r="Z1295" i="7" s="1"/>
  <c r="AA1295" i="7" s="1"/>
  <c r="Z1246" i="7"/>
  <c r="AA1246" i="7" s="1"/>
  <c r="Y1246" i="7"/>
  <c r="V1245" i="7"/>
  <c r="X1245" i="7" s="1"/>
  <c r="V1239" i="7"/>
  <c r="X1239" i="7" s="1"/>
  <c r="V1238" i="7"/>
  <c r="X1238" i="7" s="1"/>
  <c r="V1237" i="7"/>
  <c r="X1237" i="7" s="1"/>
  <c r="V1236" i="7"/>
  <c r="X1236" i="7" s="1"/>
  <c r="V1234" i="7"/>
  <c r="X1234" i="7" s="1"/>
  <c r="V1233" i="7"/>
  <c r="X1233" i="7" s="1"/>
  <c r="V1240" i="7"/>
  <c r="X1240" i="7" s="1"/>
  <c r="V1241" i="7"/>
  <c r="X1241" i="7" s="1"/>
  <c r="V1242" i="7"/>
  <c r="X1242" i="7" s="1"/>
  <c r="Y1242" i="7" s="1"/>
  <c r="Z1242" i="7" s="1"/>
  <c r="AA1242" i="7" s="1"/>
  <c r="V1243" i="7"/>
  <c r="X1243" i="7" s="1"/>
  <c r="V1247" i="7"/>
  <c r="X1247" i="7" s="1"/>
  <c r="Z1247" i="7" s="1"/>
  <c r="AA1247" i="7" s="1"/>
  <c r="V1248" i="7"/>
  <c r="X1248" i="7" s="1"/>
  <c r="V1249" i="7"/>
  <c r="X1249" i="7" s="1"/>
  <c r="V1250" i="7"/>
  <c r="X1250" i="7" s="1"/>
  <c r="V1251" i="7"/>
  <c r="X1251" i="7" s="1"/>
  <c r="V1252" i="7"/>
  <c r="X1252" i="7" s="1"/>
  <c r="Z1252" i="7" s="1"/>
  <c r="AA1252" i="7" s="1"/>
  <c r="V1253" i="7"/>
  <c r="X1253" i="7" s="1"/>
  <c r="V1254" i="7"/>
  <c r="X1254" i="7" s="1"/>
  <c r="V1255" i="7"/>
  <c r="X1255" i="7" s="1"/>
  <c r="V1256" i="7"/>
  <c r="X1256" i="7" s="1"/>
  <c r="V1257" i="7"/>
  <c r="X1257" i="7" s="1"/>
  <c r="V1258" i="7"/>
  <c r="X1258" i="7" s="1"/>
  <c r="V1259" i="7"/>
  <c r="X1259" i="7" s="1"/>
  <c r="Z1259" i="7" s="1"/>
  <c r="AA1259" i="7" s="1"/>
  <c r="V1260" i="7"/>
  <c r="X1260" i="7" s="1"/>
  <c r="V1261" i="7"/>
  <c r="X1261" i="7" s="1"/>
  <c r="V1262" i="7"/>
  <c r="X1262" i="7" s="1"/>
  <c r="V1263" i="7"/>
  <c r="X1263" i="7" s="1"/>
  <c r="V1264" i="7"/>
  <c r="X1264" i="7" s="1"/>
  <c r="V1265" i="7"/>
  <c r="X1265" i="7" s="1"/>
  <c r="V1266" i="7"/>
  <c r="X1266" i="7" s="1"/>
  <c r="V1226" i="7"/>
  <c r="X1226" i="7" s="1"/>
  <c r="V1209" i="7"/>
  <c r="X1209" i="7" s="1"/>
  <c r="Y1209" i="7" s="1"/>
  <c r="Z1209" i="7" s="1"/>
  <c r="AA1209" i="7" s="1"/>
  <c r="V1208" i="7"/>
  <c r="X1208" i="7" s="1"/>
  <c r="V1201" i="7"/>
  <c r="X1201" i="7" s="1"/>
  <c r="V1202" i="7"/>
  <c r="X1202" i="7" s="1"/>
  <c r="Y1202" i="7" s="1"/>
  <c r="Z1202" i="7" s="1"/>
  <c r="AA1202" i="7" s="1"/>
  <c r="V1203" i="7"/>
  <c r="X1203" i="7" s="1"/>
  <c r="V1205" i="7"/>
  <c r="X1205" i="7" s="1"/>
  <c r="V1206" i="7"/>
  <c r="X1206" i="7" s="1"/>
  <c r="V1207" i="7"/>
  <c r="X1207" i="7" s="1"/>
  <c r="V1210" i="7"/>
  <c r="X1210" i="7" s="1"/>
  <c r="Z1210" i="7" s="1"/>
  <c r="AA1210" i="7" s="1"/>
  <c r="V1211" i="7"/>
  <c r="X1211" i="7" s="1"/>
  <c r="V1212" i="7"/>
  <c r="X1212" i="7" s="1"/>
  <c r="V1213" i="7"/>
  <c r="X1213" i="7" s="1"/>
  <c r="Z1213" i="7" s="1"/>
  <c r="AA1213" i="7" s="1"/>
  <c r="V1214" i="7"/>
  <c r="X1214" i="7" s="1"/>
  <c r="V1215" i="7"/>
  <c r="X1215" i="7" s="1"/>
  <c r="Y1215" i="7" s="1"/>
  <c r="Z1215" i="7" s="1"/>
  <c r="AA1215" i="7" s="1"/>
  <c r="V1216" i="7"/>
  <c r="X1216" i="7" s="1"/>
  <c r="V1217" i="7"/>
  <c r="X1217" i="7" s="1"/>
  <c r="V1218" i="7"/>
  <c r="X1218" i="7" s="1"/>
  <c r="V1219" i="7"/>
  <c r="X1219" i="7" s="1"/>
  <c r="V1220" i="7"/>
  <c r="X1220" i="7" s="1"/>
  <c r="V1221" i="7"/>
  <c r="X1221" i="7" s="1"/>
  <c r="V1222" i="7"/>
  <c r="X1222" i="7" s="1"/>
  <c r="Z1222" i="7" s="1"/>
  <c r="AA1222" i="7" s="1"/>
  <c r="V1223" i="7"/>
  <c r="X1223" i="7" s="1"/>
  <c r="Y1223" i="7" s="1"/>
  <c r="Z1223" i="7" s="1"/>
  <c r="AA1223" i="7" s="1"/>
  <c r="V1224" i="7"/>
  <c r="X1224" i="7" s="1"/>
  <c r="V1225" i="7"/>
  <c r="X1225" i="7" s="1"/>
  <c r="Y1225" i="7" s="1"/>
  <c r="Z1225" i="7" s="1"/>
  <c r="AA1225" i="7" s="1"/>
  <c r="V1228" i="7"/>
  <c r="X1228" i="7" s="1"/>
  <c r="Y1228" i="7" s="1"/>
  <c r="Z1228" i="7" s="1"/>
  <c r="AA1228" i="7" s="1"/>
  <c r="V1229" i="7"/>
  <c r="X1229" i="7" s="1"/>
  <c r="V1230" i="7"/>
  <c r="X1230" i="7" s="1"/>
  <c r="V1231" i="7"/>
  <c r="X1231" i="7" s="1"/>
  <c r="Z1231" i="7" s="1"/>
  <c r="AA1231" i="7" s="1"/>
  <c r="V1232" i="7"/>
  <c r="X1232" i="7" s="1"/>
  <c r="V1188" i="7"/>
  <c r="X1188" i="7" s="1"/>
  <c r="Y1188" i="7" s="1"/>
  <c r="Z1188" i="7" s="1"/>
  <c r="AA1188" i="7" s="1"/>
  <c r="V1187" i="7"/>
  <c r="X1187" i="7" s="1"/>
  <c r="V1186" i="7"/>
  <c r="X1186" i="7" s="1"/>
  <c r="V1173" i="7"/>
  <c r="X1173" i="7" s="1"/>
  <c r="V1174" i="7"/>
  <c r="X1174" i="7" s="1"/>
  <c r="V1175" i="7"/>
  <c r="X1175" i="7" s="1"/>
  <c r="V1176" i="7"/>
  <c r="X1176" i="7" s="1"/>
  <c r="V1177" i="7"/>
  <c r="X1177" i="7" s="1"/>
  <c r="V1179" i="7"/>
  <c r="X1179" i="7" s="1"/>
  <c r="Y1179" i="7" s="1"/>
  <c r="Z1179" i="7" s="1"/>
  <c r="AA1179" i="7" s="1"/>
  <c r="V1180" i="7"/>
  <c r="X1180" i="7" s="1"/>
  <c r="V1181" i="7"/>
  <c r="X1181" i="7" s="1"/>
  <c r="V1182" i="7"/>
  <c r="X1182" i="7" s="1"/>
  <c r="V1183" i="7"/>
  <c r="X1183" i="7" s="1"/>
  <c r="V1184" i="7"/>
  <c r="X1184" i="7" s="1"/>
  <c r="V1185" i="7"/>
  <c r="X1185" i="7" s="1"/>
  <c r="V1190" i="7"/>
  <c r="X1190" i="7" s="1"/>
  <c r="V1191" i="7"/>
  <c r="X1191" i="7" s="1"/>
  <c r="Y1191" i="7" s="1"/>
  <c r="Z1191" i="7" s="1"/>
  <c r="AA1191" i="7" s="1"/>
  <c r="V1192" i="7"/>
  <c r="X1192" i="7" s="1"/>
  <c r="Z1090" i="7"/>
  <c r="AA1090" i="7" s="1"/>
  <c r="Y1090" i="7"/>
  <c r="Z1099" i="7"/>
  <c r="AA1099" i="7" s="1"/>
  <c r="Y1099" i="7"/>
  <c r="Y1091" i="7"/>
  <c r="Z1094" i="7"/>
  <c r="AA1094" i="7" s="1"/>
  <c r="Z1101" i="7"/>
  <c r="AA1101" i="7" s="1"/>
  <c r="Y1101" i="7"/>
  <c r="Z1158" i="7"/>
  <c r="AA1158" i="7" s="1"/>
  <c r="Y1104" i="7"/>
  <c r="Z1127" i="7"/>
  <c r="AA1127" i="7" s="1"/>
  <c r="Y1127" i="7"/>
  <c r="Y1093" i="7"/>
  <c r="Z1093" i="7" s="1"/>
  <c r="AA1093" i="7" s="1"/>
  <c r="Z1107" i="7"/>
  <c r="AA1107" i="7" s="1"/>
  <c r="Y1107" i="7"/>
  <c r="Y1112" i="7"/>
  <c r="Z1112" i="7" s="1"/>
  <c r="AA1112" i="7" s="1"/>
  <c r="Y1111" i="7"/>
  <c r="Z1111" i="7" s="1"/>
  <c r="AA1111" i="7" s="1"/>
  <c r="Z1064" i="7"/>
  <c r="AA1064" i="7" s="1"/>
  <c r="Y1064" i="7"/>
  <c r="V1084" i="7"/>
  <c r="X1084" i="7" s="1"/>
  <c r="Y1065" i="7" s="1"/>
  <c r="Z1065" i="7" s="1"/>
  <c r="AA1065" i="7" s="1"/>
  <c r="V1083" i="7"/>
  <c r="X1083" i="7" s="1"/>
  <c r="V1082" i="7"/>
  <c r="X1082" i="7" s="1"/>
  <c r="V1069" i="7"/>
  <c r="X1069" i="7" s="1"/>
  <c r="V1070" i="7"/>
  <c r="X1070" i="7" s="1"/>
  <c r="V1071" i="7"/>
  <c r="X1071" i="7" s="1"/>
  <c r="V1072" i="7"/>
  <c r="X1072" i="7" s="1"/>
  <c r="V1073" i="7"/>
  <c r="X1073" i="7" s="1"/>
  <c r="V1075" i="7"/>
  <c r="X1075" i="7" s="1"/>
  <c r="Y1075" i="7" s="1"/>
  <c r="Z1075" i="7" s="1"/>
  <c r="AA1075" i="7" s="1"/>
  <c r="V1076" i="7"/>
  <c r="X1076" i="7" s="1"/>
  <c r="V1077" i="7"/>
  <c r="X1077" i="7" s="1"/>
  <c r="V1078" i="7"/>
  <c r="X1078" i="7" s="1"/>
  <c r="Z1061" i="7" s="1"/>
  <c r="AA1061" i="7" s="1"/>
  <c r="V1079" i="7"/>
  <c r="X1079" i="7" s="1"/>
  <c r="V1080" i="7"/>
  <c r="X1080" i="7" s="1"/>
  <c r="V1081" i="7"/>
  <c r="X1081" i="7" s="1"/>
  <c r="V1086" i="7"/>
  <c r="X1086" i="7" s="1"/>
  <c r="V1087" i="7"/>
  <c r="X1087" i="7" s="1"/>
  <c r="Y1087" i="7" s="1"/>
  <c r="Z1087" i="7" s="1"/>
  <c r="AA1087" i="7" s="1"/>
  <c r="V1088" i="7"/>
  <c r="X1088" i="7" s="1"/>
  <c r="X1028" i="7"/>
  <c r="Y1028" i="7" s="1"/>
  <c r="Z1028" i="7" s="1"/>
  <c r="AA1028" i="7" s="1"/>
  <c r="V1028" i="7"/>
  <c r="X1027" i="7"/>
  <c r="V1027" i="7"/>
  <c r="X1026" i="7"/>
  <c r="Y1026" i="7" s="1"/>
  <c r="Z1026" i="7" s="1"/>
  <c r="AA1026" i="7" s="1"/>
  <c r="V1026" i="7"/>
  <c r="Y1017" i="7"/>
  <c r="Z1017" i="7" s="1"/>
  <c r="AA1017" i="7" s="1"/>
  <c r="Z1004" i="7"/>
  <c r="AA1004" i="7" s="1"/>
  <c r="Y1004" i="7"/>
  <c r="Z1005" i="7"/>
  <c r="AA1005" i="7" s="1"/>
  <c r="Y1005" i="7"/>
  <c r="Z1006" i="7"/>
  <c r="AA1006" i="7" s="1"/>
  <c r="Y1006" i="7"/>
  <c r="Z990" i="7"/>
  <c r="AA990" i="7" s="1"/>
  <c r="Y990" i="7"/>
  <c r="Z992" i="7"/>
  <c r="AA992" i="7" s="1"/>
  <c r="Y986" i="7"/>
  <c r="Z927" i="7"/>
  <c r="AA927" i="7" s="1"/>
  <c r="Y927" i="7"/>
  <c r="Z925" i="7"/>
  <c r="AA925" i="7" s="1"/>
  <c r="Y925" i="7"/>
  <c r="Z922" i="7"/>
  <c r="AA922" i="7" s="1"/>
  <c r="Y922" i="7"/>
  <c r="Z899" i="7"/>
  <c r="AA899" i="7" s="1"/>
  <c r="Y899" i="7"/>
  <c r="Z898" i="7"/>
  <c r="AA898" i="7" s="1"/>
  <c r="Y898" i="7"/>
  <c r="Z897" i="7"/>
  <c r="AA897" i="7" s="1"/>
  <c r="Y897" i="7"/>
  <c r="Z896" i="7"/>
  <c r="AA896" i="7" s="1"/>
  <c r="Y896" i="7"/>
  <c r="Y894" i="7"/>
  <c r="Z894" i="7" s="1"/>
  <c r="AA894" i="7" s="1"/>
  <c r="Z892" i="7"/>
  <c r="AA892" i="7" s="1"/>
  <c r="Y892" i="7"/>
  <c r="Y891" i="7"/>
  <c r="Z891" i="7" s="1"/>
  <c r="AA891" i="7" s="1"/>
  <c r="Z889" i="7"/>
  <c r="AA889" i="7" s="1"/>
  <c r="Y889" i="7"/>
  <c r="V871" i="7"/>
  <c r="X871" i="7" s="1"/>
  <c r="V869" i="7"/>
  <c r="X869" i="7" s="1"/>
  <c r="V873" i="7"/>
  <c r="X873" i="7" s="1"/>
  <c r="V874" i="7"/>
  <c r="X874" i="7" s="1"/>
  <c r="Y874" i="7" s="1"/>
  <c r="Z874" i="7" s="1"/>
  <c r="AA874" i="7" s="1"/>
  <c r="V875" i="7"/>
  <c r="X875" i="7" s="1"/>
  <c r="V876" i="7"/>
  <c r="X876" i="7" s="1"/>
  <c r="V877" i="7"/>
  <c r="X877" i="7" s="1"/>
  <c r="Z877" i="7" s="1"/>
  <c r="AA877" i="7" s="1"/>
  <c r="V878" i="7"/>
  <c r="X878" i="7" s="1"/>
  <c r="V879" i="7"/>
  <c r="X879" i="7" s="1"/>
  <c r="V880" i="7"/>
  <c r="X880" i="7" s="1"/>
  <c r="V881" i="7"/>
  <c r="X881" i="7" s="1"/>
  <c r="Z881" i="7" s="1"/>
  <c r="AA881" i="7" s="1"/>
  <c r="V882" i="7"/>
  <c r="X882" i="7" s="1"/>
  <c r="V883" i="7"/>
  <c r="X883" i="7" s="1"/>
  <c r="V884" i="7"/>
  <c r="X884" i="7" s="1"/>
  <c r="V885" i="7"/>
  <c r="X885" i="7" s="1"/>
  <c r="V886" i="7"/>
  <c r="X886" i="7" s="1"/>
  <c r="V887" i="7"/>
  <c r="X887" i="7" s="1"/>
  <c r="Z861" i="7"/>
  <c r="AA861" i="7" s="1"/>
  <c r="Y855" i="7"/>
  <c r="Z855" i="7" s="1"/>
  <c r="AA855" i="7" s="1"/>
  <c r="Z854" i="7"/>
  <c r="AA854" i="7" s="1"/>
  <c r="Z852" i="7"/>
  <c r="AA852" i="7" s="1"/>
  <c r="Y852" i="7"/>
  <c r="Y851" i="7"/>
  <c r="Z851" i="7" s="1"/>
  <c r="AA851" i="7" s="1"/>
  <c r="V850" i="7"/>
  <c r="X850" i="7" s="1"/>
  <c r="V832" i="7"/>
  <c r="X832" i="7" s="1"/>
  <c r="V833" i="7"/>
  <c r="X833" i="7" s="1"/>
  <c r="Y833" i="7" s="1"/>
  <c r="Z833" i="7" s="1"/>
  <c r="AA833" i="7" s="1"/>
  <c r="V834" i="7"/>
  <c r="X834" i="7" s="1"/>
  <c r="V836" i="7"/>
  <c r="X836" i="7" s="1"/>
  <c r="Y836" i="7" s="1"/>
  <c r="Z836" i="7" s="1"/>
  <c r="AA836" i="7" s="1"/>
  <c r="V837" i="7"/>
  <c r="X837" i="7" s="1"/>
  <c r="V838" i="7"/>
  <c r="X838" i="7" s="1"/>
  <c r="V839" i="7"/>
  <c r="X839" i="7" s="1"/>
  <c r="Y839" i="7" s="1"/>
  <c r="Z839" i="7" s="1"/>
  <c r="AA839" i="7" s="1"/>
  <c r="V840" i="7"/>
  <c r="X840" i="7" s="1"/>
  <c r="V841" i="7"/>
  <c r="X841" i="7" s="1"/>
  <c r="V842" i="7"/>
  <c r="X842" i="7" s="1"/>
  <c r="V843" i="7"/>
  <c r="X843" i="7" s="1"/>
  <c r="V844" i="7"/>
  <c r="X844" i="7" s="1"/>
  <c r="V845" i="7"/>
  <c r="X845" i="7" s="1"/>
  <c r="V846" i="7"/>
  <c r="X846" i="7" s="1"/>
  <c r="V847" i="7"/>
  <c r="X847" i="7" s="1"/>
  <c r="V848" i="7"/>
  <c r="X848" i="7" s="1"/>
  <c r="V849" i="7"/>
  <c r="X849" i="7" s="1"/>
  <c r="Z819" i="7"/>
  <c r="AA819" i="7" s="1"/>
  <c r="Y819" i="7"/>
  <c r="Y802" i="7"/>
  <c r="Z802" i="7" s="1"/>
  <c r="AA802" i="7" s="1"/>
  <c r="Y800" i="7"/>
  <c r="Z800" i="7" s="1"/>
  <c r="AA800" i="7" s="1"/>
  <c r="Z792" i="7"/>
  <c r="AA792" i="7" s="1"/>
  <c r="Y789" i="7"/>
  <c r="Z789" i="7" s="1"/>
  <c r="AA789" i="7" s="1"/>
  <c r="Y788" i="7"/>
  <c r="Z788" i="7" s="1"/>
  <c r="AA788" i="7" s="1"/>
  <c r="Z784" i="7"/>
  <c r="AA784" i="7" s="1"/>
  <c r="Y780" i="7"/>
  <c r="Z780" i="7" s="1"/>
  <c r="AA780" i="7" s="1"/>
  <c r="Z774" i="7"/>
  <c r="AA774" i="7" s="1"/>
  <c r="Z771" i="7"/>
  <c r="AA771" i="7" s="1"/>
  <c r="Y771" i="7"/>
  <c r="Z762" i="7"/>
  <c r="AA762" i="7" s="1"/>
  <c r="Y762" i="7"/>
  <c r="Z760" i="7"/>
  <c r="AA760" i="7" s="1"/>
  <c r="Y758" i="7"/>
  <c r="Z758" i="7" s="1"/>
  <c r="AA758" i="7" s="1"/>
  <c r="Y755" i="7"/>
  <c r="Z755" i="7" s="1"/>
  <c r="AA755" i="7" s="1"/>
  <c r="Z745" i="7"/>
  <c r="AA745" i="7" s="1"/>
  <c r="Y745" i="7"/>
  <c r="Z750" i="7"/>
  <c r="AA750" i="7" s="1"/>
  <c r="Z749" i="7"/>
  <c r="AA749" i="7" s="1"/>
  <c r="Z748" i="7"/>
  <c r="AA748" i="7" s="1"/>
  <c r="Y748" i="7"/>
  <c r="Z746" i="7"/>
  <c r="AA746" i="7" s="1"/>
  <c r="Y746" i="7"/>
  <c r="Z744" i="7"/>
  <c r="AA744" i="7" s="1"/>
  <c r="Y744" i="7"/>
  <c r="Z741" i="7"/>
  <c r="AA741" i="7" s="1"/>
  <c r="Y741" i="7"/>
  <c r="Z739" i="7"/>
  <c r="AA739" i="7" s="1"/>
  <c r="Y739" i="7"/>
  <c r="Z738" i="7"/>
  <c r="AA738" i="7" s="1"/>
  <c r="Y738" i="7"/>
  <c r="Z737" i="7"/>
  <c r="AA737" i="7" s="1"/>
  <c r="Y737" i="7"/>
  <c r="Z732" i="7"/>
  <c r="AA732" i="7" s="1"/>
  <c r="Y732" i="7"/>
  <c r="Z728" i="7"/>
  <c r="AA728" i="7" s="1"/>
  <c r="Y728" i="7"/>
  <c r="Z727" i="7"/>
  <c r="AA727" i="7" s="1"/>
  <c r="Y727" i="7"/>
  <c r="Z725" i="7"/>
  <c r="AA725" i="7" s="1"/>
  <c r="Y725" i="7"/>
  <c r="Z723" i="7"/>
  <c r="AA723" i="7" s="1"/>
  <c r="Z720" i="7"/>
  <c r="AA720" i="7" s="1"/>
  <c r="Y720" i="7"/>
  <c r="Z719" i="7"/>
  <c r="AA719" i="7" s="1"/>
  <c r="Y719" i="7"/>
  <c r="Z716" i="7"/>
  <c r="AA716" i="7" s="1"/>
  <c r="Y716" i="7"/>
  <c r="Z715" i="7"/>
  <c r="AA715" i="7" s="1"/>
  <c r="Y715" i="7"/>
  <c r="Y712" i="7"/>
  <c r="Z712" i="7" s="1"/>
  <c r="AA712" i="7" s="1"/>
  <c r="Z711" i="7"/>
  <c r="AA711" i="7" s="1"/>
  <c r="Y711" i="7"/>
  <c r="Z710" i="7"/>
  <c r="AA710" i="7" s="1"/>
  <c r="Y710" i="7"/>
  <c r="Y709" i="7"/>
  <c r="Z709" i="7" s="1"/>
  <c r="AA709" i="7" s="1"/>
  <c r="Z707" i="7"/>
  <c r="AA707" i="7" s="1"/>
  <c r="Y707" i="7"/>
  <c r="AA694" i="7"/>
  <c r="Z694" i="7"/>
  <c r="Z666" i="7"/>
  <c r="AA666" i="7" s="1"/>
  <c r="V649" i="7"/>
  <c r="X649" i="7" s="1"/>
  <c r="V648" i="7"/>
  <c r="X648" i="7" s="1"/>
  <c r="Y648" i="7" s="1"/>
  <c r="Z648" i="7" s="1"/>
  <c r="AA648" i="7" s="1"/>
  <c r="V647" i="7"/>
  <c r="X647" i="7" s="1"/>
  <c r="Y647" i="7" s="1"/>
  <c r="Z647" i="7" s="1"/>
  <c r="AA647" i="7" s="1"/>
  <c r="V646" i="7"/>
  <c r="X646" i="7" s="1"/>
  <c r="V645" i="7"/>
  <c r="X645" i="7" s="1"/>
  <c r="V639" i="7"/>
  <c r="X639" i="7" s="1"/>
  <c r="V641" i="7"/>
  <c r="X641" i="7" s="1"/>
  <c r="V642" i="7"/>
  <c r="X642" i="7" s="1"/>
  <c r="V643" i="7"/>
  <c r="X643" i="7" s="1"/>
  <c r="V644" i="7"/>
  <c r="X644" i="7" s="1"/>
  <c r="V651" i="7"/>
  <c r="X651" i="7" s="1"/>
  <c r="V652" i="7"/>
  <c r="X652" i="7" s="1"/>
  <c r="Y652" i="7" s="1"/>
  <c r="Z652" i="7" s="1"/>
  <c r="AA652" i="7" s="1"/>
  <c r="V653" i="7"/>
  <c r="X653" i="7" s="1"/>
  <c r="Z653" i="7" s="1"/>
  <c r="AA653" i="7" s="1"/>
  <c r="V654" i="7"/>
  <c r="X654" i="7" s="1"/>
  <c r="V655" i="7"/>
  <c r="X655" i="7" s="1"/>
  <c r="V656" i="7"/>
  <c r="X656" i="7" s="1"/>
  <c r="V657" i="7"/>
  <c r="X657" i="7" s="1"/>
  <c r="V658" i="7"/>
  <c r="X658" i="7" s="1"/>
  <c r="V659" i="7"/>
  <c r="X659" i="7" s="1"/>
  <c r="V660" i="7"/>
  <c r="X660" i="7" s="1"/>
  <c r="Z660" i="7" s="1"/>
  <c r="AA660" i="7" s="1"/>
  <c r="V661" i="7"/>
  <c r="X661" i="7" s="1"/>
  <c r="V662" i="7"/>
  <c r="X662" i="7" s="1"/>
  <c r="Y662" i="7" s="1"/>
  <c r="Z662" i="7" s="1"/>
  <c r="AA662" i="7" s="1"/>
  <c r="V663" i="7"/>
  <c r="X663" i="7" s="1"/>
  <c r="Z638" i="7"/>
  <c r="AA638" i="7" s="1"/>
  <c r="Z637" i="7"/>
  <c r="AA637" i="7" s="1"/>
  <c r="Y637" i="7"/>
  <c r="Y633" i="7"/>
  <c r="Z633" i="7" s="1"/>
  <c r="AA633" i="7" s="1"/>
  <c r="Z625" i="7"/>
  <c r="AA625" i="7" s="1"/>
  <c r="Y625" i="7"/>
  <c r="Y619" i="7"/>
  <c r="Z619" i="7" s="1"/>
  <c r="AA619" i="7" s="1"/>
  <c r="Z618" i="7"/>
  <c r="AA618" i="7" s="1"/>
  <c r="Z612" i="7"/>
  <c r="AA612" i="7" s="1"/>
  <c r="Z607" i="7"/>
  <c r="AA607" i="7" s="1"/>
  <c r="Z605" i="7"/>
  <c r="AA605" i="7" s="1"/>
  <c r="Y605" i="7"/>
  <c r="Y604" i="7"/>
  <c r="Z604" i="7" s="1"/>
  <c r="AA604" i="7" s="1"/>
  <c r="Z603" i="7"/>
  <c r="AA603" i="7" s="1"/>
  <c r="Y603" i="7"/>
  <c r="Y602" i="7"/>
  <c r="Z602" i="7" s="1"/>
  <c r="AA602" i="7" s="1"/>
  <c r="Z601" i="7"/>
  <c r="AA601" i="7" s="1"/>
  <c r="Z600" i="7"/>
  <c r="AA600" i="7" s="1"/>
  <c r="Y600" i="7"/>
  <c r="Z598" i="7"/>
  <c r="AA598" i="7" s="1"/>
  <c r="Y597" i="7"/>
  <c r="Z597" i="7" s="1"/>
  <c r="AA597" i="7" s="1"/>
  <c r="Z596" i="7"/>
  <c r="AA596" i="7" s="1"/>
  <c r="Y596" i="7"/>
  <c r="Y595" i="7"/>
  <c r="Z595" i="7" s="1"/>
  <c r="AA595" i="7" s="1"/>
  <c r="Z593" i="7"/>
  <c r="AA593" i="7" s="1"/>
  <c r="Y593" i="7"/>
  <c r="Z592" i="7"/>
  <c r="AA592" i="7" s="1"/>
  <c r="Y592" i="7"/>
  <c r="Z588" i="7"/>
  <c r="AA588" i="7" s="1"/>
  <c r="Y588" i="7"/>
  <c r="Z586" i="7"/>
  <c r="AA586" i="7" s="1"/>
  <c r="Y586" i="7"/>
  <c r="Z585" i="7"/>
  <c r="AA585" i="7" s="1"/>
  <c r="Y585" i="7"/>
  <c r="Y582" i="7"/>
  <c r="Z582" i="7" s="1"/>
  <c r="AA582" i="7" s="1"/>
  <c r="Y577" i="7"/>
  <c r="Z577" i="7" s="1"/>
  <c r="AA577" i="7" s="1"/>
  <c r="Z576" i="7"/>
  <c r="AA576" i="7" s="1"/>
  <c r="Y576" i="7"/>
  <c r="Z573" i="7"/>
  <c r="AA573" i="7" s="1"/>
  <c r="Z571" i="7"/>
  <c r="AA571" i="7" s="1"/>
  <c r="Y571" i="7"/>
  <c r="Z570" i="7"/>
  <c r="AA570" i="7" s="1"/>
  <c r="Y570" i="7"/>
  <c r="Z569" i="7"/>
  <c r="AA569" i="7" s="1"/>
  <c r="Y569" i="7"/>
  <c r="Z568" i="7"/>
  <c r="AA568" i="7" s="1"/>
  <c r="Y568" i="7"/>
  <c r="Z567" i="7"/>
  <c r="AA567" i="7" s="1"/>
  <c r="Y567" i="7"/>
  <c r="Z566" i="7"/>
  <c r="AA566" i="7" s="1"/>
  <c r="Y566" i="7"/>
  <c r="Z565" i="7"/>
  <c r="AA565" i="7" s="1"/>
  <c r="Y565" i="7"/>
  <c r="Z564" i="7"/>
  <c r="AA564" i="7" s="1"/>
  <c r="Y564" i="7"/>
  <c r="AA557" i="7"/>
  <c r="Z557" i="7"/>
  <c r="Y557" i="7"/>
  <c r="Z556" i="7"/>
  <c r="AA556" i="7" s="1"/>
  <c r="Y554" i="7"/>
  <c r="Z555" i="7"/>
  <c r="AA555" i="7" s="1"/>
  <c r="Y555" i="7"/>
  <c r="Y546" i="7"/>
  <c r="Z546" i="7" s="1"/>
  <c r="AA546" i="7" s="1"/>
  <c r="AA544" i="7"/>
  <c r="Y544" i="7"/>
  <c r="Z544" i="7" s="1"/>
  <c r="Z543" i="7"/>
  <c r="AA543" i="7" s="1"/>
  <c r="Z542" i="7"/>
  <c r="AA542" i="7" s="1"/>
  <c r="Y542" i="7"/>
  <c r="Z526" i="7"/>
  <c r="AA526" i="7" s="1"/>
  <c r="Z500" i="7"/>
  <c r="AA500" i="7" s="1"/>
  <c r="Y500" i="7"/>
  <c r="Z499" i="7"/>
  <c r="AA499" i="7" s="1"/>
  <c r="Y499" i="7"/>
  <c r="Z528" i="7" s="1"/>
  <c r="Z491" i="7"/>
  <c r="AA491" i="7" s="1"/>
  <c r="Z490" i="7"/>
  <c r="AA490" i="7" s="1"/>
  <c r="Y490" i="7"/>
  <c r="Z489" i="7"/>
  <c r="AA489" i="7" s="1"/>
  <c r="Y489" i="7"/>
  <c r="Y488" i="7"/>
  <c r="Z488" i="7" s="1"/>
  <c r="AA488" i="7" s="1"/>
  <c r="Y487" i="7"/>
  <c r="Z487" i="7" s="1"/>
  <c r="AA487" i="7" s="1"/>
  <c r="AA480" i="7"/>
  <c r="Z480" i="7"/>
  <c r="X479" i="7"/>
  <c r="V479" i="7"/>
  <c r="X478" i="7"/>
  <c r="V478" i="7"/>
  <c r="X477" i="7"/>
  <c r="V477" i="7"/>
  <c r="X476" i="7"/>
  <c r="Y476" i="7" s="1"/>
  <c r="Z476" i="7" s="1"/>
  <c r="AA476" i="7" s="1"/>
  <c r="V476" i="7"/>
  <c r="X475" i="7"/>
  <c r="V475" i="7"/>
  <c r="Y468" i="7"/>
  <c r="Z468" i="7" s="1"/>
  <c r="AA468" i="7" s="1"/>
  <c r="Z479" i="7"/>
  <c r="Z467" i="7"/>
  <c r="AA467" i="7" s="1"/>
  <c r="Y467" i="7"/>
  <c r="Z466" i="7"/>
  <c r="AA466" i="7" s="1"/>
  <c r="Y466" i="7"/>
  <c r="AA462" i="7"/>
  <c r="Z462" i="7"/>
  <c r="Z461" i="7"/>
  <c r="AA461" i="7" s="1"/>
  <c r="Y461" i="7"/>
  <c r="Y462" i="7"/>
  <c r="Y460" i="7"/>
  <c r="Z460" i="7" s="1"/>
  <c r="AA460" i="7" s="1"/>
  <c r="Z457" i="7"/>
  <c r="AA457" i="7" s="1"/>
  <c r="Y457" i="7"/>
  <c r="Z453" i="7"/>
  <c r="AA453" i="7" s="1"/>
  <c r="Y453" i="7"/>
  <c r="Z451" i="7"/>
  <c r="AA451" i="7" s="1"/>
  <c r="Y451" i="7"/>
  <c r="Y450" i="7"/>
  <c r="Z450" i="7" s="1"/>
  <c r="AA450" i="7" s="1"/>
  <c r="Z448" i="7"/>
  <c r="AA448" i="7" s="1"/>
  <c r="Y448" i="7"/>
  <c r="Z447" i="7"/>
  <c r="AA447" i="7" s="1"/>
  <c r="Y447" i="7"/>
  <c r="Z446" i="7"/>
  <c r="AA446" i="7" s="1"/>
  <c r="Y446" i="7"/>
  <c r="Z444" i="7"/>
  <c r="AA444" i="7" s="1"/>
  <c r="Y444" i="7"/>
  <c r="Y391" i="7"/>
  <c r="Z391" i="7" s="1"/>
  <c r="AA391" i="7" s="1"/>
  <c r="Y389" i="7"/>
  <c r="Z389" i="7" s="1"/>
  <c r="AA389" i="7" s="1"/>
  <c r="Y388" i="7"/>
  <c r="Z388" i="7" s="1"/>
  <c r="AA388" i="7" s="1"/>
  <c r="Y387" i="7"/>
  <c r="Z387" i="7" s="1"/>
  <c r="AA387" i="7" s="1"/>
  <c r="Z384" i="7"/>
  <c r="AA384" i="7" s="1"/>
  <c r="Z383" i="7"/>
  <c r="AA383" i="7" s="1"/>
  <c r="Y383" i="7"/>
  <c r="Y382" i="7"/>
  <c r="Z382" i="7" s="1"/>
  <c r="AA382" i="7" s="1"/>
  <c r="Y381" i="7"/>
  <c r="Z381" i="7" s="1"/>
  <c r="AA381" i="7" s="1"/>
  <c r="Z379" i="7"/>
  <c r="AA379" i="7" s="1"/>
  <c r="Y378" i="7"/>
  <c r="Z372" i="7"/>
  <c r="AA372" i="7" s="1"/>
  <c r="Y372" i="7"/>
  <c r="Z370" i="7"/>
  <c r="AA370" i="7" s="1"/>
  <c r="Y370" i="7"/>
  <c r="Y365" i="7"/>
  <c r="Z365" i="7" s="1"/>
  <c r="AA365" i="7" s="1"/>
  <c r="V296" i="7"/>
  <c r="X296" i="7" s="1"/>
  <c r="Z296" i="7" s="1"/>
  <c r="AA296" i="7" s="1"/>
  <c r="V295" i="7"/>
  <c r="X295" i="7" s="1"/>
  <c r="V293" i="7"/>
  <c r="X293" i="7" s="1"/>
  <c r="V294" i="7"/>
  <c r="X294" i="7" s="1"/>
  <c r="V299" i="7"/>
  <c r="X299" i="7" s="1"/>
  <c r="Y299" i="7" s="1"/>
  <c r="Z299" i="7" s="1"/>
  <c r="AA299" i="7" s="1"/>
  <c r="V300" i="7"/>
  <c r="X300" i="7" s="1"/>
  <c r="V301" i="7"/>
  <c r="X301" i="7" s="1"/>
  <c r="Z301" i="7" s="1"/>
  <c r="AA301" i="7" s="1"/>
  <c r="V302" i="7"/>
  <c r="X302" i="7" s="1"/>
  <c r="Z302" i="7" s="1"/>
  <c r="AA302" i="7" s="1"/>
  <c r="V303" i="7"/>
  <c r="X303" i="7" s="1"/>
  <c r="Z303" i="7" s="1"/>
  <c r="AA303" i="7" s="1"/>
  <c r="V304" i="7"/>
  <c r="X304" i="7" s="1"/>
  <c r="V305" i="7"/>
  <c r="X305" i="7" s="1"/>
  <c r="Z305" i="7" s="1"/>
  <c r="AA305" i="7" s="1"/>
  <c r="V306" i="7"/>
  <c r="X306" i="7" s="1"/>
  <c r="V307" i="7"/>
  <c r="X307" i="7" s="1"/>
  <c r="Y307" i="7" s="1"/>
  <c r="Z307" i="7" s="1"/>
  <c r="AA307" i="7" s="1"/>
  <c r="V308" i="7"/>
  <c r="X308" i="7" s="1"/>
  <c r="Y308" i="7" s="1"/>
  <c r="Z308" i="7" s="1"/>
  <c r="AA308" i="7" s="1"/>
  <c r="V309" i="7"/>
  <c r="X309" i="7" s="1"/>
  <c r="Y309" i="7" s="1"/>
  <c r="Z309" i="7" s="1"/>
  <c r="AA309" i="7" s="1"/>
  <c r="V310" i="7"/>
  <c r="X310" i="7" s="1"/>
  <c r="Y292" i="7" s="1"/>
  <c r="Z292" i="7" s="1"/>
  <c r="AA292" i="7" s="1"/>
  <c r="V311" i="7"/>
  <c r="X311" i="7" s="1"/>
  <c r="V312" i="7"/>
  <c r="X312" i="7" s="1"/>
  <c r="Z312" i="7" s="1"/>
  <c r="AA312" i="7" s="1"/>
  <c r="V313" i="7"/>
  <c r="X313" i="7" s="1"/>
  <c r="V314" i="7"/>
  <c r="X314" i="7" s="1"/>
  <c r="Y314" i="7" s="1"/>
  <c r="Z314" i="7" s="1"/>
  <c r="AA314" i="7" s="1"/>
  <c r="V315" i="7"/>
  <c r="X315" i="7" s="1"/>
  <c r="Y315" i="7" s="1"/>
  <c r="V316" i="7"/>
  <c r="X316" i="7" s="1"/>
  <c r="Y316" i="7" s="1"/>
  <c r="Z316" i="7" s="1"/>
  <c r="AA316" i="7" s="1"/>
  <c r="V317" i="7"/>
  <c r="X317" i="7" s="1"/>
  <c r="Z317" i="7" s="1"/>
  <c r="AA317" i="7" s="1"/>
  <c r="V318" i="7"/>
  <c r="X318" i="7" s="1"/>
  <c r="V319" i="7"/>
  <c r="X319" i="7" s="1"/>
  <c r="Z319" i="7" s="1"/>
  <c r="AA319" i="7" s="1"/>
  <c r="Y283" i="7"/>
  <c r="Z283" i="7" s="1"/>
  <c r="AA283" i="7" s="1"/>
  <c r="Z273" i="7"/>
  <c r="AA273" i="7" s="1"/>
  <c r="Y273" i="7"/>
  <c r="V272" i="7"/>
  <c r="X272" i="7" s="1"/>
  <c r="V271" i="7"/>
  <c r="X271" i="7" s="1"/>
  <c r="Y271" i="7" s="1"/>
  <c r="Z271" i="7" s="1"/>
  <c r="AA271" i="7" s="1"/>
  <c r="V269" i="7"/>
  <c r="X269" i="7" s="1"/>
  <c r="V274" i="7"/>
  <c r="X274" i="7" s="1"/>
  <c r="Y274" i="7" s="1"/>
  <c r="Z274" i="7" s="1"/>
  <c r="AA274" i="7" s="1"/>
  <c r="V275" i="7"/>
  <c r="X275" i="7" s="1"/>
  <c r="Y275" i="7" s="1"/>
  <c r="Z275" i="7" s="1"/>
  <c r="AA275" i="7" s="1"/>
  <c r="V276" i="7"/>
  <c r="X276" i="7" s="1"/>
  <c r="Y276" i="7" s="1"/>
  <c r="Z276" i="7" s="1"/>
  <c r="AA276" i="7" s="1"/>
  <c r="V277" i="7"/>
  <c r="X277" i="7" s="1"/>
  <c r="Y277" i="7" s="1"/>
  <c r="Z277" i="7" s="1"/>
  <c r="AA277" i="7" s="1"/>
  <c r="V278" i="7"/>
  <c r="X278" i="7" s="1"/>
  <c r="V279" i="7"/>
  <c r="X279" i="7" s="1"/>
  <c r="V280" i="7"/>
  <c r="X280" i="7" s="1"/>
  <c r="Y280" i="7" s="1"/>
  <c r="Z280" i="7" s="1"/>
  <c r="AA280" i="7" s="1"/>
  <c r="V281" i="7"/>
  <c r="X281" i="7" s="1"/>
  <c r="Y281" i="7" s="1"/>
  <c r="Z281" i="7" s="1"/>
  <c r="AA281" i="7" s="1"/>
  <c r="Y268" i="7"/>
  <c r="Z268" i="7" s="1"/>
  <c r="AA268" i="7" s="1"/>
  <c r="Y266" i="7"/>
  <c r="Z266" i="7" s="1"/>
  <c r="AA266" i="7" s="1"/>
  <c r="Z263" i="7"/>
  <c r="AA263" i="7" s="1"/>
  <c r="Y263" i="7"/>
  <c r="Z262" i="7"/>
  <c r="AA262" i="7" s="1"/>
  <c r="Y262" i="7"/>
  <c r="Z261" i="7"/>
  <c r="AA261" i="7" s="1"/>
  <c r="Y261" i="7"/>
  <c r="Z260" i="7"/>
  <c r="AA260" i="7" s="1"/>
  <c r="Y260" i="7"/>
  <c r="Z258" i="7"/>
  <c r="AA258" i="7" s="1"/>
  <c r="Y258" i="7"/>
  <c r="Z255" i="7"/>
  <c r="AA255" i="7" s="1"/>
  <c r="Y254" i="7"/>
  <c r="AA252" i="7"/>
  <c r="Y252" i="7"/>
  <c r="Z251" i="7"/>
  <c r="AA251" i="7" s="1"/>
  <c r="Y251" i="7"/>
  <c r="Z250" i="7"/>
  <c r="AA250" i="7" s="1"/>
  <c r="Y250" i="7"/>
  <c r="Z249" i="7"/>
  <c r="AA249" i="7" s="1"/>
  <c r="Y249" i="7"/>
  <c r="Z245" i="7"/>
  <c r="AA245" i="7" s="1"/>
  <c r="Y244" i="7"/>
  <c r="Y237" i="7"/>
  <c r="Z237" i="7" s="1"/>
  <c r="AA237" i="7" s="1"/>
  <c r="AA152" i="7"/>
  <c r="Y152" i="7"/>
  <c r="AA136" i="7"/>
  <c r="Y136" i="7"/>
  <c r="V959" i="7"/>
  <c r="X959" i="7" s="1"/>
  <c r="Y959" i="7" s="1"/>
  <c r="Z959" i="7" s="1"/>
  <c r="AA959" i="7" s="1"/>
  <c r="X135" i="7"/>
  <c r="S959" i="7"/>
  <c r="S958" i="7"/>
  <c r="Z133" i="7"/>
  <c r="AA133" i="7" s="1"/>
  <c r="S957" i="7"/>
  <c r="S956" i="7"/>
  <c r="S955" i="7"/>
  <c r="T969" i="7"/>
  <c r="U969" i="7" s="1"/>
  <c r="T968" i="7"/>
  <c r="U968" i="7" s="1"/>
  <c r="T967" i="7"/>
  <c r="U967" i="7" s="1"/>
  <c r="T966" i="7"/>
  <c r="U966" i="7" s="1"/>
  <c r="T965" i="7"/>
  <c r="U965" i="7" s="1"/>
  <c r="T964" i="7"/>
  <c r="U964" i="7" s="1"/>
  <c r="T963" i="7"/>
  <c r="U963" i="7" s="1"/>
  <c r="T962" i="7"/>
  <c r="U962" i="7" s="1"/>
  <c r="T961" i="7"/>
  <c r="U961" i="7" s="1"/>
  <c r="T960" i="7"/>
  <c r="U960" i="7" s="1"/>
  <c r="T959" i="7"/>
  <c r="U959" i="7" s="1"/>
  <c r="T958" i="7"/>
  <c r="U958" i="7" s="1"/>
  <c r="T957" i="7"/>
  <c r="U957" i="7" s="1"/>
  <c r="T956" i="7"/>
  <c r="U956" i="7" s="1"/>
  <c r="T955" i="7"/>
  <c r="U955" i="7" s="1"/>
  <c r="T954" i="7"/>
  <c r="U954" i="7" s="1"/>
  <c r="S954" i="7"/>
  <c r="T953" i="7"/>
  <c r="U953" i="7" s="1"/>
  <c r="T952" i="7"/>
  <c r="U952" i="7" s="1"/>
  <c r="T951" i="7"/>
  <c r="U951" i="7" s="1"/>
  <c r="V951" i="7" s="1"/>
  <c r="X951" i="7" s="1"/>
  <c r="Y949" i="7" s="1"/>
  <c r="Z949" i="7" s="1"/>
  <c r="AA949" i="7" s="1"/>
  <c r="Y129" i="7"/>
  <c r="Z129" i="7" s="1"/>
  <c r="AA129" i="7" s="1"/>
  <c r="Y127" i="7"/>
  <c r="Z127" i="7" s="1"/>
  <c r="AA127" i="7" s="1"/>
  <c r="Y126" i="7"/>
  <c r="Z126" i="7" s="1"/>
  <c r="AA126" i="7" s="1"/>
  <c r="Z125" i="7"/>
  <c r="AA125" i="7" s="1"/>
  <c r="Y125" i="7"/>
  <c r="Y124" i="7"/>
  <c r="Z124" i="7" s="1"/>
  <c r="AA124" i="7" s="1"/>
  <c r="Z112" i="7"/>
  <c r="AA112" i="7" s="1"/>
  <c r="Y112" i="7"/>
  <c r="Z36" i="7"/>
  <c r="AA36" i="7" s="1"/>
  <c r="Y36" i="7"/>
  <c r="Y64" i="7"/>
  <c r="Z64" i="7" s="1"/>
  <c r="AA64" i="7" s="1"/>
  <c r="AA65" i="7"/>
  <c r="Y65" i="7"/>
  <c r="Z56" i="7"/>
  <c r="AA56" i="7" s="1"/>
  <c r="AA52" i="7"/>
  <c r="Y52" i="7"/>
  <c r="AA49" i="7"/>
  <c r="Y49" i="7"/>
  <c r="Y47" i="7"/>
  <c r="Z47" i="7" s="1"/>
  <c r="AA47" i="7" s="1"/>
  <c r="Z46" i="7"/>
  <c r="AA46" i="7" s="1"/>
  <c r="Z44" i="7"/>
  <c r="AA44" i="7" s="1"/>
  <c r="Y43" i="7"/>
  <c r="Z43" i="7" s="1"/>
  <c r="AA43" i="7" s="1"/>
  <c r="Z39" i="7"/>
  <c r="AA39" i="7" s="1"/>
  <c r="Y39" i="7"/>
  <c r="Z38" i="7"/>
  <c r="AA38" i="7" s="1"/>
  <c r="Y38" i="7"/>
  <c r="V30" i="7"/>
  <c r="X30" i="7" s="1"/>
  <c r="V28" i="7"/>
  <c r="X28" i="7" s="1"/>
  <c r="V29" i="7"/>
  <c r="X29" i="7" s="1"/>
  <c r="V32" i="7"/>
  <c r="X32" i="7" s="1"/>
  <c r="V33" i="7"/>
  <c r="X33" i="7" s="1"/>
  <c r="Y33" i="7" s="1"/>
  <c r="Z33" i="7" s="1"/>
  <c r="AA33" i="7" s="1"/>
  <c r="V34" i="7"/>
  <c r="X34" i="7" s="1"/>
  <c r="V35" i="7"/>
  <c r="X35" i="7" s="1"/>
  <c r="Z35" i="7" s="1"/>
  <c r="AA35" i="7" s="1"/>
  <c r="V24" i="7"/>
  <c r="X24" i="7" s="1"/>
  <c r="Y24" i="7" s="1"/>
  <c r="Z24" i="7" s="1"/>
  <c r="AA24" i="7" s="1"/>
  <c r="V23" i="7"/>
  <c r="X23" i="7" s="1"/>
  <c r="Y23" i="7" s="1"/>
  <c r="Z23" i="7" s="1"/>
  <c r="AA23" i="7" s="1"/>
  <c r="V20" i="7"/>
  <c r="X20" i="7" s="1"/>
  <c r="V21" i="7"/>
  <c r="X21" i="7" s="1"/>
  <c r="Z21" i="7" s="1"/>
  <c r="AA21" i="7" s="1"/>
  <c r="V22" i="7"/>
  <c r="X22" i="7" s="1"/>
  <c r="Y22" i="7" s="1"/>
  <c r="Z22" i="7" s="1"/>
  <c r="AA22" i="7" s="1"/>
  <c r="V25" i="7"/>
  <c r="X25" i="7" s="1"/>
  <c r="Y25" i="7" s="1"/>
  <c r="Z25" i="7" s="1"/>
  <c r="AA25" i="7" s="1"/>
  <c r="Z17" i="7"/>
  <c r="AA17" i="7" s="1"/>
  <c r="Y14" i="7"/>
  <c r="Z12" i="7"/>
  <c r="AA12" i="7" s="1"/>
  <c r="Y12" i="7"/>
  <c r="K201" i="4"/>
  <c r="J201" i="4"/>
  <c r="I201" i="4"/>
  <c r="H201" i="4"/>
  <c r="K200" i="4"/>
  <c r="J200" i="4"/>
  <c r="I200" i="4"/>
  <c r="H200" i="4"/>
  <c r="I158" i="4"/>
  <c r="D162" i="4" s="1"/>
  <c r="C164" i="4"/>
  <c r="C163" i="4"/>
  <c r="P83" i="4"/>
  <c r="D97" i="4" s="1"/>
  <c r="D98" i="4" s="1"/>
  <c r="F1304" i="3"/>
  <c r="F1303" i="3"/>
  <c r="AA1303" i="3"/>
  <c r="AB1305" i="3" s="1"/>
  <c r="E1261" i="3"/>
  <c r="E1259" i="3"/>
  <c r="E1258" i="3"/>
  <c r="J812" i="3"/>
  <c r="F640" i="3"/>
  <c r="G597" i="3"/>
  <c r="G596" i="3"/>
  <c r="G595" i="3"/>
  <c r="G486" i="3"/>
  <c r="C488" i="3" s="1"/>
  <c r="N417" i="3"/>
  <c r="N408" i="3"/>
  <c r="N420" i="3"/>
  <c r="E382" i="3"/>
  <c r="D385" i="3" s="1"/>
  <c r="C281" i="3"/>
  <c r="O281" i="3" s="1"/>
  <c r="U281" i="3" s="1"/>
  <c r="O280" i="3"/>
  <c r="U280" i="3" s="1"/>
  <c r="D281" i="3"/>
  <c r="P281" i="3" s="1"/>
  <c r="V281" i="3" s="1"/>
  <c r="P280" i="3"/>
  <c r="V280" i="3" s="1"/>
  <c r="E281" i="3"/>
  <c r="Q281" i="3" s="1"/>
  <c r="W281" i="3" s="1"/>
  <c r="Q280" i="3"/>
  <c r="W280" i="3" s="1"/>
  <c r="F281" i="3"/>
  <c r="R281" i="3" s="1"/>
  <c r="X281" i="3" s="1"/>
  <c r="R280" i="3"/>
  <c r="X280" i="3" s="1"/>
  <c r="O279" i="3"/>
  <c r="U279" i="3" s="1"/>
  <c r="P279" i="3"/>
  <c r="V279" i="3" s="1"/>
  <c r="Q279" i="3"/>
  <c r="W279" i="3" s="1"/>
  <c r="R279" i="3"/>
  <c r="X279" i="3" s="1"/>
  <c r="O278" i="3"/>
  <c r="U278" i="3" s="1"/>
  <c r="P278" i="3"/>
  <c r="V278" i="3" s="1"/>
  <c r="Q278" i="3"/>
  <c r="W278" i="3" s="1"/>
  <c r="R278" i="3"/>
  <c r="X278" i="3" s="1"/>
  <c r="P208" i="3"/>
  <c r="D222" i="3" s="1"/>
  <c r="D223" i="3" s="1"/>
  <c r="E71" i="3"/>
  <c r="E70" i="3"/>
  <c r="F71" i="3"/>
  <c r="F70" i="3"/>
  <c r="I65" i="3"/>
  <c r="D69" i="3" s="1"/>
  <c r="C71" i="3"/>
  <c r="C70" i="3"/>
  <c r="D71" i="3" l="1"/>
  <c r="D70" i="3"/>
  <c r="D164" i="4"/>
  <c r="D163" i="4"/>
  <c r="Z20" i="7"/>
  <c r="AA20" i="7" s="1"/>
  <c r="Y20" i="7"/>
  <c r="V952" i="7"/>
  <c r="X952" i="7" s="1"/>
  <c r="V953" i="7"/>
  <c r="X953" i="7" s="1"/>
  <c r="Z953" i="7" s="1"/>
  <c r="AA953" i="7" s="1"/>
  <c r="V954" i="7"/>
  <c r="X954" i="7" s="1"/>
  <c r="V955" i="7"/>
  <c r="X955" i="7" s="1"/>
  <c r="V956" i="7"/>
  <c r="X956" i="7" s="1"/>
  <c r="Y956" i="7" s="1"/>
  <c r="Z956" i="7" s="1"/>
  <c r="AA956" i="7" s="1"/>
  <c r="V957" i="7"/>
  <c r="X957" i="7" s="1"/>
  <c r="Z957" i="7" s="1"/>
  <c r="AA957" i="7" s="1"/>
  <c r="V958" i="7"/>
  <c r="X958" i="7" s="1"/>
  <c r="Z958" i="7" s="1"/>
  <c r="AA958" i="7" s="1"/>
  <c r="V960" i="7"/>
  <c r="X960" i="7" s="1"/>
  <c r="Z960" i="7" s="1"/>
  <c r="AA960" i="7" s="1"/>
  <c r="V961" i="7"/>
  <c r="X961" i="7" s="1"/>
  <c r="V962" i="7"/>
  <c r="X962" i="7" s="1"/>
  <c r="Y962" i="7" s="1"/>
  <c r="Z962" i="7" s="1"/>
  <c r="AA962" i="7" s="1"/>
  <c r="V963" i="7"/>
  <c r="X963" i="7" s="1"/>
  <c r="Y963" i="7" s="1"/>
  <c r="Z963" i="7" s="1"/>
  <c r="AA963" i="7" s="1"/>
  <c r="V964" i="7"/>
  <c r="X964" i="7" s="1"/>
  <c r="Z964" i="7" s="1"/>
  <c r="AA964" i="7" s="1"/>
  <c r="V965" i="7"/>
  <c r="X965" i="7" s="1"/>
  <c r="Z965" i="7" s="1"/>
  <c r="AA965" i="7" s="1"/>
  <c r="V966" i="7"/>
  <c r="X966" i="7" s="1"/>
  <c r="Y966" i="7" s="1"/>
  <c r="Z966" i="7" s="1"/>
  <c r="AA966" i="7" s="1"/>
  <c r="V967" i="7"/>
  <c r="X967" i="7" s="1"/>
  <c r="Y967" i="7" s="1"/>
  <c r="Z967" i="7" s="1"/>
  <c r="AA967" i="7" s="1"/>
  <c r="V968" i="7"/>
  <c r="X968" i="7" s="1"/>
  <c r="Y968" i="7" s="1"/>
  <c r="Z968" i="7" s="1"/>
  <c r="AA968" i="7" s="1"/>
  <c r="V969" i="7"/>
  <c r="X969" i="7" s="1"/>
  <c r="Z969" i="7" s="1"/>
  <c r="AA969" i="7" s="1"/>
  <c r="Z152" i="7"/>
  <c r="Z252" i="7"/>
  <c r="Z278" i="7"/>
  <c r="AA278" i="7" s="1"/>
  <c r="Y278" i="7"/>
  <c r="Y272" i="7"/>
  <c r="Z272" i="7" s="1"/>
  <c r="AA272" i="7" s="1"/>
  <c r="Y311" i="7"/>
  <c r="Z311" i="7" s="1"/>
  <c r="AA311" i="7" s="1"/>
  <c r="Y306" i="7"/>
  <c r="Z306" i="7" s="1"/>
  <c r="AA306" i="7" s="1"/>
  <c r="Y300" i="7"/>
  <c r="Z300" i="7" s="1"/>
  <c r="AA300" i="7" s="1"/>
  <c r="Z294" i="7"/>
  <c r="AA294" i="7" s="1"/>
  <c r="Y294" i="7"/>
  <c r="Z293" i="7"/>
  <c r="AA293" i="7" s="1"/>
  <c r="Y293" i="7"/>
  <c r="Z295" i="7"/>
  <c r="AA295" i="7" s="1"/>
  <c r="Y295" i="7"/>
  <c r="Z475" i="7"/>
  <c r="AA475" i="7" s="1"/>
  <c r="Y475" i="7"/>
  <c r="Z477" i="7"/>
  <c r="AA477" i="7" s="1"/>
  <c r="Y477" i="7"/>
  <c r="Z478" i="7"/>
  <c r="AA478" i="7" s="1"/>
  <c r="Y478" i="7"/>
  <c r="AA479" i="7"/>
  <c r="Y479" i="7"/>
  <c r="Z847" i="7"/>
  <c r="AA847" i="7" s="1"/>
  <c r="Z846" i="7"/>
  <c r="AA846" i="7" s="1"/>
  <c r="Y846" i="7"/>
  <c r="Z845" i="7"/>
  <c r="AA845" i="7" s="1"/>
  <c r="Y845" i="7"/>
  <c r="Y841" i="7"/>
  <c r="Z841" i="7" s="1"/>
  <c r="AA841" i="7" s="1"/>
  <c r="Z838" i="7"/>
  <c r="AA838" i="7" s="1"/>
  <c r="Y838" i="7"/>
  <c r="Y837" i="7"/>
  <c r="Z837" i="7" s="1"/>
  <c r="AA837" i="7" s="1"/>
  <c r="Y834" i="7"/>
  <c r="Z834" i="7" s="1"/>
  <c r="AA834" i="7" s="1"/>
  <c r="Z832" i="7"/>
  <c r="AA832" i="7" s="1"/>
  <c r="Y832" i="7"/>
  <c r="Z880" i="7"/>
  <c r="AA880" i="7" s="1"/>
  <c r="Y1059" i="7"/>
  <c r="Z1059" i="7" s="1"/>
  <c r="AA1059" i="7" s="1"/>
  <c r="Z1077" i="7"/>
  <c r="AA1077" i="7" s="1"/>
  <c r="Z1073" i="7"/>
  <c r="AA1073" i="7" s="1"/>
  <c r="Y1058" i="7"/>
  <c r="Y1061" i="7"/>
  <c r="Y1056" i="7"/>
  <c r="Z1056" i="7" s="1"/>
  <c r="AA1056" i="7" s="1"/>
  <c r="Y1057" i="7"/>
  <c r="Z1057" i="7" s="1"/>
  <c r="AA1057" i="7" s="1"/>
  <c r="Z1185" i="7"/>
  <c r="AA1185" i="7" s="1"/>
  <c r="Y1185" i="7"/>
  <c r="Z1181" i="7"/>
  <c r="AA1181" i="7" s="1"/>
  <c r="Z1177" i="7"/>
  <c r="AA1177" i="7" s="1"/>
  <c r="Y1177" i="7"/>
  <c r="Z1175" i="7"/>
  <c r="AA1175" i="7" s="1"/>
  <c r="Y1175" i="7"/>
  <c r="Y1174" i="7"/>
  <c r="Z1174" i="7" s="1"/>
  <c r="AA1174" i="7" s="1"/>
  <c r="Y1173" i="7"/>
  <c r="Z1173" i="7" s="1"/>
  <c r="AA1173" i="7" s="1"/>
  <c r="Y1219" i="7"/>
  <c r="Z1219" i="7" s="1"/>
  <c r="AA1219" i="7" s="1"/>
  <c r="Y1216" i="7"/>
  <c r="Z1216" i="7" s="1"/>
  <c r="AA1216" i="7" s="1"/>
  <c r="Z1214" i="7"/>
  <c r="AA1214" i="7" s="1"/>
  <c r="Y1214" i="7"/>
  <c r="Z1212" i="7"/>
  <c r="AA1212" i="7" s="1"/>
  <c r="Y1212" i="7"/>
  <c r="Z1211" i="7"/>
  <c r="AA1211" i="7" s="1"/>
  <c r="Y1211" i="7"/>
  <c r="Z1207" i="7"/>
  <c r="AA1207" i="7" s="1"/>
  <c r="Y1207" i="7"/>
  <c r="Z1205" i="7"/>
  <c r="AA1205" i="7" s="1"/>
  <c r="Y1205" i="7"/>
  <c r="Z1203" i="7"/>
  <c r="AA1203" i="7" s="1"/>
  <c r="Y1203" i="7"/>
  <c r="Z1201" i="7"/>
  <c r="AA1201" i="7" s="1"/>
  <c r="Y1201" i="7"/>
  <c r="Y1262" i="7"/>
  <c r="Z1262" i="7" s="1"/>
  <c r="AA1262" i="7" s="1"/>
  <c r="Y1257" i="7"/>
  <c r="Z1257" i="7" s="1"/>
  <c r="AA1257" i="7" s="1"/>
  <c r="Z1251" i="7"/>
  <c r="AA1251" i="7" s="1"/>
  <c r="Y1251" i="7"/>
  <c r="Z1243" i="7"/>
  <c r="AA1243" i="7" s="1"/>
  <c r="Y1243" i="7"/>
  <c r="Y1241" i="7"/>
  <c r="Z1241" i="7" s="1"/>
  <c r="AA1241" i="7" s="1"/>
  <c r="Y1233" i="7"/>
  <c r="Z1233" i="7" s="1"/>
  <c r="AA1233" i="7" s="1"/>
  <c r="Y1234" i="7"/>
  <c r="Z1234" i="7" s="1"/>
  <c r="AA1234" i="7" s="1"/>
  <c r="Z1236" i="7"/>
  <c r="AA1236" i="7" s="1"/>
  <c r="Y1236" i="7"/>
  <c r="Z1237" i="7"/>
  <c r="AA1237" i="7" s="1"/>
  <c r="Y1238" i="7"/>
  <c r="Z1238" i="7" s="1"/>
  <c r="AA1238" i="7" s="1"/>
  <c r="Y1239" i="7"/>
  <c r="Z1239" i="7" s="1"/>
  <c r="AA1239" i="7" s="1"/>
  <c r="Y1291" i="7"/>
  <c r="Z1291" i="7" s="1"/>
  <c r="AA1291" i="7" s="1"/>
  <c r="Z1286" i="7"/>
  <c r="AA1286" i="7" s="1"/>
  <c r="Y1286" i="7"/>
  <c r="Z1282" i="7"/>
  <c r="AA1282" i="7" s="1"/>
  <c r="Z1274" i="7"/>
  <c r="AA1274" i="7" s="1"/>
  <c r="Y1274" i="7"/>
  <c r="Z1273" i="7"/>
  <c r="AA1273" i="7" s="1"/>
  <c r="Y1273" i="7"/>
  <c r="Z1271" i="7"/>
  <c r="AA1271" i="7" s="1"/>
  <c r="Y1271" i="7"/>
  <c r="Z1276" i="7"/>
  <c r="AA1276" i="7" s="1"/>
  <c r="Y1276" i="7"/>
  <c r="Z955" i="7" l="1"/>
  <c r="AA955" i="7" s="1"/>
  <c r="Y955" i="7"/>
  <c r="Z954" i="7"/>
  <c r="AA954" i="7" s="1"/>
  <c r="Y954" i="7"/>
  <c r="Z952" i="7"/>
  <c r="AA952" i="7" s="1"/>
  <c r="Y952" i="7"/>
</calcChain>
</file>

<file path=xl/comments1.xml><?xml version="1.0" encoding="utf-8"?>
<comments xmlns="http://schemas.openxmlformats.org/spreadsheetml/2006/main">
  <authors>
    <author/>
    <author>Guest User</author>
  </authors>
  <commentList>
    <comment ref="A1" authorId="0" shapeId="0">
      <text>
        <r>
          <rPr>
            <sz val="10"/>
            <color rgb="FF000000"/>
            <rFont val="Arial"/>
          </rPr>
          <t>These are the constituent food items, as written in column AB in the final "NHS2-2011 FFQ + environment" sheet.</t>
        </r>
      </text>
    </comment>
    <comment ref="B1" authorId="0" shapeId="0">
      <text>
        <r>
          <rPr>
            <sz val="10"/>
            <color rgb="FF000000"/>
            <rFont val="Arial"/>
          </rPr>
          <t>These categories are taken from Akshay's spreadsheet, to help us organize all of these food items, also FFQ Category in NHS2-2011FFQ Sheet, column B</t>
        </r>
      </text>
    </comment>
    <comment ref="C1" authorId="0" shapeId="0">
      <text>
        <r>
          <rPr>
            <sz val="10"/>
            <color rgb="FF000000"/>
            <rFont val="Arial"/>
          </rPr>
          <t>Parent ingredients are those categories within which constituent's ingredients were combined and redivided.  These are “barley”, “beans”, “chocolate”, “chicken”, “corn”, “cow dairy”, “eggs”, “fruits”, “oat”, “palm”, “potato”, “soybean”, “sugar”, “wheat”, “vegetables”, and “fish”.
For example, in the sherb11d recipe, neither corn syrup nor cornstarch equal 5% in column AA, but together they add up to above 5% of the final recipe.  Because they are both constituent items of the same parent ingredient, “(=corn)”, they are included in Column AB.
*in column AB in the document: For all contributing items, the parent ingredient was documented by being written in parentheses with an equal "(=___)" sign</t>
        </r>
      </text>
    </comment>
    <comment ref="D1" authorId="0" shapeId="0">
      <text>
        <r>
          <rPr>
            <sz val="10"/>
            <color rgb="FF000000"/>
            <rFont val="Arial"/>
          </rPr>
          <t>In this column, include all other Food Items (column B) that share the same environmental values.
Constituent ingredients are those which make up a parent ingredient, or final food item.  
For example, the yogurt.frozen recipe (cells E40-E122) is derived from the following constituent ingredients: yogurt.frozen.lf, ice.cr.no.fat, ice.cr.ff.sf, ice.cr, yogurt.frozen, ice.cr.lt, sherb, peach, and jam.  Of these constituent ingredients, some of them are made of other constituent ingredients, such as milk, cream, etc.</t>
        </r>
      </text>
    </comment>
    <comment ref="A85" authorId="0" shapeId="0">
      <text>
        <r>
          <rPr>
            <sz val="10"/>
            <color rgb="FF000000"/>
            <rFont val="Arial"/>
          </rPr>
          <t>"1 slice"
in HPFS 1986, NHS 1986</t>
        </r>
      </text>
    </comment>
    <comment ref="C98" authorId="0" shapeId="0">
      <text>
        <r>
          <rPr>
            <sz val="10"/>
            <color rgb="FF000000"/>
            <rFont val="Arial"/>
          </rPr>
          <t>Gidon Correspondence: no flax LCAs - agricultural similarity to wheat, so substituted values</t>
        </r>
      </text>
    </comment>
    <comment ref="A122" authorId="0" shapeId="0">
      <text>
        <r>
          <rPr>
            <sz val="10"/>
            <color rgb="FF000000"/>
            <rFont val="Arial"/>
          </rPr>
          <t>NDB# 16033; Beans, kidney, red, mature seeds, cooked, boiled, without salt; BOILED, UNSALTED, RED KIDNEY BEANS</t>
        </r>
      </text>
    </comment>
    <comment ref="A124" authorId="0" shapeId="0">
      <text>
        <r>
          <rPr>
            <sz val="10"/>
            <color rgb="FF000000"/>
            <rFont val="Arial"/>
          </rPr>
          <t>NDB# 11032, BOILED, DRAINED, UNSALTED LIMA BEAN</t>
        </r>
      </text>
    </comment>
    <comment ref="A125" authorId="0" shapeId="0">
      <text>
        <r>
          <rPr>
            <sz val="10"/>
            <color rgb="FF000000"/>
            <rFont val="Arial"/>
          </rPr>
          <t>NDB# 16039 ; Beans, navy, mature seeds, canned; CANNED NAVY BEANS</t>
        </r>
      </text>
    </comment>
    <comment ref="E164" authorId="0" shapeId="0">
      <text>
        <r>
          <rPr>
            <sz val="10"/>
            <color rgb="FF000000"/>
            <rFont val="Arial"/>
          </rPr>
          <t>Email with Gidon (see Gidon Correspondence):
LU: 147m^2/yMcal
Nr: 176gNr/Mcal
H2O: 1.6 m^3/Mcal
GHG: 10 kgCO2eq/Mcal
Figures used national calories eaten/population retail disappearance weight. This given 3.35 Mcal/(eaten kg) = 3350 kcal/(eaten kg) = 335 kcal/(eaten 100 g)...http://nutritiondata.self.com/facts/beef-products/3460/2 tells us that fr an individual burger, it is 296/(100 g). But we need to produce more than 100 g to get to EAT 100 g. We also need to produce more to account for water mass loss during cooking. So the added 39 kcals (order 10%) seems reasonable. If the rest of the items are per farm gate, then I'd say let's use 300 kcal/100 g beef.</t>
        </r>
      </text>
    </comment>
    <comment ref="E167" authorId="0" shapeId="0">
      <text>
        <r>
          <rPr>
            <sz val="10"/>
            <color rgb="FF000000"/>
            <rFont val="Arial"/>
          </rPr>
          <t>Email with Gidon (see Gidon Correspondence):
LU: 147m^2/yMcal
Nr: 176gNr/Mcal
H2O: 1.6 m^3/Mcal
GHG: 10 kgCO2eq/Mcal
Figures used national calories eaten/population retail disappearance weight. This given 3.35 Mcal/(eaten kg) = 3350 kcal/(eaten kg) = 335 kcal/(eaten 100 g)...http://nutritiondata.self.com/facts/beef-products/3460/2 tells us that fr an individual burger, it is 296/(100 g). But we need to produce more than 100 g to get to EAT 100 g. We also need to produce more to account for water mass loss during cooking. So the added 39 kcals (order 10%) seems reasonable. If the rest of the items are per farm gate, then I'd say let's use 300 kcal/100 g beef.</t>
        </r>
      </text>
    </comment>
    <comment ref="E168" authorId="0" shapeId="0">
      <text>
        <r>
          <rPr>
            <sz val="10"/>
            <color rgb="FF000000"/>
            <rFont val="Arial"/>
          </rPr>
          <t>Email with Gidon (see Gidon Correspondence):
LU: 147m^2/yMcal
Nr: 176gNr/Mcal
H2O: 1.6 m^3/Mcal
GHG: 10 kgCO2eq/Mcal
Figures used national calories eaten/population retail disappearance weight. This given 3.35 Mcal/(eaten kg) = 3350 kcal/(eaten kg) = 335 kcal/(eaten 100 g)...http://nutritiondata.self.com/facts/beef-products/3460/2 tells us that fr an individual burger, it is 296/(100 g). But we need to produce more than 100 g to get to EAT 100 g. We also need to produce more to account for water mass loss during cooking. So the added 39 kcals (order 10%) seems reasonable. If the rest of the items are per farm gate, then I'd say let's use 300 kcal/100 g beef.</t>
        </r>
      </text>
    </comment>
    <comment ref="A242" authorId="1" shapeId="0">
      <text>
        <r>
          <rPr>
            <sz val="10"/>
            <color rgb="FF000000"/>
            <rFont val="Arial"/>
          </rPr>
          <t>The vegetables within this demarcated section were used to create a generic vegetable average.  These environmental attributes were applied whenever "mixed vegetables" an ingredient in a recipe.</t>
        </r>
      </text>
    </comment>
  </commentList>
</comments>
</file>

<file path=xl/comments2.xml><?xml version="1.0" encoding="utf-8"?>
<comments xmlns="http://schemas.openxmlformats.org/spreadsheetml/2006/main">
  <authors>
    <author/>
    <author>Guest User</author>
  </authors>
  <commentList>
    <comment ref="C11" authorId="0" shapeId="0">
      <text>
        <r>
          <rPr>
            <sz val="10"/>
            <color rgb="FF000000"/>
            <rFont val="Arial"/>
          </rPr>
          <t>Gidon Correspondence: "assume density of 1 g/ml to convert 70 cl to mass"
0.1cl = 1ml</t>
        </r>
      </text>
    </comment>
    <comment ref="B12" authorId="0" shapeId="0">
      <text>
        <r>
          <rPr>
            <sz val="10"/>
            <color rgb="FF000000"/>
            <rFont val="Arial"/>
          </rPr>
          <t>Eriksson, O., Jonsson, D., &amp; Hillman, K. (2016). Life cycle assessment of Swedish single malt whisky. Journal of Cleaner Production, 112, 229-237.</t>
        </r>
      </text>
    </comment>
    <comment ref="C12" authorId="0" shapeId="0">
      <text>
        <r>
          <rPr>
            <sz val="10"/>
            <color rgb="FF000000"/>
            <rFont val="Arial"/>
          </rPr>
          <t>1cl = 9.4003g</t>
        </r>
      </text>
    </comment>
    <comment ref="D12" authorId="0" shapeId="0">
      <text>
        <r>
          <rPr>
            <sz val="10"/>
            <color rgb="FF000000"/>
            <rFont val="Arial"/>
          </rPr>
          <t>Use Nitrogen conversion rate
(in this sheet: cell G411)</t>
        </r>
      </text>
    </comment>
    <comment ref="A15" authorId="0" shapeId="0">
      <text>
        <r>
          <rPr>
            <sz val="10"/>
            <color rgb="FF000000"/>
            <rFont val="Arial"/>
          </rPr>
          <t>(calculated based on whiskey)</t>
        </r>
      </text>
    </comment>
    <comment ref="B15" authorId="0" shapeId="0">
      <text>
        <r>
          <rPr>
            <sz val="10"/>
            <color rgb="FF000000"/>
            <rFont val="Arial"/>
          </rPr>
          <t>Gidon Correspondence</t>
        </r>
      </text>
    </comment>
    <comment ref="D15" authorId="0" shapeId="0">
      <text>
        <r>
          <rPr>
            <sz val="10"/>
            <color rgb="FF000000"/>
            <rFont val="Arial"/>
          </rPr>
          <t>80 proof Liquor Nr Needs calculations 
Eriksson, O., Jonsson, D., &amp; Hillman, K. (2016). Life cycle assessment of Swedish single malt whisky. Journal of Cleaner Production, 112, 229-237.</t>
        </r>
      </text>
    </comment>
    <comment ref="F15" authorId="0" shapeId="0">
      <text>
        <r>
          <rPr>
            <sz val="10"/>
            <color rgb="FF000000"/>
            <rFont val="Arial"/>
          </rPr>
          <t>.7kg/.7L = 1kg/L= 
0.1kgCO2eq/100g
CleanMetrics. (2020). "Malt Whiskey." Food Carbon Emissions Calculator. http://www.foodemissions.com/Calculator.</t>
        </r>
      </text>
    </comment>
    <comment ref="E21" authorId="0" shapeId="0">
      <text>
        <r>
          <rPr>
            <sz val="10"/>
            <color rgb="FF000000"/>
            <rFont val="Arial"/>
          </rPr>
          <t>Mekonnen, M. M., &amp; Hoekstra, A. Y. (2011). "Apples, fresh." The green, blue and grey water footprint of crops and derived crop products.</t>
        </r>
      </text>
    </comment>
    <comment ref="F21" authorId="0" shapeId="0">
      <text>
        <r>
          <rPr>
            <sz val="10"/>
            <color rgb="FF000000"/>
            <rFont val="Arial"/>
          </rPr>
          <t xml:space="preserve">already converted to 1g
</t>
        </r>
      </text>
    </comment>
    <comment ref="B22" authorId="0" shapeId="0">
      <text>
        <r>
          <rPr>
            <sz val="10"/>
            <color rgb="FF000000"/>
            <rFont val="Arial"/>
          </rPr>
          <t>"The total recovery of thejuice in industrial production process (Figure 3) is about 70%–75%, generating 25%–30% apple pomace and 5%–11% sludge(liquid waste obtained after clariﬁcation and sedimentation withbentonite)."
Bhushan, S., Kalia, K., Sharma, M., Singh, B., &amp; Ahuja, P. S. (2008). Processing of apple pomace for bioactive molecules. Critical reviews in biotechnology, 28(4), 285-296.</t>
        </r>
      </text>
    </comment>
    <comment ref="D27" authorId="0" shapeId="0">
      <text>
        <r>
          <rPr>
            <sz val="10"/>
            <color rgb="FF000000"/>
            <rFont val="Arial"/>
          </rPr>
          <t>Need to convert units to 1g from those based on 100g in Akshay's spreadsheet (https://docs.google.com/spreadsheets/d/12aDGeHd53qtftr_C99n1K-mg3JGP6lRoKcV6aA2MIIo/edit#gid=1214142331)</t>
        </r>
      </text>
    </comment>
    <comment ref="A28" authorId="0" shapeId="0">
      <text>
        <r>
          <rPr>
            <sz val="10"/>
            <color rgb="FF000000"/>
            <rFont val="Arial"/>
          </rPr>
          <t>Mekonnen, M. M., &amp; Hoekstra, A. Y. (2011). The green, blue and grey water footprint of crops and derived crop products.</t>
        </r>
      </text>
    </comment>
    <comment ref="F28" authorId="0" shapeId="0">
      <text>
        <r>
          <rPr>
            <sz val="10"/>
            <color rgb="FF000000"/>
            <rFont val="Arial"/>
          </rPr>
          <t>value fraction so disqualified (Gidon Correspondence)
Mekonnen, M. M., &amp; Hoekstra, A. Y. (2011). "Beer made from malt." The green, blue and grey water footprint of crops and derived crop products.</t>
        </r>
      </text>
    </comment>
    <comment ref="A29" authorId="0" shapeId="0">
      <text>
        <r>
          <rPr>
            <sz val="10"/>
            <color rgb="FF000000"/>
            <rFont val="Arial"/>
          </rPr>
          <t>Amienyo, D., &amp; Azapagic, A. (2016). Life cycle environmental impacts and costs of beer production and consumption in the UK. The International Journal of Life Cycle Assessment, 21(4), 492-509.</t>
        </r>
      </text>
    </comment>
    <comment ref="B29" authorId="0" shapeId="0">
      <text>
        <r>
          <rPr>
            <sz val="10"/>
            <color rgb="FF000000"/>
            <rFont val="Arial"/>
          </rPr>
          <t xml:space="preserve">73g Barley per 1L beer
73g Barley per 1015g Beer
Amienyo, D., &amp; Azapagic, A. (2016). Life cycle environmental impacts and costs of beer production and consumption in the UK. The International Journal of Life Cycle Assessment, 21(4), 492-509.
Water gravity: 1000g/L
Beer gravity (compared to water): =1.015*1000g/L
"Typically, beer will have a gravity between ~1.040 to 1.090 before fermentation, and end between 1.010 to 1.020 after fermentation. Often, dry ciders, wines, and meads will have a final gravity less than 1.000." 
https://fermentationsolutions.com/guide-gravity/
</t>
        </r>
      </text>
    </comment>
    <comment ref="F29" authorId="0" shapeId="0">
      <text>
        <r>
          <rPr>
            <sz val="10"/>
            <color rgb="FF000000"/>
            <rFont val="Arial"/>
          </rPr>
          <t>8.43Lwater/Lbeer
0.001m3/L
Lbeer/1 007.66gbeer
"Alcoholic beverage, beer, regular, Budweiser." Calculate weight of generic and branded foods per volume. https://www.aqua-calc.com/calculate/food-volume-to-weight</t>
        </r>
      </text>
    </comment>
    <comment ref="G29" authorId="0" shapeId="0">
      <text>
        <r>
          <rPr>
            <sz val="10"/>
            <color rgb="FF000000"/>
            <rFont val="Arial"/>
          </rPr>
          <t>Beer, USA
foodemissions.com/Calculator</t>
        </r>
      </text>
    </comment>
    <comment ref="A30" authorId="0" shapeId="0">
      <text>
        <r>
          <rPr>
            <sz val="10"/>
            <color rgb="FF000000"/>
            <rFont val="Arial"/>
          </rPr>
          <t>Conservancy, C. (2008). The carbon footprint of Fat Tire® Amber ale. The Climate Conservancy. &lt;https://www.ess.uci.edu/~sjdavis/pubs/Fat_Tire_2008.pdf&gt;</t>
        </r>
      </text>
    </comment>
    <comment ref="D30" authorId="0" shapeId="0">
      <text>
        <r>
          <rPr>
            <sz val="10"/>
            <color rgb="FF000000"/>
            <rFont val="Arial"/>
          </rPr>
          <t>3281.85kg/ha barley
Conservancy, C. (2008). The carbon footprint of Fat Tire® Amber ale. The Climate Conservancy. &lt;https://www.ess.uci.edu/~sjdavis/pubs/Fat_Tire_2008.pdf&gt;
10000m2/ha
1kg/1000g
73g barley per 1015g beer (cell T139)</t>
        </r>
      </text>
    </comment>
    <comment ref="E30" authorId="0" shapeId="0">
      <text>
        <r>
          <rPr>
            <sz val="10"/>
            <color rgb="FF000000"/>
            <rFont val="Arial"/>
          </rPr>
          <t xml:space="preserve">ratio of N to barley of ≈ 2.9 to 100.
urea-N fertilizer
Conservancy, C. (2008). The carbon footprint of Fat Tire® Amber ale. The Climate Conservancy. &lt;https://www.ess.uci.edu/~sjdavis/pubs/Fat_Tire_2008.pdf&gt;
</t>
        </r>
      </text>
    </comment>
    <comment ref="G30" authorId="0" shapeId="0">
      <text>
        <r>
          <rPr>
            <sz val="10"/>
            <color rgb="FF000000"/>
            <rFont val="Arial"/>
          </rPr>
          <t>Carbon emissions of "Consumable Materials" (Malt, Hops):
678gCO2eq/6pack
* 1kg/1000g
* 1-6pack/72oz
* 1oz/2041.2g
Conservancy, C. (2008). The carbon footprint of Fat Tire® Amber ale. The Climate Conservancy. &lt;https://www.ess.uci.edu/~sjdavis/pubs/Fat_Tire_2008.pdf&gt;</t>
        </r>
      </text>
    </comment>
    <comment ref="A31" authorId="0" shapeId="0">
      <text>
        <r>
          <rPr>
            <sz val="10"/>
            <color rgb="FF000000"/>
            <rFont val="Arial"/>
          </rPr>
          <t>Callow, M., Kenman, S., Walker, R., Warren, R., &amp; Rawnsley, R. (2006). Estimating Annual Irrigation Water Requirements. Queensland Government Department of Primary Industries and Fisheries.</t>
        </r>
      </text>
    </comment>
    <comment ref="D31" authorId="0" shapeId="0">
      <text>
        <r>
          <rPr>
            <sz val="10"/>
            <color rgb="FF000000"/>
            <rFont val="Arial"/>
          </rPr>
          <t>1ha/9200kg dy matter
Callow, M., Kenman, S., Walker, R., Warren, R., &amp; Rawnsley, R. (2006). Estimating Annual Irrigation Water Requirements. Queensland Government Department of Primary Industries and Fisheries.
* 10000m2/ha
* 1kg/1000g</t>
        </r>
      </text>
    </comment>
    <comment ref="A32" authorId="0" shapeId="0">
      <text>
        <r>
          <rPr>
            <sz val="10"/>
            <color rgb="FF000000"/>
            <rFont val="Arial"/>
          </rPr>
          <t>Sipperly, E., Edinger, K., Ziegler, N., &amp; Roberts, E. (2014). Comparative Cradle to Gate Life Cycle Assessment of 100% Barley-based Singha Lager Beer in Thailand. Bangkok, Thailand.</t>
        </r>
      </text>
    </comment>
    <comment ref="D32" authorId="0" shapeId="0">
      <text>
        <r>
          <rPr>
            <sz val="10"/>
            <color rgb="FF000000"/>
            <rFont val="Arial"/>
          </rPr>
          <t>Land Use 0.063Ha
Harvested Barley 127.2kg
10000m2/ha
1kg/1000g
Table 2 
Sipperly, E., Edinger, K., Ziegler, N., &amp; Roberts, E. (2014). Comparative Cradle to Gate Life Cycle Assessment of 100% Barley-based Singha Lager Beer in Thailand. Bangkok, Thailand.</t>
        </r>
      </text>
    </comment>
    <comment ref="E32" authorId="0" shapeId="0">
      <text>
        <r>
          <rPr>
            <sz val="10"/>
            <color rgb="FF000000"/>
            <rFont val="Arial"/>
          </rPr>
          <t>Materials and Fuels &gt; Ammonia 0.472kg
0.35N of molecular weight of Ammonia (NH4)
Atomic Mass:
N=14
H=1
O=16
C=12
Harvested Barley 127.2kg
Sipperly, E., Edinger, K., Ziegler, N., &amp; Roberts, E. (2014). Comparative Cradle to Gate Life Cycle Assessment of 100% Barley-based Singha Lager Beer in Thailand. Bangkok, Thailand.</t>
        </r>
      </text>
    </comment>
    <comment ref="F32" authorId="0" shapeId="0">
      <text>
        <r>
          <rPr>
            <sz val="10"/>
            <color rgb="FF000000"/>
            <rFont val="Arial"/>
          </rPr>
          <t>75600L Irrigiated water
127.2kg Barley
*1m3/1000L
*1kg/1000g
Sipperly, E., Edinger, K., Ziegler, N., &amp; Roberts, E. (2014). Comparative Cradle to Gate Life Cycle Assessment of 100% Barley-based Singha Lager Beer in Thailand. Bangkok, Thailand.</t>
        </r>
      </text>
    </comment>
    <comment ref="G32" authorId="0" shapeId="0">
      <text>
        <r>
          <rPr>
            <sz val="10"/>
            <color rgb="FF000000"/>
            <rFont val="Arial"/>
          </rPr>
          <t>no units for beer amount</t>
        </r>
      </text>
    </comment>
    <comment ref="B42" authorId="1" shapeId="0">
      <text>
        <r>
          <rPr>
            <sz val="10"/>
            <color rgb="FF000000"/>
            <rFont val="Arial"/>
          </rPr>
          <t>Di Giacomo Carrot Juice Article</t>
        </r>
      </text>
    </comment>
    <comment ref="C43" authorId="0" shapeId="0">
      <text>
        <r>
          <rPr>
            <sz val="10"/>
            <color rgb="FF000000"/>
            <rFont val="Arial"/>
          </rPr>
          <t>Eshel, Gidon.  "MAD". Gidon_EnvironCalcPaper3_151104AS_poultryconcise (2).xlsx</t>
        </r>
      </text>
    </comment>
    <comment ref="D43" authorId="0" shapeId="0">
      <text>
        <r>
          <rPr>
            <sz val="10"/>
            <color rgb="FF000000"/>
            <rFont val="Arial"/>
          </rPr>
          <t>Eshel, Gidon.  "MAD". Gidon_EnvironCalcPaper3_151104AS_poultryconcise (2).xlsx</t>
        </r>
      </text>
    </comment>
    <comment ref="E43" authorId="0" shapeId="0">
      <text>
        <r>
          <rPr>
            <sz val="10"/>
            <color rgb="FF000000"/>
            <rFont val="Arial"/>
          </rPr>
          <t>Mekonnen, M. M., &amp; Hoekstra, A. Y. (2011). "Carrots and turnips." The green, blue and grey water footprint of crops and derived crop products.</t>
        </r>
      </text>
    </comment>
    <comment ref="F43" authorId="0" shapeId="0">
      <text>
        <r>
          <rPr>
            <sz val="10"/>
            <color rgb="FF000000"/>
            <rFont val="Arial"/>
          </rPr>
          <t>CleanMetrics. (2020). Food Carbon Emissions Calculator. http://www.foodemissions.com/Calculator.</t>
        </r>
      </text>
    </comment>
    <comment ref="B44" authorId="0" shapeId="0">
      <text>
        <r>
          <rPr>
            <sz val="10"/>
            <color rgb="FF000000"/>
            <rFont val="Arial"/>
          </rPr>
          <t>0.66666g juice = 1 g carrot
Took average of traditional methods, best case of traditional methods, and new high-yield method to cover market share.
Di Giacomo, G., &amp; Taglieri, L. (2009). A new high-yield process for the industrial production of carrot juice. Food and Bioprocess Technology, 2(4), 441.</t>
        </r>
      </text>
    </comment>
    <comment ref="B54" authorId="0" shapeId="0">
      <text>
        <r>
          <rPr>
            <sz val="10"/>
            <color rgb="FF000000"/>
            <rFont val="Arial"/>
          </rPr>
          <t>10.83g sugars/carbohydrates per 100ml
USDA. "Coca-Cola Bottle, 1.25 Liters." (2020) FoodData Central. U.S. Department of Agriculture. &lt;https://fdc.nal.usda.gov/fdc-app.html#/food-details/768964/nutrients&gt;.
100 ml "Beverages, carbonated, cola, fast-food cola" = 76.29 g coca-cola
"Beverages, carbonated, cola, regular." Calculate weight of generic and branded foods per volume. https://www.aqua-calc.com/calculate/food-volume-to-weight
*Gidon Correspondence coca-cola</t>
        </r>
      </text>
    </comment>
    <comment ref="D62" authorId="0" shapeId="0">
      <text>
        <r>
          <rPr>
            <sz val="10"/>
            <color rgb="FF000000"/>
            <rFont val="Arial"/>
          </rPr>
          <t>Coffee Trade Analysis - Segmented by Geography - Growth, Trends, and Forecast (2020 - 2025)
"The United States is the world’s largest importer of coffee, it imported of 1.5 million metric ton of coffee in 2016, which was worth USD 5.74 billion. Some of the important importing countries of US coffee are Brazil, Colombia, Ethiopia, and Vietnam. In 2015, the United States imported about 30% of its coffee from Brazil, 21% from Colombia, and 13% from Vietnam. Furthermore, most of the coffee imports in the country are in the form of green coffee beans."
https://www.mordorintelligence.com/industry-reports/coffee-trade-analysis</t>
        </r>
      </text>
    </comment>
    <comment ref="J62"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K62" authorId="0" shapeId="0">
      <text>
        <r>
          <rPr>
            <sz val="10"/>
            <color rgb="FF000000"/>
            <rFont val="Arial"/>
          </rPr>
          <t>(Arabica &amp; Robusta)</t>
        </r>
      </text>
    </comment>
    <comment ref="C63" authorId="0" shapeId="0">
      <text>
        <r>
          <rPr>
            <sz val="10"/>
            <color rgb="FF000000"/>
            <rFont val="Arial"/>
          </rPr>
          <t>30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F63" authorId="0" shapeId="0">
      <text>
        <r>
          <rPr>
            <sz val="10"/>
            <color rgb="FF000000"/>
            <rFont val="Arial"/>
          </rPr>
          <t>Lopes, A. S. (2004). Fertilizer use by crop in Brazil. FAO, Rome.&lt;http://www.fao.org/3/y5376e/y5376e0a.htm#bm10.1&gt;</t>
        </r>
      </text>
    </comment>
    <comment ref="H63" authorId="0" shapeId="0">
      <text>
        <r>
          <rPr>
            <sz val="10"/>
            <color rgb="FF000000"/>
            <rFont val="Arial"/>
          </rPr>
          <t>1000g = kg
10000m2 = ha</t>
        </r>
      </text>
    </comment>
    <comment ref="J63"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K63"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C64" authorId="0" shapeId="0">
      <text>
        <r>
          <rPr>
            <sz val="10"/>
            <color rgb="FF000000"/>
            <rFont val="Arial"/>
          </rPr>
          <t>20.5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F64" authorId="0" shapeId="0">
      <text>
        <r>
          <rPr>
            <sz val="10"/>
            <color rgb="FF000000"/>
            <rFont val="Arial"/>
          </rPr>
          <t>Haifa Group (2020). "Fertilization of coffee: the benefits of foliar spraying with Multi-K."  Available at https://www.haifa-group.com/fertilization-coffee-benefits-foliar-spraying-multi-k.
(listed source: Kinoch: VOLHOUBARE LANDBOU, RSA. Processed by Frans Lourens, Haifa, RSA May, 1999.)</t>
        </r>
      </text>
    </comment>
    <comment ref="H64" authorId="0" shapeId="0">
      <text>
        <r>
          <rPr>
            <sz val="10"/>
            <color rgb="FF000000"/>
            <rFont val="Arial"/>
          </rPr>
          <t>1000g = kg
10000m2 = ha</t>
        </r>
      </text>
    </comment>
    <comment ref="C65" authorId="0" shapeId="0">
      <text>
        <r>
          <rPr>
            <sz val="10"/>
            <color rgb="FF000000"/>
            <rFont val="Arial"/>
          </rPr>
          <t>38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D69" authorId="0" shapeId="0">
      <text>
        <r>
          <rPr>
            <sz val="10"/>
            <color rgb="FF000000"/>
            <rFont val="Arial"/>
          </rPr>
          <t>114kgN/ha
Lopes, A. S. (2004). Fertilizer use by crop in Brazil. FAO, Rome.&lt;http://www.fao.org/3/y5376e/y5376e0a.htm#bm10.1&gt;</t>
        </r>
      </text>
    </comment>
    <comment ref="E69" authorId="0" shapeId="0">
      <text>
        <r>
          <rPr>
            <sz val="10"/>
            <color rgb="FF000000"/>
            <rFont val="Arial"/>
          </rPr>
          <t>"Coffee, green"
116m3/metric ton
Mekonnen, M. M., &amp; Hoekstra, A. Y. (2011). "Coffee, roasted." The green, blue and grey water footprint of crops and derived crop products.</t>
        </r>
      </text>
    </comment>
    <comment ref="F69" authorId="0" shapeId="0">
      <text>
        <r>
          <rPr>
            <sz val="10"/>
            <color rgb="FF000000"/>
            <rFont val="Arial"/>
          </rPr>
          <t>1lb = 453.592
Coffee Beans, green (Brazil)
* % mass lost in roasting
http://www.foodemissions.com/Calculator</t>
        </r>
      </text>
    </comment>
    <comment ref="B70" authorId="0" shapeId="0">
      <text>
        <r>
          <rPr>
            <sz val="10"/>
            <color rgb="FF000000"/>
            <rFont val="Arial"/>
          </rPr>
          <t>1.6-2g coffee grounds (average = 1.8g) per 28g water
Counter Culture Coffee (2020). "Brewing Guides". Available at https://counterculturecoffee.com/learn/brewing-guides.</t>
        </r>
      </text>
    </comment>
    <comment ref="B71" authorId="0" shapeId="0">
      <text>
        <r>
          <rPr>
            <sz val="10"/>
            <color rgb="FF000000"/>
            <rFont val="Arial"/>
          </rPr>
          <t>1:2 to 1:3 coffee to water ratio (average 1:2.5)
"While many specialty shops around the world use between 16-19 grams of coffee for espresso (yielding 32-38 grams of liquid), traditional Italian cafes use about 7 grams of coffee that result in a 21 gram single shot of espresso."
La Marzocco (2014). "Brew Ratios Around the World". La Marzocco USA. Available at https://home.lamarzoccousa.com/brew-ratios-around-world/.</t>
        </r>
      </text>
    </comment>
    <comment ref="B83" authorId="0" shapeId="0">
      <text>
        <r>
          <rPr>
            <sz val="10"/>
            <color rgb="FF000000"/>
            <rFont val="Arial"/>
          </rPr>
          <t>=13700 acres per 1490000 barrels
"Earnings from the 2007 harvest were valued at ca. 64.6 million dollars for 1.49 million barrels
(one barrel =100 pounds of fruit)
produced from 13,700 acres."
Sandler, H., &amp; DeMoranville, C. (2008). Cranberry production: a guide for Massachusetts-summary edition.</t>
        </r>
      </text>
    </comment>
    <comment ref="C83" authorId="0" shapeId="0">
      <text>
        <r>
          <rPr>
            <sz val="10"/>
            <color rgb="FF000000"/>
            <rFont val="Arial"/>
          </rPr>
          <t>4046.86 m2 = 1 acre
1 barrel = 100 lb
0.2204621 lb = 100g</t>
        </r>
      </text>
    </comment>
    <comment ref="D83" authorId="0" shapeId="0">
      <text>
        <r>
          <rPr>
            <sz val="10"/>
            <color rgb="FF000000"/>
            <rFont val="Arial"/>
          </rPr>
          <t>calculated from: 
"Earnings from the 2007 harvest were valued at ca. 64.6 million dollars for 1.49 million barrels
(one barrel =100 pounds of fruit)
produced from 13,700 acres."
Sandler, H., &amp; DeMoranville, C. (2008). Cranberry production: a guide for Massachusetts-summary edition.</t>
        </r>
      </text>
    </comment>
    <comment ref="E83" authorId="0" shapeId="0">
      <text>
        <r>
          <rPr>
            <sz val="10"/>
            <color rgb="FF000000"/>
            <rFont val="Arial"/>
          </rPr>
          <t>Take the median of "During the season, 20-60 lbs N per acre are applied depending on cultivar and weather conditions" 
= 40lbN/acre 
Sandler, H., &amp; DeMoranville, C. (2008). Cranberry production: a guide for Massachusetts-summary edition.</t>
        </r>
      </text>
    </comment>
    <comment ref="F83" authorId="0" shapeId="0">
      <text>
        <r>
          <rPr>
            <sz val="10"/>
            <color rgb="FF000000"/>
            <rFont val="Arial"/>
          </rPr>
          <t>1 g N = 0.002204621 lb N
13700 acre = 1490000 barrels
1 barrel = 100lb
0.2204621 lb = 100g</t>
        </r>
      </text>
    </comment>
    <comment ref="G83" authorId="0" shapeId="0">
      <text>
        <r>
          <rPr>
            <sz val="10"/>
            <color rgb="FF000000"/>
            <rFont val="Arial"/>
          </rPr>
          <t>20-60lbN/acre are applied -  or perhaps the median, 40lbN/acre - and 13700acres yield 67585343505.91g cranberries, then 40lbN/acre* 1g/0.00220462lb * 13700acre/67585343505.91g = 0.003678gN/gCranberry
Sandler, H., &amp; DeMoranville, C. (2008). Cranberry production: a guide for Massachusetts-summary edition.</t>
        </r>
      </text>
    </comment>
    <comment ref="B85" authorId="0" shapeId="0">
      <text>
        <r>
          <rPr>
            <sz val="10"/>
            <color rgb="FF000000"/>
            <rFont val="Arial"/>
          </rPr>
          <t>1.66 barrels cranberries
Knudson, W.A. 2008. “The Economic Impact of Expanded Cranberry Production.” Michigan State University, Strategic Marketing Institute. Working Paper 01-1208. &lt;https://www.canr.msu.edu/productcenter/uploads/files/cranberries.pdf&gt;.</t>
        </r>
      </text>
    </comment>
    <comment ref="C85" authorId="0" shapeId="0">
      <text>
        <r>
          <rPr>
            <sz val="10"/>
            <color rgb="FF000000"/>
            <rFont val="Arial"/>
          </rPr>
          <t>1 barrel cranberries = 100 lb cranberry
0.00220462 lb = 1 gram
https://www.nass.usda.gov/Statistics_by_State/New_Jersey/Publications/Cranberry_Statistics/2014%20CRANSUM.pdf
barrel contains 100 lb of cranberries
https://www.wisagclassroom.org/wp-content/uploads/2011/09/Cranberry-Plans.pdf</t>
        </r>
      </text>
    </comment>
    <comment ref="F85" authorId="0" shapeId="0">
      <text>
        <r>
          <rPr>
            <sz val="10"/>
            <color rgb="FF000000"/>
            <rFont val="Arial"/>
          </rPr>
          <t>Cranberries, raw
USDA, (2020). FoodData Central. U.S. Department of Agriculture.
https://fdc.nal.usda.gov/fdc-app.html#/food-details/1102706/nutrients</t>
        </r>
      </text>
    </comment>
    <comment ref="G85" authorId="0" shapeId="0">
      <text>
        <r>
          <rPr>
            <sz val="10"/>
            <color rgb="FF000000"/>
            <rFont val="Arial"/>
          </rPr>
          <t>https://fdc.nal.usda.gov/fdc-app.html#/food-details/1102706/nutrients</t>
        </r>
      </text>
    </comment>
    <comment ref="I85" authorId="0" shapeId="0">
      <text>
        <r>
          <rPr>
            <sz val="10"/>
            <color rgb="FF000000"/>
            <rFont val="Arial"/>
          </rPr>
          <t>Sandler, H., &amp; DeMoranville, C. (2008). Cranberry production: a guide for Massachusetts-summary edition.</t>
        </r>
      </text>
    </comment>
    <comment ref="J85" authorId="0" shapeId="0">
      <text>
        <r>
          <rPr>
            <sz val="10"/>
            <color rgb="FF000000"/>
            <rFont val="Arial"/>
          </rPr>
          <t>Sandler, H., &amp; DeMoranville, C. (2008). Cranberry production: a guide for Massachusetts-summary edition.</t>
        </r>
      </text>
    </comment>
    <comment ref="K85" authorId="0" shapeId="0">
      <text>
        <r>
          <rPr>
            <sz val="10"/>
            <color rgb="FF000000"/>
            <rFont val="Arial"/>
          </rPr>
          <t>Blue Water needs, "cranberries"
Mekonnen, M. M., &amp; Hoekstra, A. Y. (2011). The green, blue and grey water footprint of crops and derived crop products.</t>
        </r>
      </text>
    </comment>
    <comment ref="L85" authorId="0" shapeId="0">
      <text>
        <r>
          <rPr>
            <sz val="10"/>
            <color rgb="FF000000"/>
            <rFont val="Arial"/>
          </rPr>
          <t>kg CO2/kg "Cranberry"
Heller, M. C., Willits-Smith, A., Meyer, R., Keoleian, G. A., &amp; Rose, D. (2018). Greenhouse gas emissions and energy use associated with production of individual self-selected US diets. Environmental Research Letters, 13(4), 044004.</t>
        </r>
      </text>
    </comment>
    <comment ref="B86" authorId="0" shapeId="0">
      <text>
        <r>
          <rPr>
            <sz val="10"/>
            <color rgb="FF000000"/>
            <rFont val="Arial"/>
          </rPr>
          <t>1 gallon cranberry juice concentrate
"It is estimated that that 1.66 barrels of cranberries are used
to produce one gallon of cranberry juice concentrate..."
Knudson, W.A. 2008. “The Economic Impact of Expanded Cranberry Production.” Michigan State University, Strategic Marketing Institute. Working Paper 01-1208. &lt;https://www.canr.msu.edu/productcenter/uploads/files/cranberries.pdf&gt;.</t>
        </r>
      </text>
    </comment>
    <comment ref="C86" authorId="0" shapeId="0">
      <text>
        <r>
          <rPr>
            <sz val="10"/>
            <color rgb="FF000000"/>
            <rFont val="Arial"/>
          </rPr>
          <t>1 gallon cranberry juice = 4048 g cranberry juice
"Cranberry juice, unsweetened." Calculate weight of generic and branded foods per volume. https://www.aqua-calc.com/calculate/food-volume-to-weight</t>
        </r>
      </text>
    </comment>
    <comment ref="E86" authorId="0" shapeId="0">
      <text>
        <r>
          <rPr>
            <sz val="10"/>
            <color rgb="FF000000"/>
            <rFont val="Arial"/>
          </rPr>
          <t>"Eight fluid ounces (one bottle) of Santa Cruz Organic Cranberry Juice Concentrate makes 32 ounces of 100% juice when reconstituted; just combine it with 24 ounces of water."
https://www.santacruzorganic.com/products/100-juices/cranberry-concentrate</t>
        </r>
      </text>
    </comment>
    <comment ref="E87" authorId="0" shapeId="0">
      <text>
        <r>
          <rPr>
            <sz val="10"/>
            <color rgb="FF000000"/>
            <rFont val="Arial"/>
          </rPr>
          <t>"Eight fluid ounces (one bottle) of Santa Cruz Organic Cranberry Juice Concentrate makes 32 ounces of 100% juice when reconstituted; just combine it with 24 ounces of water."
https://www.santacruzorganic.com/products/100-juices/cranberry-concentrate</t>
        </r>
      </text>
    </comment>
    <comment ref="F88" authorId="0" shapeId="0">
      <text>
        <r>
          <rPr>
            <sz val="10"/>
            <color rgb="FF000000"/>
            <rFont val="Arial"/>
          </rPr>
          <t>Cranberries, dried
USDA, (2020). FoodData Central. U.S. Department of Agriculture. https://fdc.nal.usda.gov/fdc-app.html#/food-details/1102630/nutrients</t>
        </r>
      </text>
    </comment>
    <comment ref="G88" authorId="0" shapeId="0">
      <text>
        <r>
          <rPr>
            <sz val="10"/>
            <color rgb="FF000000"/>
            <rFont val="Arial"/>
          </rPr>
          <t>https://fdc.nal.usda.gov/fdc-app.html#/food-details/1102630/nutrients</t>
        </r>
      </text>
    </comment>
    <comment ref="C99" authorId="0" shapeId="0">
      <text>
        <r>
          <rPr>
            <sz val="10"/>
            <color rgb="FF000000"/>
            <rFont val="Arial"/>
          </rPr>
          <t>Eshel, Gidon.  "MAD". Gidon_EnvironCalcPaper3_151104AS_poultryconcise (2).xlsx</t>
        </r>
      </text>
    </comment>
    <comment ref="D99" authorId="0" shapeId="0">
      <text>
        <r>
          <rPr>
            <sz val="10"/>
            <color rgb="FF000000"/>
            <rFont val="Arial"/>
          </rPr>
          <t>Eshel, Gidon.  "MAD". Gidon_EnvironCalcPaper3_151104AS_poultryconcise (2).xlsx</t>
        </r>
      </text>
    </comment>
    <comment ref="E99" authorId="0" shapeId="0">
      <text>
        <r>
          <rPr>
            <sz val="10"/>
            <color rgb="FF000000"/>
            <rFont val="Arial"/>
          </rPr>
          <t>Mekonnen, M. M., &amp; Hoekstra, A. Y. (2011). The green, blue and grey water footprint of crops and derived crop products.</t>
        </r>
      </text>
    </comment>
    <comment ref="F99" authorId="0" shapeId="0">
      <text>
        <r>
          <rPr>
            <sz val="10"/>
            <color rgb="FF000000"/>
            <rFont val="Arial"/>
          </rPr>
          <t>CleanMetrics. (2020). Food Carbon Emissions Calculator. http://www.foodemissions.com/Calculator.</t>
        </r>
      </text>
    </comment>
    <comment ref="B100" authorId="0" shapeId="0">
      <text>
        <r>
          <rPr>
            <sz val="10"/>
            <color rgb="FF000000"/>
            <rFont val="Arial"/>
          </rPr>
          <t>"This process yields approximately 820 L of juice per MT of grapes"
FAO http://www.fao.org/3/y2515e/y2515e14.htm
1069.37g per L of Grape juice, canned or bottled, unsweetened
"Grape juice, canned or bottled, unsweetened, without added ascorbic acid." Calculate weight of generic and branded foods per volume. https://www.aqua-calc.com/calculate/food-volume-to-weight</t>
        </r>
      </text>
    </comment>
    <comment ref="F100" authorId="0" shapeId="0">
      <text>
        <r>
          <rPr>
            <sz val="10"/>
            <color rgb="FF000000"/>
            <rFont val="Arial"/>
          </rPr>
          <t>converted to 1g</t>
        </r>
      </text>
    </comment>
    <comment ref="A110" authorId="0" shapeId="0">
      <text>
        <r>
          <rPr>
            <sz val="10"/>
            <color rgb="FF000000"/>
            <rFont val="Arial"/>
          </rPr>
          <t>NDB# 9111 ,Grapefruit, raw, pink and red and white, all areas</t>
        </r>
      </text>
    </comment>
    <comment ref="C110" authorId="0" shapeId="0">
      <text>
        <r>
          <rPr>
            <sz val="10"/>
            <color rgb="FF000000"/>
            <rFont val="Arial"/>
          </rPr>
          <t>"GRAPEFRUIT RAW PINK&amp;RED&amp;WHITE ALL AREAS"
Eshel, Gidon.  "MAD". Gidon_EnvironCalcPaper3_151104AS_poultryconcise (2).xlsx</t>
        </r>
      </text>
    </comment>
    <comment ref="D110" authorId="0" shapeId="0">
      <text>
        <r>
          <rPr>
            <sz val="10"/>
            <color rgb="FF000000"/>
            <rFont val="Arial"/>
          </rPr>
          <t>"GRAPEFRUIT RAW PINK&amp;RED&amp;WHITE ALL AREAS"</t>
        </r>
      </text>
    </comment>
    <comment ref="E110" authorId="0" shapeId="0">
      <text>
        <r>
          <rPr>
            <sz val="10"/>
            <color rgb="FF000000"/>
            <rFont val="Arial"/>
          </rPr>
          <t>m3/ton
Mekonnen, M. M., &amp; Hoekstra, A. Y. (2011). "Grapefruit." The green, blue and grey water footprint of crops and derived crop products.
Whole fruit</t>
        </r>
      </text>
    </comment>
    <comment ref="F110" authorId="0" shapeId="0">
      <text>
        <r>
          <rPr>
            <sz val="10"/>
            <color rgb="FF000000"/>
            <rFont val="Arial"/>
          </rPr>
          <t>Lemon GHGE = 0.0002939499227
Orange GHGE = 0.0004739942503
whole fruit</t>
        </r>
      </text>
    </comment>
    <comment ref="A111" authorId="0" shapeId="0">
      <text>
        <r>
          <rPr>
            <sz val="10"/>
            <color rgb="FF000000"/>
            <rFont val="Arial"/>
          </rPr>
          <t>NDB#: 09123        Grapefruit juice, white, canned or bottled, unsweetened</t>
        </r>
      </text>
    </comment>
    <comment ref="B111" authorId="0" shapeId="0">
      <text>
        <r>
          <rPr>
            <sz val="10"/>
            <color rgb="FF000000"/>
            <rFont val="Arial"/>
          </rPr>
          <t>The Culinary Institute of America. "Educator Lesson Plan “ʻKitchen Calculations.ʻ"  Available at https://www.ciachef.edu/uploadedFiles/Pages/Admissions_and_Financial_Aid/Educators/Educational_Materials/Technique_of_the_Quarter/techniques-calculations.pdf.</t>
        </r>
      </text>
    </comment>
    <comment ref="A118" authorId="0" shapeId="0">
      <text>
        <r>
          <rPr>
            <sz val="10"/>
            <color rgb="FF000000"/>
            <rFont val="Arial"/>
          </rPr>
          <t>(2003). "Check Unit Wts". WHO. Available at https://www.who.int/foodsafety/chem/acute_hazard_db3.pdf.</t>
        </r>
      </text>
    </comment>
    <comment ref="F125" authorId="0" shapeId="0">
      <text>
        <r>
          <rPr>
            <sz val="10"/>
            <color rgb="FF000000"/>
            <rFont val="Arial"/>
          </rPr>
          <t>Lemon, Lisbon Variety, CA, USA = 0.04kgCO2eq/lb
453.592g = 1 lb
CleanMetrics. (2020). "Lemon, Lisbon Variety." Food Carbon Emissions Calculator. http://www.foodemissions.com/Calculator.</t>
        </r>
      </text>
    </comment>
    <comment ref="B126" authorId="0" shapeId="0">
      <text>
        <r>
          <rPr>
            <sz val="10"/>
            <color rgb="FF000000"/>
            <rFont val="Arial"/>
          </rPr>
          <t>average edible portion of Lemon
(2003). "Check Unit Wts". WHO. Available at https://www.who.int/foodsafety/chem/acute_hazard_db3.pdf.</t>
        </r>
      </text>
    </comment>
    <comment ref="C126" authorId="0" shapeId="0">
      <text>
        <r>
          <rPr>
            <sz val="10"/>
            <color rgb="FF000000"/>
            <rFont val="Arial"/>
          </rPr>
          <t>"Lemons raw without peel"
Eshel, Gidon.  "MAD". Gidon_EnvironCalcPaper3_151104AS_poultryconcise (2).xlsx</t>
        </r>
      </text>
    </comment>
    <comment ref="D126" authorId="0" shapeId="0">
      <text>
        <r>
          <rPr>
            <sz val="10"/>
            <color rgb="FF000000"/>
            <rFont val="Arial"/>
          </rPr>
          <t>"Lemons raw without peel"
Eshel, Gidon.  "MAD". Gidon_EnvironCalcPaper3_151104AS_poultryconcise (2).xlsx</t>
        </r>
      </text>
    </comment>
    <comment ref="E126" authorId="0" shapeId="0">
      <text>
        <r>
          <rPr>
            <sz val="10"/>
            <color rgb="FF000000"/>
            <rFont val="Arial"/>
          </rPr>
          <t>Blue water needs of lemons and limes = 152m3/MT
Mekonnen, M. M., &amp; Hoekstra, A. Y. (2011). "Lemons and limes." The green, blue and grey water footprint of crops and derived crop products.</t>
        </r>
      </text>
    </comment>
    <comment ref="F126" authorId="0" shapeId="0">
      <text>
        <r>
          <rPr>
            <sz val="10"/>
            <color rgb="FF000000"/>
            <rFont val="Arial"/>
          </rPr>
          <t>Lemon, Lisbon Variety, CA, USA = 0.04kgCO2eq/lb
453.592g = 1 lb
CleanMetrics. (2020). "Lemon, Lisbon Variety." Food Carbon Emissions Calculator. http://www.foodemissions.com/Calculator.</t>
        </r>
      </text>
    </comment>
    <comment ref="B127" authorId="0" shapeId="0">
      <text>
        <r>
          <rPr>
            <sz val="10"/>
            <color rgb="FF000000"/>
            <rFont val="Arial"/>
          </rPr>
          <t>The juice yield of lemons is 45%.
The Culinary Institute of America. "Educator Lesson Plan “ʻKitchen Calculations.ʻ"  Available at https://www.ciachef.edu/uploadedFiles/Pages/Admissions_and_Financial_Aid/Educators/Educational_Materials/Technique_of_the_Quarter/techniques-calculations.pdf.</t>
        </r>
      </text>
    </comment>
    <comment ref="D135" authorId="0" shapeId="0">
      <text>
        <r>
          <rPr>
            <sz val="10"/>
            <color rgb="FF000000"/>
            <rFont val="Arial"/>
          </rPr>
          <t>Need to convert units to 1g from those based on 100g in Akshay's spreadsheet (https://docs.google.com/spreadsheets/d/12aDGeHd53qtftr_C99n1K-mg3JGP6lRoKcV6aA2MIIo/edit#gid=1214142331)</t>
        </r>
      </text>
    </comment>
    <comment ref="B136" authorId="0" shapeId="0">
      <text>
        <r>
          <rPr>
            <sz val="10"/>
            <color rgb="FF000000"/>
            <rFont val="Arial"/>
          </rPr>
          <t>USDA, (2019). "Alcoholic beverage, beer, regular, all." FoodData Central. U.S. Department of Agriculture. &lt;https://fdc.nal.usda.gov/fdc-app.html#/food-details/168746/nutrients&gt;.</t>
        </r>
      </text>
    </comment>
    <comment ref="B137" authorId="0" shapeId="0">
      <text>
        <r>
          <rPr>
            <sz val="10"/>
            <color rgb="FF000000"/>
            <rFont val="Arial"/>
          </rPr>
          <t>USDA, (2019). "Alcoholic beverage, beer, light" FoodData Central. U.S. Department of Agriculture. &lt;https://fdc.nal.usda.gov/fdc-app.html#/food-details/168749/nutrients&gt;.</t>
        </r>
      </text>
    </comment>
    <comment ref="B149" authorId="0" shapeId="0">
      <text>
        <r>
          <rPr>
            <sz val="10"/>
            <color rgb="FF000000"/>
            <rFont val="Arial"/>
          </rPr>
          <t>The juice yield of an orange is 50% of total fruit gmwt.
The Culinary Institute of America. "Educator Lesson Plan “ʻKitchen Calculations.ʻ"  Available at https://www.ciachef.edu/uploadedFiles/Pages/Admissions_and_Financial_Aid/Educators/Educational_Materials/Technique_of_the_Quarter/techniques-calculations.pdf.
confirmed with
1MT Valencia oranges
Figure 11.7a
Bates, R. P., Morris, J. R., &amp; Crandall, P. G. (2001). Practical aspects of citrus juice processing. Principles and practices of small-and medium-scale fruit juice procesing,. Rome, FAO Agricultural Services Bulletin, 146.</t>
        </r>
      </text>
    </comment>
    <comment ref="B150" authorId="0" shapeId="0">
      <text>
        <r>
          <rPr>
            <sz val="10"/>
            <color rgb="FF000000"/>
            <rFont val="Arial"/>
          </rPr>
          <t xml:space="preserve">The juice yield of an orange is 50% of total fruit gmwt.
The Culinary Institute of America. "Educator Lesson Plan “ʻKitchen Calculations.ʻ"  Available at https://www.ciachef.edu/uploadedFiles/Pages/Admissions_and_Financial_Aid/Educators/Educational_Materials/Technique_of_the_Quarter/techniques-calculations.pdf.
confirmed with
Figure 11.7a
Bates, R. P., Morris, J. R., &amp; Crandall, P. G. (2001). Practical aspects of citrus juice processing. Principles and practices of small-and medium-scale fruit juice procesing,. Rome, FAO Agricultural Services Bulletin, 146.
</t>
        </r>
      </text>
    </comment>
    <comment ref="F150" authorId="0" shapeId="0">
      <text>
        <r>
          <rPr>
            <sz val="10"/>
            <color rgb="FF000000"/>
            <rFont val="Arial"/>
          </rPr>
          <t>Keep database consistent: CleanMetrics. (2020). "Orange juice." Food Carbon Emissions Calculator. http://www.foodemissions.com/Calculator.</t>
        </r>
      </text>
    </comment>
    <comment ref="C159" authorId="0" shapeId="0">
      <text>
        <r>
          <rPr>
            <sz val="10"/>
            <color rgb="FF000000"/>
            <rFont val="Arial"/>
          </rPr>
          <t>Eshel, Gidon.  "MAD". Gidon_EnvironCalcPaper3_151104AS_poultryconcise (2).xlsx</t>
        </r>
      </text>
    </comment>
    <comment ref="D159" authorId="0" shapeId="0">
      <text>
        <r>
          <rPr>
            <sz val="10"/>
            <color rgb="FF000000"/>
            <rFont val="Arial"/>
          </rPr>
          <t>Eshel, Gidon.  "MAD". Gidon_EnvironCalcPaper3_151104AS_poultryconcise (2).xlsx</t>
        </r>
      </text>
    </comment>
    <comment ref="E159" authorId="0" shapeId="0">
      <text>
        <r>
          <rPr>
            <sz val="10"/>
            <color rgb="FF000000"/>
            <rFont val="Arial"/>
          </rPr>
          <t>Mekonnen, M. M., &amp; Hoekstra, A. Y. (2011). "Pineapples." The green, blue and grey water footprint of crops and derived crop products.</t>
        </r>
      </text>
    </comment>
    <comment ref="F159" authorId="0" shapeId="0">
      <text>
        <r>
          <rPr>
            <sz val="10"/>
            <color rgb="FF000000"/>
            <rFont val="Arial"/>
          </rPr>
          <t>0.00220462lb = 1g
CleanMetrics. (2020). Food Carbon Emissions Calculator. http://www.foodemissions.com/Calculator.</t>
        </r>
      </text>
    </comment>
    <comment ref="C167"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D167"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E167"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F167"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I168"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I171"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I172"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B174" authorId="0" shapeId="0">
      <text>
        <r>
          <rPr>
            <sz val="10"/>
            <color rgb="FF000000"/>
            <rFont val="Arial"/>
          </rPr>
          <t>Pomegranate yield (ton/ha)
2011.   2012.   2013.    2014
1.61     4.34      13.56    21.84
Vázquez-Rowe, I., Kahhat, R., Santillán-Saldívar, J., Quispe, I., &amp; Bentín, M. (2017). Carbon footprint of pomegranate (Punica granatum) cultivation in a hyper-arid region in coastal Peru. The International Journal of Life Cycle Assessment, 22(4), 601-617.</t>
        </r>
      </text>
    </comment>
    <comment ref="E174" authorId="0" shapeId="0">
      <text>
        <r>
          <rPr>
            <sz val="10"/>
            <color rgb="FF000000"/>
            <rFont val="Arial"/>
          </rPr>
          <t>Water use (m3/ha)
2011.   2012.   2013.    2014
2456.   3967     5958     6359
Vázquez-Rowe, I., Kahhat, R., Santillán-Saldívar, J., Quispe, I., &amp; Bentín, M. (2017). Carbon footprint of pomegranate (Punica granatum) cultivation in a hyper-arid region in coastal Peru. The International Journal of Life Cycle Assessment, 22(4), 601-617.</t>
        </r>
      </text>
    </comment>
    <comment ref="H174" authorId="0" shapeId="0">
      <text>
        <r>
          <rPr>
            <sz val="10"/>
            <color rgb="FF000000"/>
            <rFont val="Arial"/>
          </rPr>
          <t>GHG/FU (kgCO2eq/3.9kg box)
2011.   2012.   2013.    2014
18.2     6.95      2.95      1.84
Vázquez-Rowe, I., Kahhat, R., Santillán-Saldívar, J., Quispe, I., &amp; Bentín, M. (2017). Carbon footprint of pomegranate (Punica granatum) cultivation in a hyper-arid region in coastal Peru. The International Journal of Life Cycle Assessment, 22(4), 601-617.</t>
        </r>
      </text>
    </comment>
    <comment ref="J175" authorId="0" shapeId="0">
      <text>
        <r>
          <rPr>
            <sz val="10"/>
            <color rgb="FF000000"/>
            <rFont val="Arial"/>
          </rPr>
          <t>Prioritized CleanMetrics to keep database consistent
0.00220462lb = 1g
CleanMetrics. (2020). "Pomegranates." Food Carbon Emissions Calculator. http://www.foodemissions.com/Calculator.</t>
        </r>
      </text>
    </comment>
    <comment ref="C177"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D177"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E177"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F177" authorId="0" shapeId="0">
      <text>
        <r>
          <rPr>
            <sz val="10"/>
            <color rgb="FF000000"/>
            <rFont val="Arial"/>
          </rPr>
          <t>CleanMetrics. (2020). "Pomegranates." Food Carbon Emissions Calculator. http://www.foodemissions.com/Calculator.</t>
        </r>
      </text>
    </comment>
    <comment ref="B178" authorId="0" shapeId="0">
      <text>
        <r>
          <rPr>
            <sz val="10"/>
            <color rgb="FF000000"/>
            <rFont val="Arial"/>
          </rPr>
          <t>Catania, P., Comparetti, A., De Pasquale, C., Morello, G., &amp; Vallone, M. (2020). Effects of the Extraction Technology on Pomegranate Juice Quality. Agronomy, 10(10), 1483.</t>
        </r>
      </text>
    </comment>
    <comment ref="B186" authorId="0" shapeId="0">
      <text>
        <r>
          <rPr>
            <sz val="10"/>
            <color rgb="FF000000"/>
            <rFont val="Arial"/>
          </rPr>
          <t>NDB# 9291: "Plums, dried (prunes), uncooked"
USDA. "Plums, dried (prunes), uncooked." (2019). FoodData Central. U.S. Department of Agriculture. Available at https://fdc.nal.usda.gov/fdc-app.html#/food-details/168162/nutrients</t>
        </r>
      </text>
    </comment>
    <comment ref="C186" authorId="0" shapeId="0">
      <text>
        <r>
          <rPr>
            <sz val="10"/>
            <color rgb="FF000000"/>
            <rFont val="Arial"/>
          </rPr>
          <t>"PEARS RAW"
Eshel, Gidon.  "MAD". Gidon_EnvironCalcPaper3_151104AS_poultryconcise (2).xlsx</t>
        </r>
      </text>
    </comment>
    <comment ref="D186" authorId="0" shapeId="0">
      <text>
        <r>
          <rPr>
            <sz val="10"/>
            <color rgb="FF000000"/>
            <rFont val="Arial"/>
          </rPr>
          <t>"Dried Prunes" in "Fruits" section</t>
        </r>
      </text>
    </comment>
    <comment ref="E186" authorId="0" shapeId="0">
      <text>
        <r>
          <rPr>
            <sz val="10"/>
            <color rgb="FF000000"/>
            <rFont val="Arial"/>
          </rPr>
          <t>"Dried Prunes" in "Fruits" section</t>
        </r>
      </text>
    </comment>
    <comment ref="F186" authorId="0" shapeId="0">
      <text>
        <r>
          <rPr>
            <sz val="10"/>
            <color rgb="FF000000"/>
            <rFont val="Arial"/>
          </rPr>
          <t>"Dried Prunes" in "Fruits" section</t>
        </r>
      </text>
    </comment>
    <comment ref="B187" authorId="0" shapeId="0">
      <text>
        <r>
          <rPr>
            <sz val="10"/>
            <color rgb="FF000000"/>
            <rFont val="Arial"/>
          </rPr>
          <t>NDB# 9294: "Prune juice, canned"
USDA. (2019). "Prune juice, canned." FoodData Central. U.S. Department of Agriculture. Available at https://fdc.nal.usda.gov/fdc-app.html#/food-details/167753/nutrients</t>
        </r>
      </text>
    </comment>
    <comment ref="F187" authorId="0" shapeId="0">
      <text>
        <r>
          <rPr>
            <sz val="10"/>
            <color rgb="FF000000"/>
            <rFont val="Arial"/>
          </rPr>
          <t>1lb = 453.592g
"Prunes (dried plums), French Variety, CA, USA"
CleanMetrics. (2020)."Prunes (dried plums)." Food Carbon Emissions Calculator. http://www.foodemissions.com/Calculator.</t>
        </r>
      </text>
    </comment>
    <comment ref="B193" authorId="0" shapeId="0">
      <text>
        <r>
          <rPr>
            <sz val="10"/>
            <color rgb="FF000000"/>
            <rFont val="Arial"/>
          </rPr>
          <t>Kennedy, E. (2017). Trends in US Tea Imports: 1991-2015. Found at https://scholarworks.wmich.edu/cgi/viewcontent.cgi?article=3888&amp;context=honors_theses</t>
        </r>
      </text>
    </comment>
    <comment ref="B194" authorId="0" shapeId="0">
      <text>
        <r>
          <rPr>
            <sz val="10"/>
            <color rgb="FF000000"/>
            <rFont val="Arial"/>
          </rPr>
          <t>Kennedy, E. (2017). Trends in US Tea Imports: 1991-2015. Found at https://scholarworks.wmich.edu/cgi/viewcontent.cgi?article=3888&amp;context=honors_theses</t>
        </r>
      </text>
    </comment>
    <comment ref="B195" authorId="0" shapeId="0">
      <text>
        <r>
          <rPr>
            <sz val="10"/>
            <color rgb="FF000000"/>
            <rFont val="Arial"/>
          </rPr>
          <t>Kennedy, E. (2017). Trends in US Tea Imports: 1991-2015. Found at https://scholarworks.wmich.edu/cgi/viewcontent.cgi?article=3888&amp;context=honors_theses</t>
        </r>
      </text>
    </comment>
    <comment ref="D195" authorId="0" shapeId="0">
      <text>
        <r>
          <rPr>
            <sz val="10"/>
            <color rgb="FF000000"/>
            <rFont val="Arial"/>
          </rPr>
          <t>Ahmed, Selena et.al. (2014). Effects of Extreme Climate Events on Tea (Camellia sinensis) Functional Quality Validate Indigenous Farmer Knowledge and Sensory Preferences in Tropical China. PLOS One. Vol. 9, Issue 10. pp. 2.
https://journals.plos.org/plosone/article/file?id=10.1371/journal.pone.0109126&amp;type=printable</t>
        </r>
      </text>
    </comment>
    <comment ref="P196" authorId="0" shapeId="0">
      <text>
        <r>
          <rPr>
            <sz val="10"/>
            <color rgb="FF000000"/>
            <rFont val="Arial"/>
          </rPr>
          <t>Doublet, G., &amp; Jungbluth, N. (2010). Life cycle assessment of drinking Darjeeling tea. Conventional and organic Darjeeling tea. ESU-services Ltd., Uster.</t>
        </r>
      </text>
    </comment>
    <comment ref="U196" authorId="0" shapeId="0">
      <text>
        <r>
          <rPr>
            <sz val="10"/>
            <color rgb="FF000000"/>
            <rFont val="Arial"/>
          </rPr>
          <t>http://www.fao.org/faostat/en/#data/QC</t>
        </r>
      </text>
    </comment>
    <comment ref="B197" authorId="0" shapeId="0">
      <text>
        <r>
          <rPr>
            <sz val="10"/>
            <color rgb="FF000000"/>
            <rFont val="Arial"/>
          </rPr>
          <t>12.1 Agricultural production Basic Conditions and Sown Area of Farm Crops
measured per 1000 ha
NBSC (2019). China Statistical Yearbook, annual publication, National Bureau of Statistics of China. Retrieved from http://www.stats.gov. cn/tjsj/ndsj/2017/indexch.htm</t>
        </r>
      </text>
    </comment>
    <comment ref="C197" authorId="0" shapeId="0">
      <text>
        <r>
          <rPr>
            <sz val="10"/>
            <color rgb="FF000000"/>
            <rFont val="Arial"/>
          </rPr>
          <t>12-8: Sown Areas of Farm Crops
measured per 1000 ha
Tea Plantations in 2018
NBSC (2019). China Statistical Yearbook, annual publication, National Bureau of Statistics of China. Retrieved from http://www.stats.gov. cn/tjsj/ndsj/2017/indexch.htm</t>
        </r>
      </text>
    </comment>
    <comment ref="D197" authorId="0" shapeId="0">
      <text>
        <r>
          <rPr>
            <sz val="10"/>
            <color rgb="FF000000"/>
            <rFont val="Arial"/>
          </rPr>
          <t>12-10 Output of Major Farm Products
measured per 10,000 tons
NBSC (2019). China Statistical Yearbook, annual publication, National Bureau of Statistics of China. Retrieved from http://www.stats.gov. cn/tjsj/ndsj/2017/indexch.htm</t>
        </r>
      </text>
    </comment>
    <comment ref="E197" authorId="0" shapeId="0">
      <text>
        <r>
          <rPr>
            <sz val="10"/>
            <color rgb="FF000000"/>
            <rFont val="Arial"/>
          </rPr>
          <t>12-17 Basic Statistics on State Farms
measured per 1000 ha
NBSC (2019). China Statistical Yearbook, annual publication, National Bureau of Statistics of China. retrieved from http://www.stats.gov.cn/tjsj/ndsj/2019/indexeh.htm</t>
        </r>
      </text>
    </comment>
    <comment ref="F197" authorId="0" shapeId="0">
      <text>
        <r>
          <rPr>
            <sz val="10"/>
            <color rgb="FF000000"/>
            <rFont val="Arial"/>
          </rPr>
          <t>12-17 Basic Statistics on State Farms
measured per 10,000 tons
NBSC (2019). China Statistical Yearbook, annual publication, National Bureau of Statistics of China. retrieved from http://www.stats.gov.cn/tjsj/ndsj/2019/indexeh.htm</t>
        </r>
      </text>
    </comment>
    <comment ref="H197" authorId="0" shapeId="0">
      <text>
        <r>
          <rPr>
            <sz val="10"/>
            <color rgb="FF000000"/>
            <rFont val="Arial"/>
          </rPr>
          <t>1000m2/1ha
1ton/1000000g</t>
        </r>
      </text>
    </comment>
    <comment ref="J197" authorId="0" shapeId="0">
      <text>
        <r>
          <rPr>
            <sz val="10"/>
            <color rgb="FF000000"/>
            <rFont val="Arial"/>
          </rPr>
          <t>1ton/1000000g</t>
        </r>
      </text>
    </comment>
    <comment ref="K197" authorId="0" shapeId="0">
      <text>
        <r>
          <rPr>
            <sz val="10"/>
            <color rgb="FF000000"/>
            <rFont val="Arial"/>
          </rPr>
          <t>1000m2/1ha</t>
        </r>
      </text>
    </comment>
    <comment ref="L197"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197"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U197" authorId="0" shapeId="0">
      <text>
        <r>
          <rPr>
            <sz val="10"/>
            <color rgb="FF000000"/>
            <rFont val="Arial"/>
          </rPr>
          <t>Input:
Regions &gt; World + (Total):
Elements &gt; Area harvested, Yield, Production Quantity;
Items &gt; Tea
Years &gt; 2018
http://www.fao.org/faostat/en/#data/QC</t>
        </r>
      </text>
    </comment>
    <comment ref="W197" authorId="0" shapeId="0">
      <text>
        <r>
          <rPr>
            <sz val="10"/>
            <color rgb="FF000000"/>
            <rFont val="Arial"/>
          </rPr>
          <t>ha to m2 conversion</t>
        </r>
      </text>
    </comment>
    <comment ref="L198"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198"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U198" authorId="0" shapeId="0">
      <text>
        <r>
          <rPr>
            <sz val="10"/>
            <color rgb="FF000000"/>
            <rFont val="Arial"/>
          </rPr>
          <t>Input:
Regions &gt; World + (Total):
Elements &gt; Area harvested, Yield, Production Quantity;
Items &gt; Tea
Years &gt; 2018
http://www.fao.org/faostat/en/#data/QC</t>
        </r>
      </text>
    </comment>
    <comment ref="W198" authorId="0" shapeId="0">
      <text>
        <r>
          <rPr>
            <sz val="10"/>
            <color rgb="FF000000"/>
            <rFont val="Arial"/>
          </rPr>
          <t>metric ton to gram conversion</t>
        </r>
      </text>
    </comment>
    <comment ref="L199"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199"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U199" authorId="0" shapeId="0">
      <text>
        <r>
          <rPr>
            <sz val="10"/>
            <color rgb="FF000000"/>
            <rFont val="Arial"/>
          </rPr>
          <t>Input:
Regions &gt; World + (Total):
Elements &gt; Area harvested, Yield, Production Quantity;
Items &gt; Tea
Years &gt; 2018
http://www.fao.org/faostat/en/#data/QC</t>
        </r>
      </text>
    </comment>
    <comment ref="V199" authorId="0" shapeId="0">
      <text>
        <r>
          <rPr>
            <sz val="10"/>
            <color rgb="FF000000"/>
            <rFont val="Arial"/>
          </rPr>
          <t>Input:
Regions &gt; World + (Total):
Elements &gt; Area harvested, Yield, Production Quantity;
Items &gt; Tea
Years &gt; 2018
http://www.fao.org/faostat/en/#data/QC</t>
        </r>
      </text>
    </comment>
    <comment ref="L200"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200"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201"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201"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202"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202"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T202" authorId="0" shapeId="0">
      <text>
        <r>
          <rPr>
            <sz val="10"/>
            <color rgb="FF000000"/>
            <rFont val="Arial"/>
          </rPr>
          <t>Doublet, G., &amp; Jungbluth, N. (2010). Life cycle assessment of drinking Darjeeling tea. Conventional and organic Darjeeling tea. ESU-services Ltd., Uster.
citing FAOSTAT Crops Production 2007</t>
        </r>
      </text>
    </comment>
    <comment ref="H205" authorId="0" shapeId="0">
      <text>
        <r>
          <rPr>
            <sz val="10"/>
            <color rgb="FF000000"/>
            <rFont val="Arial"/>
          </rPr>
          <t>"553 kg N ha1"
Xu, Qiang (2019). "Carbon footprint and primary energy demand of organic tea in China using a life cycle assessment approach". Journal of Cleaner Production. 233, pp. 782-792.</t>
        </r>
      </text>
    </comment>
    <comment ref="J205" authorId="0" shapeId="0">
      <text>
        <r>
          <rPr>
            <sz val="10"/>
            <color rgb="FF000000"/>
            <rFont val="Arial"/>
          </rPr>
          <t>Manure
Cichorowski, G., Joa, B., Hottenroth, H., &amp; Schmidt, M. (2015). Scenario analysis of life cycle greenhouse gas emissions of Darjeeling tea. The International Journal of Life Cycle Assessment, 20(4), 426-439.</t>
        </r>
      </text>
    </comment>
    <comment ref="L205"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M205"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N205" authorId="0" shapeId="0">
      <text>
        <r>
          <rPr>
            <sz val="10"/>
            <color rgb="FF000000"/>
            <rFont val="Arial"/>
          </rPr>
          <t>Atomic Mass:
N=14
H=1
O=16
C=12</t>
        </r>
      </text>
    </comment>
    <comment ref="C206" authorId="0" shapeId="0">
      <text>
        <r>
          <rPr>
            <sz val="10"/>
            <color rgb="FF000000"/>
            <rFont val="Arial"/>
          </rPr>
          <t>consider NOx to be 50% NO and 50% NO2
Atomic Mass:
N=14
O=16</t>
        </r>
      </text>
    </comment>
    <comment ref="D206" authorId="0" shapeId="0">
      <text>
        <r>
          <rPr>
            <sz val="10"/>
            <color rgb="FF000000"/>
            <rFont val="Arial"/>
          </rPr>
          <t>Table 2: "0.02kgNOx/ha/yr"
Xu, Qiang (2019). "Carbon footprint and primary energy demand of organic tea in China using a life cycle assessment approach". Journal of Cleaner Production. 233, pp. 782-792.</t>
        </r>
      </text>
    </comment>
    <comment ref="C207" authorId="0" shapeId="0">
      <text>
        <r>
          <rPr>
            <sz val="10"/>
            <color rgb="FF000000"/>
            <rFont val="Arial"/>
          </rPr>
          <t>Atomic Mass:
N=14
O=16</t>
        </r>
      </text>
    </comment>
    <comment ref="D207" authorId="0" shapeId="0">
      <text>
        <r>
          <rPr>
            <sz val="10"/>
            <color rgb="FF000000"/>
            <rFont val="Arial"/>
          </rPr>
          <t>Table 2: "5.68kgN2O/ha/yr"
Xu, Qiang (2019). "Carbon footprint and primary energy demand of organic tea in China using a life cycle assessment approach". Journal of Cleaner Production. 233, pp. 782-792.</t>
        </r>
      </text>
    </comment>
    <comment ref="C208" authorId="0" shapeId="0">
      <text>
        <r>
          <rPr>
            <sz val="10"/>
            <color rgb="FF000000"/>
            <rFont val="Arial"/>
          </rPr>
          <t>Atomic Mass:
N=14
H=1</t>
        </r>
      </text>
    </comment>
    <comment ref="D208" authorId="0" shapeId="0">
      <text>
        <r>
          <rPr>
            <sz val="10"/>
            <color rgb="FF000000"/>
            <rFont val="Arial"/>
          </rPr>
          <t>Table 2: "30.44kgNH3/ha/yr"
Xu, Qiang (2019). "Carbon footprint and primary energy demand of organic tea in China using a life cycle assessment approach". Journal of Cleaner Production. 233, pp. 782-792.</t>
        </r>
      </text>
    </comment>
    <comment ref="C209" authorId="0" shapeId="0">
      <text>
        <r>
          <rPr>
            <sz val="10"/>
            <color rgb="FF000000"/>
            <rFont val="Arial"/>
          </rPr>
          <t>Atomic Mass:
N=14
O=16</t>
        </r>
      </text>
    </comment>
    <comment ref="D209" authorId="0" shapeId="0">
      <text>
        <r>
          <rPr>
            <sz val="10"/>
            <color rgb="FF000000"/>
            <rFont val="Arial"/>
          </rPr>
          <t>Table 2: "43.25kgNO3/ha/yr"
Xu, Qiang (2019). "Carbon footprint and primary energy demand of organic tea in China using a life cycle assessment approach". Journal of Cleaner Production. 233, pp. 782-792.</t>
        </r>
      </text>
    </comment>
    <comment ref="D210" authorId="0" shapeId="0">
      <text>
        <r>
          <rPr>
            <sz val="10"/>
            <color rgb="FF000000"/>
            <rFont val="Arial"/>
          </rPr>
          <t>pp. 783: 1 cup = 2g dry tea and 250ml boiling water
Xu, Qiang (2019). "Carbon footprint and primary energy demand of organic tea in China using a life cycle assessment approach". Journal of Cleaner Production. 233, pp. 782-792.</t>
        </r>
      </text>
    </comment>
    <comment ref="M210" authorId="0" shapeId="0">
      <text>
        <r>
          <rPr>
            <sz val="10"/>
            <color rgb="FF000000"/>
            <rFont val="Arial"/>
          </rPr>
          <t>Doublet, G., &amp; Jungbluth, N. (2010). Life cycle assessment of drinking Darjeeling tea. Conventional and organic Darjeeling tea. ESU-services Ltd., Uster.</t>
        </r>
      </text>
    </comment>
    <comment ref="B211" authorId="0" shapeId="0">
      <text>
        <r>
          <rPr>
            <sz val="10"/>
            <color rgb="FF000000"/>
            <rFont val="Arial"/>
          </rPr>
          <t>Table 2: "12.73kgCO2/ha/yr"
Xu, Qiang (2019). "Carbon footprint and primary energy demand of organic tea in China using a life cycle assessment approach". Journal of Cleaner Production. 233, pp. 782-792.</t>
        </r>
      </text>
    </comment>
    <comment ref="C211" authorId="0" shapeId="0">
      <text>
        <r>
          <rPr>
            <sz val="10"/>
            <color rgb="FF000000"/>
            <rFont val="Arial"/>
          </rPr>
          <t>"Wuyangchunyu (green tea)"
Xu, Qiang (2019). "Carbon footprint and primary energy demand of organic tea in China using a life cycle assessment approach". Journal of Cleaner Production. 233, pp. 782-792.</t>
        </r>
      </text>
    </comment>
    <comment ref="H211"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I211"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J211" authorId="0" shapeId="0">
      <text>
        <r>
          <rPr>
            <sz val="10"/>
            <color rgb="FF000000"/>
            <rFont val="Arial"/>
          </rPr>
          <t>Table 6:
Growth
Fertilizer and application
Fertilizer induced N2O emissions
Pesticides
Cichorowski, G., Joa, B., Hottenroth, H., &amp; Schmidt, M. (2015). Scenario analysis of life cycle greenhouse gas emissions of Darjeeling tea. The International Journal of Life Cycle Assessment, 20(4), 426-439.</t>
        </r>
      </text>
    </comment>
    <comment ref="K211" authorId="0" shapeId="0">
      <text>
        <r>
          <rPr>
            <sz val="10"/>
            <color rgb="FF000000"/>
            <rFont val="Arial"/>
          </rPr>
          <t>Table 6:
Growth
Fertilizer and application
Fertilizer induced N2O emissions
Pesticides
Cichorowski, G., Joa, B., Hottenroth, H., &amp; Schmidt, M. (2015). Scenario analysis of life cycle greenhouse gas emissions of Darjeeling tea. The International Journal of Life Cycle Assessment, 20(4), 426-439.</t>
        </r>
      </text>
    </comment>
    <comment ref="N211"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O211"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C212" authorId="0" shapeId="0">
      <text>
        <r>
          <rPr>
            <sz val="10"/>
            <color rgb="FF000000"/>
            <rFont val="Arial"/>
          </rPr>
          <t>"Longjing (green tea)"
Xu, Qiang (2019). "Carbon footprint and primary energy demand of organic tea in China using a life cycle assessment approach". Journal of Cleaner Production. 233, pp. 782-792.</t>
        </r>
      </text>
    </comment>
    <comment ref="N212"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O212"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C213" authorId="0" shapeId="0">
      <text>
        <r>
          <rPr>
            <sz val="10"/>
            <color rgb="FF000000"/>
            <rFont val="Arial"/>
          </rPr>
          <t>"Wuyangkungfu (black tea)"
Xu, Qiang (2019). "Carbon footprint and primary energy demand of organic tea in China using a life cycle assessment approach". Journal of Cleaner Production. 233, pp. 782-792.</t>
        </r>
      </text>
    </comment>
    <comment ref="C214" authorId="0" shapeId="0">
      <text>
        <r>
          <rPr>
            <sz val="10"/>
            <color rgb="FF000000"/>
            <rFont val="Arial"/>
          </rPr>
          <t>"Jinkengoolong (Oolong tea)"
Xu, Qiang (2019). "Carbon footprint and primary energy demand of organic tea in China using a life cycle assessment approach". Journal of Cleaner Production. 233, pp. 782-792.</t>
        </r>
      </text>
    </comment>
    <comment ref="C215" authorId="0" shapeId="0">
      <text>
        <r>
          <rPr>
            <sz val="10"/>
            <color rgb="FF000000"/>
            <rFont val="Arial"/>
          </rPr>
          <t>"Green tablets (green tea)...teabag tea"
Xu, Qiang (2019). "Carbon footprint and primary energy demand of organic tea in China using a life cycle assessment approach". Journal of Cleaner Production. 233, pp. 782-792.</t>
        </r>
      </text>
    </comment>
    <comment ref="A221" authorId="0" shapeId="0">
      <text>
        <r>
          <rPr>
            <sz val="10"/>
            <color rgb="FF000000"/>
            <rFont val="Arial"/>
          </rPr>
          <t>Gidon Correspondance: Tea and Decaf Tea have the same environmental impact</t>
        </r>
      </text>
    </comment>
    <comment ref="E222" authorId="0" shapeId="0">
      <text>
        <r>
          <rPr>
            <sz val="10"/>
            <color rgb="FF000000"/>
            <rFont val="Arial"/>
          </rPr>
          <t>Mekonnen-Hoekstra, The green, blue and grey water footprint of crops; 2011; pg 1589; "Green and black tea" blue water footprint</t>
        </r>
      </text>
    </comment>
    <comment ref="B223" authorId="0" shapeId="0">
      <text>
        <r>
          <rPr>
            <sz val="10"/>
            <color rgb="FF000000"/>
            <rFont val="Arial"/>
          </rPr>
          <t>2g of leaves for each cup of tea
https://www.teatulia.com/tea-101/how-to-measure-loose-leaf-tea-for-brewing.htm (American company)
237g = 1 cup (8oz) of tea
https://www.aqua-calc.com/calculate/food-volume-to-weight</t>
        </r>
      </text>
    </comment>
    <comment ref="B238" authorId="0" shapeId="0">
      <text>
        <r>
          <rPr>
            <sz val="10"/>
            <color rgb="FF000000"/>
            <rFont val="Arial"/>
          </rPr>
          <t>"3 to 3.5 pounds tomatoes per quart"
https://franklin.ca.uky.edu/files/fcs3-580_-_home_canning_tomato_products.pdf</t>
        </r>
      </text>
    </comment>
    <comment ref="D238" authorId="0" shapeId="0">
      <text>
        <r>
          <rPr>
            <sz val="10"/>
            <color rgb="FF000000"/>
            <rFont val="Arial"/>
          </rPr>
          <t>"TOMATOES RED RIPE RAW YEAR RND AVERAGE"
Eshel, Gidon.  "MAD". Gidon_EnvironCalcPaper3_151104AS_poultryconcise (2).xlsx</t>
        </r>
      </text>
    </comment>
    <comment ref="E238" authorId="0" shapeId="0">
      <text>
        <r>
          <rPr>
            <sz val="10"/>
            <color rgb="FF000000"/>
            <rFont val="Arial"/>
          </rPr>
          <t>"TOMATOES RED RIPE RAW YEAR RND AVERAGE"
Eshel, Gidon.  "MAD". Gidon_EnvironCalcPaper3_151104AS_poultryconcise (2).xlsx</t>
        </r>
      </text>
    </comment>
    <comment ref="F238" authorId="0" shapeId="0">
      <text>
        <r>
          <rPr>
            <sz val="10"/>
            <color rgb="FF000000"/>
            <rFont val="Arial"/>
          </rPr>
          <t>Mekonnen, M. M., &amp; Hoekstra, A. Y. (2011). "Tomatoes." The green, blue and grey water footprint of crops and derived crop products.</t>
        </r>
      </text>
    </comment>
    <comment ref="G238" authorId="0" shapeId="0">
      <text>
        <r>
          <rPr>
            <sz val="10"/>
            <color rgb="FF000000"/>
            <rFont val="Arial"/>
          </rPr>
          <t>Tomatoes, CA, USA
.11kgCO2eq/lb
CleanMetrics. (2020). Food Carbon Emissions Calculator. http://www.foodemissions.com/Calculator.</t>
        </r>
      </text>
    </comment>
    <comment ref="B239" authorId="0" shapeId="0">
      <text>
        <r>
          <rPr>
            <sz val="10"/>
            <color rgb="FF000000"/>
            <rFont val="Arial"/>
          </rPr>
          <t>1 qt of "Tomato juice, 100%" = 2.19 lb
https://www.aqua-calc.com/calculate/food-volume-to-weight</t>
        </r>
      </text>
    </comment>
    <comment ref="B247" authorId="0" shapeId="0">
      <text>
        <r>
          <rPr>
            <sz val="10"/>
            <color rgb="FF000000"/>
            <rFont val="Arial"/>
          </rPr>
          <t>1.41kg grapes yield 1kg red wine
Notarnicola, B., Tassielli, G., &amp; Nicoletti, G. M. (2003). Life cycle assessment (LCA) of wine production. Environmentally-friendly food processing, 306, 326.</t>
        </r>
      </text>
    </comment>
    <comment ref="C247" authorId="0" shapeId="0">
      <text>
        <r>
          <rPr>
            <sz val="10"/>
            <color rgb="FF000000"/>
            <rFont val="Arial"/>
          </rPr>
          <t>Eshel, Gidon.  "MAD". Gidon_EnvironCalcPaper3_151104AS_poultryconcise (2).xlsx</t>
        </r>
      </text>
    </comment>
    <comment ref="D247" authorId="0" shapeId="0">
      <text>
        <r>
          <rPr>
            <sz val="10"/>
            <color rgb="FF000000"/>
            <rFont val="Arial"/>
          </rPr>
          <t>Eshel, Gidon.  "MAD". Gidon_EnvironCalcPaper3_151104AS_poultryconcise (2).xlsx</t>
        </r>
      </text>
    </comment>
    <comment ref="E247"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F247" authorId="0" shapeId="0">
      <text>
        <r>
          <rPr>
            <sz val="10"/>
            <color rgb="FF000000"/>
            <rFont val="Arial"/>
          </rPr>
          <t>Red Wine Grape average = 0.0005144113333 kgCO2eq/g
"Grapes" = 0.0008377556
"Grapes, Cabernet Sauvignon, for wine" = 0.000220462
"Grapes, French hybrids, for wine" = 0.0004850164
CleanMetrics. (2020).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B248" authorId="0" shapeId="0">
      <text>
        <r>
          <rPr>
            <sz val="10"/>
            <color rgb="FF000000"/>
            <rFont val="Arial"/>
          </rPr>
          <t>1.41kg grapes yield 1kg red wine
Notarnicola, B., Tassielli, G., &amp; Nicoletti, G. M. (2003). Life cycle assessment (LCA) of wine production. Environmentally-friendly food processing, 306, 326.</t>
        </r>
      </text>
    </comment>
    <comment ref="B256" authorId="0" shapeId="0">
      <text>
        <r>
          <rPr>
            <sz val="10"/>
            <color rgb="FF000000"/>
            <rFont val="Arial"/>
          </rPr>
          <t>1.6kg grapes yield 1kg white wine
Notarnicola, B., Tassielli, G., &amp; Nicoletti, G. M. (2003). Life cycle assessment (LCA) of wine production. Environmentally-friendly food processing, 306, 326.</t>
        </r>
      </text>
    </comment>
    <comment ref="C256" authorId="0" shapeId="0">
      <text>
        <r>
          <rPr>
            <sz val="10"/>
            <color rgb="FF000000"/>
            <rFont val="Arial"/>
          </rPr>
          <t>Eshel, Gidon.  "MAD". Gidon_EnvironCalcPaper3_151104AS_poultryconcise (2).xlsx</t>
        </r>
      </text>
    </comment>
    <comment ref="D256" authorId="0" shapeId="0">
      <text>
        <r>
          <rPr>
            <sz val="10"/>
            <color rgb="FF000000"/>
            <rFont val="Arial"/>
          </rPr>
          <t>Eshel, Gidon.  "MAD". Gidon_EnvironCalcPaper3_151104AS_poultryconcise (2).xlsx</t>
        </r>
      </text>
    </comment>
    <comment ref="E256"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F256" authorId="0" shapeId="0">
      <text>
        <r>
          <rPr>
            <sz val="10"/>
            <color rgb="FF000000"/>
            <rFont val="Arial"/>
          </rPr>
          <t>White Wine Grape average = 0.0003968316 kgCO2eq/g
"Grapes" = 0.0008377556
""Grapes, Chardonnay, for wine"" = 0.0002645544
"Grapes, Chardonnay, for wine, organic" = 0.0002425082
"Grapes, Sauvignon Blanc, for wine" = 0.0001543234
"Grapes, French hybrids, for wine" = 0.0004850164
CleanMetrics. (2020).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B257" authorId="0" shapeId="0">
      <text>
        <r>
          <rPr>
            <sz val="10"/>
            <color rgb="FF000000"/>
            <rFont val="Arial"/>
          </rPr>
          <t>1.6kg grapes yield 1kg white wine
Notarnicola, B., Tassielli, G., &amp; Nicoletti, G. M. (2003). Life cycle assessment (LCA) of wine production. Environmentally-friendly food processing, 306, 326.</t>
        </r>
      </text>
    </comment>
    <comment ref="B267" authorId="0" shapeId="0">
      <text>
        <r>
          <rPr>
            <sz val="10"/>
            <color rgb="FF000000"/>
            <rFont val="Arial"/>
          </rPr>
          <t>http://ageconsearch.umn.edu/bitstream/154304/2/sb616.pdf page 12</t>
        </r>
      </text>
    </comment>
    <comment ref="M267" authorId="0" shapeId="0">
      <text>
        <r>
          <rPr>
            <sz val="10"/>
            <color rgb="FF000000"/>
            <rFont val="Arial"/>
          </rPr>
          <t>Akshay's document: FFQ variable names join.xlsx:
"Scaled using liquid milk equivalent of whole milk. To find the liquid milk equivalent, use http://ageconsearch.umn.edu/bitstream/154304/2/sb616.pdf - page 12 - take total milk solids of target item and divide by total milk solids of whole milk"</t>
        </r>
      </text>
    </comment>
    <comment ref="S267" authorId="0" shapeId="0">
      <text>
        <r>
          <rPr>
            <sz val="10"/>
            <color rgb="FF000000"/>
            <rFont val="Arial"/>
          </rPr>
          <t>Akshay's document: FFQ variable names join.xlsx:
"Scaled using liquid milk equivalent of whole milk. To find the liquid milk equivalent, use http://ageconsearch.umn.edu/bitstream/154304/2/sb616.pdf - page 12 - take total milk solids of target item and divide by total milk solids of whole milk"</t>
        </r>
      </text>
    </comment>
    <comment ref="C268" authorId="0" shapeId="0">
      <text>
        <r>
          <rPr>
            <sz val="10"/>
            <color rgb="FF000000"/>
            <rFont val="Arial"/>
          </rPr>
          <t>10.03 m2-yr/Mcal = 10.03e-3 m2-yr/kcal = 1.003e-2 m2-y/kcal * 60 kcal/100 g = 0.6018 m2-y/100 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D268" authorId="0" shapeId="0">
      <text>
        <r>
          <rPr>
            <sz val="10"/>
            <color rgb="FF000000"/>
            <rFont val="Arial"/>
          </rPr>
          <t>Gidon's Values: 29.49 g Nr/Mcal = 0.02949gNr/kcal * 60kcal/100g = 1.7694gNr/100g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E268" authorId="0" shapeId="0">
      <text>
        <r>
          <rPr>
            <sz val="10"/>
            <color rgb="FF000000"/>
            <rFont val="Arial"/>
          </rPr>
          <t>Gidon's value: 
196.61 liter water/Mcal = 0.19661L/kcal * 60kcal/100g = 11.7966L/100g = 0.0117966m^3/100g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F268" authorId="0" shapeId="0">
      <text>
        <r>
          <rPr>
            <sz val="10"/>
            <color rgb="FF000000"/>
            <rFont val="Arial"/>
          </rPr>
          <t>Gidon's values: 1.85kgCO2eq/Mcal = .00185kgCO2eq/kcal * 60kcal/100g = .111kgCO2eq/100g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G268" authorId="0" shapeId="0">
      <text>
        <r>
          <rPr>
            <sz val="10"/>
            <color rgb="FF000000"/>
            <rFont val="Arial"/>
          </rPr>
          <t>"Whole Milk"
https://fdc.nal.usda.gov/fdc-app.html#/food-details/1097512/nutrients</t>
        </r>
      </text>
    </comment>
    <comment ref="I268" authorId="0" shapeId="0">
      <text>
        <r>
          <rPr>
            <sz val="10"/>
            <color rgb="FF000000"/>
            <rFont val="Arial"/>
          </rPr>
          <t>10.03 m2-yr/Mcal = 10.03e-3 m2-yr/kcal = 1.003e-2 m2-y/kcal * 60 kcal/100 g = 0.6018 m2-y/100 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J268" authorId="0" shapeId="0">
      <text>
        <r>
          <rPr>
            <sz val="10"/>
            <color rgb="FF000000"/>
            <rFont val="Arial"/>
          </rPr>
          <t>Gidon's Values: 29.49 g Nr/Mcal = 0.02949gNr/kcal * 60kcal/100g = 1.7694gNr/100g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K268" authorId="0" shapeId="0">
      <text>
        <r>
          <rPr>
            <sz val="10"/>
            <color rgb="FF000000"/>
            <rFont val="Arial"/>
          </rPr>
          <t>Gidon's value: 
196.61 liter water/Mcal = 0.19661L/kcal * 60kcal/100g = 11.7966L/100g = 0.0117966m^3/100g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L268" authorId="0" shapeId="0">
      <text>
        <r>
          <rPr>
            <sz val="10"/>
            <color rgb="FF000000"/>
            <rFont val="Arial"/>
          </rPr>
          <t>Gidon's values: 1.85kgCO2eq/Mcal = .00185kgCO2eq/kcal * 60kcal/100g = .111kgCO2eq/100g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O268" authorId="0" shapeId="0">
      <text>
        <r>
          <rPr>
            <sz val="10"/>
            <color rgb="FF000000"/>
            <rFont val="Arial"/>
          </rPr>
          <t>10.03 m2-yr/Mcal = 10.03e-3 m2-yr/kcal = 1.003e-2 m2-y/kcal * 60 kcal/100 g = 0.6018 m2-y/100 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P268" authorId="0" shapeId="0">
      <text>
        <r>
          <rPr>
            <sz val="10"/>
            <color rgb="FF000000"/>
            <rFont val="Arial"/>
          </rPr>
          <t>Gidon's Values: 29.49 g Nr/Mcal = 0.02949gNr/kcal * 60kcal/100g = 1.7694gNr/100g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Q268" authorId="0" shapeId="0">
      <text>
        <r>
          <rPr>
            <sz val="10"/>
            <color rgb="FF000000"/>
            <rFont val="Arial"/>
          </rPr>
          <t>Gidon's value: 
196.61 liter water/Mcal = 0.19661L/kcal * 60kcal/100g = 11.7966L/100g = 0.0117966m^3/100g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R268" authorId="0" shapeId="0">
      <text>
        <r>
          <rPr>
            <sz val="10"/>
            <color rgb="FF000000"/>
            <rFont val="Arial"/>
          </rPr>
          <t>Gidon's values: 1.85kgCO2eq/Mcal = .00185kgCO2eq/kcal * 60kcal/100g = .111kgCO2eq/100g
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t>
        </r>
      </text>
    </comment>
    <comment ref="G269" authorId="0" shapeId="0">
      <text>
        <r>
          <rPr>
            <sz val="10"/>
            <color rgb="FF000000"/>
            <rFont val="Arial"/>
          </rPr>
          <t>"Milk, fat free (skim) 
https://fdc.nal.usda.gov/fdc-app.html#/food-details/1097521/nutrients</t>
        </r>
      </text>
    </comment>
    <comment ref="B270" authorId="0" shapeId="0">
      <text>
        <r>
          <rPr>
            <sz val="10"/>
            <color rgb="FF000000"/>
            <rFont val="Arial"/>
          </rPr>
          <t>Lowfat Milk</t>
        </r>
      </text>
    </comment>
    <comment ref="G270" authorId="0" shapeId="0">
      <text>
        <r>
          <rPr>
            <sz val="10"/>
            <color rgb="FF000000"/>
            <rFont val="Arial"/>
          </rPr>
          <t>NDB# 1083: "Milk, lowfat, fluid, 1% milkfat, with added nonfat milk solids, vitamin A and vitamin D"
USDA, (2020). FoodData Central. U.S. Department of Agriculture. Available at https://fdc.nal.usda.gov/fdc-app.html#/food-details/170873/nutrients</t>
        </r>
      </text>
    </comment>
    <comment ref="B271" authorId="0" shapeId="0">
      <text>
        <r>
          <rPr>
            <sz val="10"/>
            <color rgb="FF000000"/>
            <rFont val="Arial"/>
          </rPr>
          <t>Lowfat Milk</t>
        </r>
      </text>
    </comment>
    <comment ref="G271" authorId="0" shapeId="0">
      <text>
        <r>
          <rPr>
            <sz val="10"/>
            <color rgb="FF000000"/>
            <rFont val="Arial"/>
          </rPr>
          <t>NDB# 1079: Milk, reduced fat, fluid, 2% milkfat, with added vitamin A and vitamin D
USDA, (2020). FoodData Central. U.S. Department of Agriculture. Available at https://fdc.nal.usda.gov/fdc-app.html#/food-details/170873/nutrients</t>
        </r>
      </text>
    </comment>
    <comment ref="B272" authorId="0" shapeId="0">
      <text>
        <r>
          <rPr>
            <sz val="10"/>
            <color rgb="FF000000"/>
            <rFont val="Arial"/>
          </rPr>
          <t xml:space="preserve">whey; wet
</t>
        </r>
      </text>
    </comment>
    <comment ref="G272" authorId="0" shapeId="0">
      <text>
        <r>
          <rPr>
            <sz val="10"/>
            <color rgb="FF000000"/>
            <rFont val="Arial"/>
          </rPr>
          <t>NDB#: 01114        Whey, sweet, fluid
USDA, (2020). FoodData Central. U.S. Department of Agriculture. Available at https://fdc.nal.usda.gov/fdc-app.html#/food-details/171282/nutrients</t>
        </r>
      </text>
    </comment>
    <comment ref="B273" authorId="0" shapeId="0">
      <text>
        <r>
          <rPr>
            <sz val="10"/>
            <color rgb="FF000000"/>
            <rFont val="Arial"/>
          </rPr>
          <t>dried whey</t>
        </r>
      </text>
    </comment>
    <comment ref="G273" authorId="0" shapeId="0">
      <text>
        <r>
          <rPr>
            <sz val="10"/>
            <color rgb="FF000000"/>
            <rFont val="Arial"/>
          </rPr>
          <t xml:space="preserve">NDB# 01115: Whey, sweet, dried
USDA, (2020). FoodData Central. U.S. Department of Agriculture. Available at https://fdc.nal.usda.gov/fdc-app.html#/food-details/171283/nutrients
</t>
        </r>
      </text>
    </comment>
    <comment ref="G274" authorId="0" shapeId="0">
      <text>
        <r>
          <rPr>
            <sz val="10"/>
            <color rgb="FF000000"/>
            <rFont val="Arial"/>
          </rPr>
          <t>NDB# 01001 ; butter, salted
USDA, (2020). FoodData Central. U.S. Department of Agriculture. Available at https://fdc.nal.usda.gov/fdc-app.html#/food-details/173410/nutrients</t>
        </r>
      </text>
    </comment>
    <comment ref="B275" authorId="0" shapeId="0">
      <text>
        <r>
          <rPr>
            <sz val="10"/>
            <color rgb="FF000000"/>
            <rFont val="Arial"/>
          </rPr>
          <t>dry whole milk</t>
        </r>
      </text>
    </comment>
    <comment ref="G275" authorId="0" shapeId="0">
      <text>
        <r>
          <rPr>
            <sz val="10"/>
            <color rgb="FF000000"/>
            <rFont val="Arial"/>
          </rPr>
          <t xml:space="preserve">NDB# 01155: Milk, dry, nonfat, instant, without added vitamin A and vitamin D
USDA, (2020). FoodData Central. U.S. Department of Agriculture. Available at https://fdc.nal.usda.gov/fdc-app.html#/food-details/172196/nutrients
</t>
        </r>
      </text>
    </comment>
    <comment ref="B276" authorId="0" shapeId="0">
      <text>
        <r>
          <rPr>
            <sz val="10"/>
            <color rgb="FF000000"/>
            <rFont val="Arial"/>
          </rPr>
          <t>no recorded total milk solids, so used minimum milkfat</t>
        </r>
      </text>
    </comment>
    <comment ref="G276" authorId="0" shapeId="0">
      <text>
        <r>
          <rPr>
            <sz val="10"/>
            <color rgb="FF000000"/>
            <rFont val="Arial"/>
          </rPr>
          <t>NDB#: 01056 Cream, sour, cultured
USDA, (2020). FoodData Central. U.S. Department of Agriculture. Available at https://fdc.nal.usda.gov/fdc-app.html#/food-details/171257/nutrients</t>
        </r>
      </text>
    </comment>
    <comment ref="G277" authorId="0" shapeId="0">
      <text>
        <r>
          <rPr>
            <sz val="10"/>
            <color rgb="FF000000"/>
            <rFont val="Arial"/>
          </rPr>
          <t>NDB# 1117, plain yogurt
USDA, (2020). FoodData Central. U.S. Department of Agriculture. Available at https://fdc.nal.usda.gov/fdc-app.html#/food-details/170886/nutrients</t>
        </r>
      </text>
    </comment>
    <comment ref="B278" authorId="0" shapeId="0">
      <text>
        <r>
          <rPr>
            <sz val="10"/>
            <color rgb="FF000000"/>
            <rFont val="Arial"/>
          </rPr>
          <t>https://www.researchgate.net/profile/Ravinder_Kumar19/publication/280136366_Natural_and_Cultured_Buttermilk/links/55f696a508ae1d98039770ed/Natural-and-Cultured-Buttermilk.pdf 
"Milk is not used to make butter, instead manufactures add bacterial cultures to skim or low-fat cow’s milk and let it mature."</t>
        </r>
      </text>
    </comment>
    <comment ref="G278" authorId="0" shapeId="0">
      <text>
        <r>
          <rPr>
            <sz val="10"/>
            <color rgb="FF000000"/>
            <rFont val="Arial"/>
          </rPr>
          <t>NDB#: 01088        Milk, buttermilk, fluid, cultured, lowfat
USDA, (2020). FoodData Central. U.S. Department of Agriculture. Available at https://fdc.nal.usda.gov/fdc-app.html#/food-details/170874/nutrients</t>
        </r>
      </text>
    </comment>
    <comment ref="B279" authorId="0" shapeId="0">
      <text>
        <r>
          <rPr>
            <sz val="10"/>
            <color rgb="FF000000"/>
            <rFont val="Arial"/>
          </rPr>
          <t>"light whipping"
USDA, E. (1979). Statistics, and Cooperatives Service. Conversion Factors and Weights and Measures for Agricultural Commodities and Tneir Products"(Statistical Bulletin No. 616. Available at https://www.google.com/url?sa=t&amp;rct=j&amp;q=&amp;esrc=s&amp;source=web&amp;cd=&amp;ved=2ahUKEwj_ks6W7PbtAhXRHDQIHeYJBlMQFjABegQIARAC</t>
        </r>
      </text>
    </comment>
    <comment ref="G279" authorId="0" shapeId="0">
      <text>
        <r>
          <rPr>
            <sz val="10"/>
            <color rgb="FF000000"/>
            <rFont val="Arial"/>
          </rPr>
          <t>NDB# 01050 ; cream, fluid, light (coffee or table ceam)
USDA, (2020). FoodData Central. U.S. Department of Agriculture. Available at https://fdc.nal.usda.gov/fdc-app.html#/food-details/170857/nutrients</t>
        </r>
      </text>
    </comment>
    <comment ref="B280" authorId="0" shapeId="0">
      <text>
        <r>
          <rPr>
            <sz val="10"/>
            <color rgb="FF000000"/>
            <rFont val="Arial"/>
          </rPr>
          <t>"light whipping"
USDA, E. (1979). Statistics, and Cooperatives Service. Conversion Factors and Weights and Measures for Agricultural Commodities and Tneir Products"(Statistical Bulletin No. 616. Available at https://www.google.com/url?sa=t&amp;rct=j&amp;q=&amp;esrc=s&amp;source=web&amp;cd=&amp;ved=2ahUKEwj_ks6W7PbtAhXRHDQIHeYJBlMQFjABegQIARAC</t>
        </r>
      </text>
    </comment>
    <comment ref="G280" authorId="0" shapeId="0">
      <text>
        <r>
          <rPr>
            <sz val="10"/>
            <color rgb="FF000000"/>
            <rFont val="Arial"/>
          </rPr>
          <t>NDB# 1053 Cream, fluid, heavy whipping
USDA, (2020). FoodData Central. U.S. Department of Agriculture. Available at https://fdc.nal.usda.gov/fdc-app.html#/food-details/170859/nutrients</t>
        </r>
      </text>
    </comment>
    <comment ref="G281" authorId="0" shapeId="0">
      <text>
        <r>
          <rPr>
            <sz val="10"/>
            <color rgb="FF000000"/>
            <rFont val="Arial"/>
          </rPr>
          <t>NDB#: 01054        Cream, whipped, cream topping, pressurized
USDA, (2020). FoodData Central. U.S. Department of Agriculture. Available at https://fdc.nal.usda.gov/fdc-app.html#/food-details/170860/nutrients</t>
        </r>
      </text>
    </comment>
    <comment ref="G282" authorId="0" shapeId="0">
      <text>
        <r>
          <rPr>
            <sz val="10"/>
            <color rgb="FF000000"/>
            <rFont val="Arial"/>
          </rPr>
          <t>NDB # 1009 , cheddar cheese
USDA, (2020). FoodData Central. U.S. Department of Agriculture. Available at https://fdc.nal.usda.gov/fdc-app.html#/food-details/173414/nutrients</t>
        </r>
      </text>
    </comment>
    <comment ref="N282" authorId="0" shapeId="0">
      <text>
        <r>
          <rPr>
            <sz val="10"/>
            <color rgb="FF000000"/>
            <rFont val="Arial"/>
          </rPr>
          <t>Gidon Correspondence 10/11/18:
&lt;https://nutritiondata.self.com/facts/dairy-and-egg-products/69/2&gt; "Milk, whole, 3.25% milkfat"
Energy: 59.8kcal/100g
Fat: 3.2g/100g
Protein: 3.2g/100g
&lt;https://nutritiondata.self.com/facts/dairy-and-egg-products/8/2&gt; "Cheese, cheddar":
Energy: 403.03kcal/100g
Fat: 33.1g/100g
Protein: 24.9g/100g
24.9/3.2 = 7.7 ≈ 8</t>
        </r>
      </text>
    </comment>
    <comment ref="G283" authorId="0" shapeId="0">
      <text>
        <r>
          <rPr>
            <sz val="10"/>
            <color rgb="FF000000"/>
            <rFont val="Arial"/>
          </rPr>
          <t>Average of:
NDB# 1028 Cheese, mozzarella, part skim milk
https://fdc.nal.usda.gov/fdc-app.html#/food-details/170847/nutrients
and
NDB# 1037 Cheese, ricotta part skim
https://fdc.nal.usda.gov/fdc-app.html#/food-details/171248/nutrients
USDA, (2020). FoodData Central. U.S. Department of Agriculture.</t>
        </r>
      </text>
    </comment>
    <comment ref="N283" authorId="0" shapeId="0">
      <text>
        <r>
          <rPr>
            <sz val="10"/>
            <color rgb="FF000000"/>
            <rFont val="Arial"/>
          </rPr>
          <t>Gidon Correspondence 10/11/18:
&lt;https://nutritiondata.self.com/facts/dairy-and-egg-products/69/2&gt; "Milk, whole, 3.25% milkfat"
Energy: 59.8kcal/100g
Fat: 3.2g/100g
Protein: 3.2g/100g
&lt;https://nutritiondata.self.com/facts/dairy-and-egg-products/8/2&gt; "Cheese, ricotta, part skim milk":
Energy: 138kcal/100g
Fat: 7.9g/100g
Protein: 11.4g/100g
11.4/3.2 = 3.6 ≈ 3.5</t>
        </r>
      </text>
    </comment>
    <comment ref="G284" authorId="0" shapeId="0">
      <text>
        <r>
          <rPr>
            <sz val="10"/>
            <color rgb="FF000000"/>
            <rFont val="Arial"/>
          </rPr>
          <t>NDB#: 01029        Cheese, mozzarella, low moisture, part-skim</t>
        </r>
      </text>
    </comment>
    <comment ref="N284" authorId="0" shapeId="0">
      <text>
        <r>
          <rPr>
            <sz val="10"/>
            <color rgb="FF000000"/>
            <rFont val="Arial"/>
          </rPr>
          <t>Gidon Correspondence 10/11/18:
&lt;https://nutritiondata.self.com/facts/dairy-and-egg-products/69/2&gt; "Milk, whole, 3.25% milkfat"
Energy: 59.8kcal/100g
Fat: 3.2g/100g
Protein: 3.2g/100g
&lt;https://nutritiondata.self.com/facts/dairy-and-egg-products/8/2&gt; "Cheese, mozzarella, whole milk":
Energy: 300kcal/100g
Fat: 22.4g/100g
Protein: 22.2g/100g
22.2/3.2 = 6.9 ≈ 7</t>
        </r>
      </text>
    </comment>
    <comment ref="G285" authorId="0" shapeId="0">
      <text>
        <r>
          <rPr>
            <sz val="10"/>
            <color rgb="FF000000"/>
            <rFont val="Arial"/>
          </rPr>
          <t>NDB# 1016 Cheese, cottage, lowfat, 1% milkfat
https://fdc.nal.usda.gov/fdc-app.html#/food-details/173417/nutrients
USDA, (2020). FoodData Central. U.S. Department of Agriculture.</t>
        </r>
      </text>
    </comment>
    <comment ref="G286" authorId="0" shapeId="0">
      <text>
        <r>
          <rPr>
            <sz val="10"/>
            <color rgb="FF000000"/>
            <rFont val="Arial"/>
          </rPr>
          <t>NDB # 01017 , cream cheese
USDA, (2020). FoodData Central. U.S. Department of Agriculture. https://fdc.nal.usda.gov/fdc-app.html#/food-details/173418/nutrients</t>
        </r>
      </text>
    </comment>
    <comment ref="A294" authorId="0" shapeId="0">
      <text>
        <r>
          <rPr>
            <sz val="10"/>
            <color rgb="FF000000"/>
            <rFont val="Arial"/>
          </rPr>
          <t>http://www.foodemissions.com/foodemissions/Calculator</t>
        </r>
      </text>
    </comment>
    <comment ref="C295" authorId="0" shapeId="0">
      <text>
        <r>
          <rPr>
            <sz val="10"/>
            <color rgb="FF000000"/>
            <rFont val="Arial"/>
          </rPr>
          <t>0.00220462lb = 1g</t>
        </r>
      </text>
    </comment>
    <comment ref="D295" authorId="0" shapeId="0">
      <text>
        <r>
          <rPr>
            <sz val="10"/>
            <color rgb="FF000000"/>
            <rFont val="Arial"/>
          </rPr>
          <t xml:space="preserve">already in 1g
</t>
        </r>
      </text>
    </comment>
    <comment ref="D300" authorId="0" shapeId="0">
      <text>
        <r>
          <rPr>
            <sz val="10"/>
            <color rgb="FF000000"/>
            <rFont val="Arial"/>
          </rPr>
          <t>Blue Water needs for Eggs 244m3/ton
Mekonnen, Mesfin M., and Arjen Y. Hoekstra. "The green, blue and grey water footprint of farm animals and animal products. Volume 1: Main Report." (2010). Available at https://www.waterfootprint.org/media/downloads/Report-48-WaterFootprint-AnimalProducts-Vol1.pdf</t>
        </r>
      </text>
    </comment>
    <comment ref="A313" authorId="0" shapeId="0">
      <text>
        <r>
          <rPr>
            <sz val="10"/>
            <color rgb="FF000000"/>
            <rFont val="Arial"/>
          </rPr>
          <t>CleanMetrics. (2020). Food Carbon Emissions Calculator. http://www.foodemissions.com/Calculator.</t>
        </r>
      </text>
    </comment>
    <comment ref="C313" authorId="0" shapeId="0">
      <text>
        <r>
          <rPr>
            <sz val="10"/>
            <color rgb="FF000000"/>
            <rFont val="Arial"/>
          </rPr>
          <t>0.00220462lb = 1g</t>
        </r>
      </text>
    </comment>
    <comment ref="D313" authorId="0" shapeId="0">
      <text>
        <r>
          <rPr>
            <sz val="10"/>
            <color rgb="FF000000"/>
            <rFont val="Arial"/>
          </rPr>
          <t>CleanMetrics. (2020). Food Carbon Emissions Calculator. http://www.foodemissions.com/Calculator.</t>
        </r>
      </text>
    </comment>
    <comment ref="A314" authorId="0" shapeId="0">
      <text>
        <r>
          <rPr>
            <sz val="10"/>
            <color rgb="FF000000"/>
            <rFont val="Arial"/>
          </rPr>
          <t>CleanMetrics. (2020). Food Carbon Emissions Calculator. http://www.foodemissions.com/Calculator.</t>
        </r>
      </text>
    </comment>
    <comment ref="A315" authorId="0" shapeId="0">
      <text>
        <r>
          <rPr>
            <sz val="10"/>
            <color rgb="FF000000"/>
            <rFont val="Arial"/>
          </rPr>
          <t>CleanMetrics. (2020). Food Carbon Emissions Calculator. http://www.foodemissions.com/Calculator.</t>
        </r>
      </text>
    </comment>
    <comment ref="A316" authorId="0" shapeId="0">
      <text>
        <r>
          <rPr>
            <sz val="10"/>
            <color rgb="FF000000"/>
            <rFont val="Arial"/>
          </rPr>
          <t>CleanMetrics. (2020). Food Carbon Emissions Calculator. http://www.foodemissions.com/Calculator.</t>
        </r>
      </text>
    </comment>
    <comment ref="A317" authorId="0" shapeId="0">
      <text>
        <r>
          <rPr>
            <sz val="10"/>
            <color rgb="FF000000"/>
            <rFont val="Arial"/>
          </rPr>
          <t>CleanMetrics. (2020). Food Carbon Emissions Calculator. http://www.foodemissions.com/Calculator.</t>
        </r>
      </text>
    </comment>
    <comment ref="B319" authorId="0" shapeId="0">
      <text>
        <r>
          <rPr>
            <sz val="10"/>
            <color rgb="FF000000"/>
            <rFont val="Arial"/>
          </rPr>
          <t>"Apples raw with skin" in m2-year/100g
Eshel, Gidon.  "MAD". Gidon_EnvironCalcPaper3_151104AS_poultryconcise (2).xlsx</t>
        </r>
      </text>
    </comment>
    <comment ref="C319" authorId="0" shapeId="0">
      <text>
        <r>
          <rPr>
            <sz val="10"/>
            <color rgb="FF000000"/>
            <rFont val="Arial"/>
          </rPr>
          <t>"Apples raw with skin" in m2-year/100g
Eshel, Gidon.  "MAD". Gidon_EnvironCalcPaper3_151104AS_poultryconcise (2).xlsx</t>
        </r>
      </text>
    </comment>
    <comment ref="D319" authorId="0" shapeId="0">
      <text>
        <r>
          <rPr>
            <sz val="10"/>
            <color rgb="FF000000"/>
            <rFont val="Arial"/>
          </rPr>
          <t>Mekonnen, M. M., &amp; Hoekstra, A. Y. (2011). "Apples, fresh." The green, blue and grey water footprint of crops and derived crop products.
Edible yield of apples is 76%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319" authorId="0" shapeId="0">
      <text>
        <r>
          <rPr>
            <sz val="10"/>
            <color rgb="FF000000"/>
            <rFont val="Arial"/>
          </rPr>
          <t>CleanMetrics. (2020). Food Carbon Emissions Calculator. http://www.foodemissions.com/Calculator.
Edible yield of apples is 76%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26" authorId="0" shapeId="0">
      <text>
        <r>
          <rPr>
            <sz val="10"/>
            <color rgb="FF000000"/>
            <rFont val="Arial"/>
          </rPr>
          <t>USDA. "Apples, raw." (2020) FoodData Central. U.S. Department of Agriculture. Available at &lt;https://fdc.nal.usda.gov/fdc-app.html#/food-details/1102644/nutrients&gt;.</t>
        </r>
      </text>
    </comment>
    <comment ref="C326" authorId="0" shapeId="0">
      <text>
        <r>
          <rPr>
            <sz val="10"/>
            <color rgb="FF000000"/>
            <rFont val="Arial"/>
          </rPr>
          <t>USDA. "Apples, raw." (2020) FoodData Central. U.S. Department of Agriculture. Available at &lt;https://fdc.nal.usda.gov/fdc-app.html#/food-details/1102644/nutrients&gt;.</t>
        </r>
      </text>
    </comment>
    <comment ref="B327" authorId="0" shapeId="0">
      <text>
        <r>
          <rPr>
            <sz val="10"/>
            <color rgb="FF000000"/>
            <rFont val="Arial"/>
          </rPr>
          <t>USDA. "Apples, dried." (2020) FoodData Central. U.S. Department of Agriculture. Available at &lt;https://fdc.nal.usda.gov/fdc-app.html#/food-details/1102624/nutrients&gt;.</t>
        </r>
      </text>
    </comment>
    <comment ref="C327" authorId="0" shapeId="0">
      <text>
        <r>
          <rPr>
            <sz val="10"/>
            <color rgb="FF000000"/>
            <rFont val="Arial"/>
          </rPr>
          <t>USDA. "Apples, dried." (2020) FoodData Central. U.S. Department of Agriculture. Available at &lt;https://fdc.nal.usda.gov/fdc-app.html#/food-details/1102624/nutrients&gt;.</t>
        </r>
      </text>
    </comment>
    <comment ref="G327" authorId="0" shapeId="0">
      <text>
        <r>
          <rPr>
            <sz val="10"/>
            <color rgb="FF000000"/>
            <rFont val="Arial"/>
          </rPr>
          <t>already converted to 1g</t>
        </r>
      </text>
    </comment>
    <comment ref="B335" authorId="0" shapeId="0">
      <text>
        <r>
          <rPr>
            <sz val="10"/>
            <color rgb="FF000000"/>
            <rFont val="Arial"/>
          </rPr>
          <t>"APRICOTS RAW"
Eshel, Gidon.  "MAD". Gidon_EnvironCalcPaper3_151104AS_poultryconcise (2).xlsx</t>
        </r>
      </text>
    </comment>
    <comment ref="C335" authorId="0" shapeId="0">
      <text>
        <r>
          <rPr>
            <sz val="10"/>
            <color rgb="FF000000"/>
            <rFont val="Arial"/>
          </rPr>
          <t>"APRICOTS RAW"
Eshel, Gidon.  "MAD". Gidon_EnvironCalcPaper3_151104AS_poultryconcise (2).xlsx</t>
        </r>
      </text>
    </comment>
    <comment ref="D335" authorId="0" shapeId="0">
      <text>
        <r>
          <rPr>
            <sz val="10"/>
            <color rgb="FF000000"/>
            <rFont val="Arial"/>
          </rPr>
          <t>Mekonnen, M. M., &amp; Hoekstra, A. Y. (2011). "Apricots." The green, blue and grey water footprint of crops and derived crop products.
Edible yield of apricot is 94%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335" authorId="0" shapeId="0">
      <text>
        <r>
          <rPr>
            <sz val="10"/>
            <color rgb="FF000000"/>
            <rFont val="Arial"/>
          </rPr>
          <t>1lb = 453.592g
"Apricots, CA, USA"
CleanMetrics. (2020). "Apricots." Food Carbon Emissions Calculator. http://www.foodemissions.com/Calculator.
Edible yield of apricot is 94%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43" authorId="0" shapeId="0">
      <text>
        <r>
          <rPr>
            <sz val="10"/>
            <color rgb="FF000000"/>
            <rFont val="Arial"/>
          </rPr>
          <t>NDB# 9021 Apricots, raw
USDA. "Apricots, raw." (2019) FoodData Central. U.S. Department of Agriculture. Available at https://fdc.nal.usda.gov/fdc-app.html#/food-details/171697/nutrients</t>
        </r>
      </text>
    </comment>
    <comment ref="C343" authorId="0" shapeId="0">
      <text>
        <r>
          <rPr>
            <sz val="10"/>
            <color rgb="FF000000"/>
            <rFont val="Arial"/>
          </rPr>
          <t>"APRICOTS RAW"
Eshel, Gidon.  "MAD". Gidon_EnvironCalcPaper3_151104AS_poultryconcise (2).xlsx</t>
        </r>
      </text>
    </comment>
    <comment ref="D343" authorId="0" shapeId="0">
      <text>
        <r>
          <rPr>
            <sz val="10"/>
            <color rgb="FF000000"/>
            <rFont val="Arial"/>
          </rPr>
          <t>"APRICOTS RAW"
Eshel, Gidon.  "MAD". Gidon_EnvironCalcPaper3_151104AS_poultryconcise (2).xlsx</t>
        </r>
      </text>
    </comment>
    <comment ref="E343" authorId="0" shapeId="0">
      <text>
        <r>
          <rPr>
            <sz val="10"/>
            <color rgb="FF000000"/>
            <rFont val="Arial"/>
          </rPr>
          <t>Mekonnen, M. M., &amp; Hoekstra, A. Y. (2011). "Apricots." The green, blue and grey water footprint of crops and derived crop products.
Edible yield of apricot is 94%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F343" authorId="0" shapeId="0">
      <text>
        <r>
          <rPr>
            <sz val="10"/>
            <color rgb="FF000000"/>
            <rFont val="Arial"/>
          </rPr>
          <t>1lb = 453.592g
"Apricots, CA, USA"
CleanMetrics. (2020). "Apricots." Food Carbon Emissions Calculator. http://www.foodemissions.com/Calculator.
Edible yield of apricot is 94%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44" authorId="0" shapeId="0">
      <text>
        <r>
          <rPr>
            <sz val="10"/>
            <color rgb="FF000000"/>
            <rFont val="Arial"/>
          </rPr>
          <t>NDB# 9032 Apricots, dried, sulfured, uncooked
USDA. "Apricots, dried, sulfured, uncooked." (2019) FoodData Central. U.S. Department of Agriculture. Available at https://fdc.nal.usda.gov/fdc-app.html#/food-details/173941/nutrients</t>
        </r>
      </text>
    </comment>
    <comment ref="B351" authorId="0" shapeId="0">
      <text>
        <r>
          <rPr>
            <sz val="10"/>
            <color rgb="FF000000"/>
            <rFont val="Arial"/>
          </rPr>
          <t>Astier, M., Merlín-Uribe, Y., Villamil-Echeverri, L., Garciarreal, A., Gavito, M. E., &amp; Masera, O. R. (2014). Energy balance and greenhouse gas emissions in organic and conventional avocado orchards in Mexico. Ecological indicators, 43, 281-287.</t>
        </r>
      </text>
    </comment>
    <comment ref="C351" authorId="0" shapeId="0">
      <text>
        <r>
          <rPr>
            <sz val="10"/>
            <color rgb="FF000000"/>
            <rFont val="Arial"/>
          </rPr>
          <t>unit: kg/ha
Astier, M., Merlín-Uribe, Y., Villamil-Echeverri, L., Garciarreal, A., Gavito, M. E., &amp; Masera, O. R. (2014). Energy balance and greenhouse gas emissions in organic and conventional avocado orchards in Mexico. Ecological indicators, 43, 281-287.</t>
        </r>
      </text>
    </comment>
    <comment ref="D351" authorId="0" shapeId="0">
      <text>
        <r>
          <rPr>
            <sz val="10"/>
            <color rgb="FF000000"/>
            <rFont val="Arial"/>
          </rPr>
          <t>1kg = 1000000mg
Astier, M., Merlín-Uribe, Y., Villamil-Echeverri, L., Garciarreal, A., Gavito, M. E., &amp; Masera, O. R. (2014). Energy balance and greenhouse gas emissions in organic and conventional avocado orchards in Mexico. Ecological indicators, 43, 281-287.</t>
        </r>
      </text>
    </comment>
    <comment ref="B352" authorId="0" shapeId="0">
      <text>
        <r>
          <rPr>
            <sz val="10"/>
            <color rgb="FF000000"/>
            <rFont val="Arial"/>
          </rPr>
          <t>Astier, M., Merlín-Uribe, Y., Villamil-Echeverri, L., Garciarreal, A., Gavito, M. E., &amp; Masera, O. R. (2014). Energy balance and greenhouse gas emissions in organic and conventional avocado orchards in Mexico. Ecological indicators, 43, 281-287.</t>
        </r>
      </text>
    </comment>
    <comment ref="C352" authorId="0" shapeId="0">
      <text>
        <r>
          <rPr>
            <sz val="10"/>
            <color rgb="FF000000"/>
            <rFont val="Arial"/>
          </rPr>
          <t>unit: kg/ha
Astier, M., Merlín-Uribe, Y., Villamil-Echeverri, L., Garciarreal, A., Gavito, M. E., &amp; Masera, O. R. (2014). Energy balance and greenhouse gas emissions in organic and conventional avocado orchards in Mexico. Ecological indicators, 43, 281-287.</t>
        </r>
      </text>
    </comment>
    <comment ref="D352" authorId="0" shapeId="0">
      <text>
        <r>
          <rPr>
            <sz val="10"/>
            <color rgb="FF000000"/>
            <rFont val="Arial"/>
          </rPr>
          <t>1kg = 1000000mg
Astier, M., Merlín-Uribe, Y., Villamil-Echeverri, L., Garciarreal, A., Gavito, M. E., &amp; Masera, O. R. (2014). Energy balance and greenhouse gas emissions in organic and conventional avocado orchards in Mexico. Ecological indicators, 43, 281-287.</t>
        </r>
      </text>
    </comment>
    <comment ref="E352" authorId="0" shapeId="0">
      <text>
        <r>
          <rPr>
            <sz val="10"/>
            <color rgb="FF000000"/>
            <rFont val="Arial"/>
          </rPr>
          <t>Frankowska, A., Jeswani, H. K., &amp; Azapagic, A. (2019). Life cycle environmental impacts of fruits consumption in the UK. Journal of environmental management, 248, 109111.</t>
        </r>
      </text>
    </comment>
    <comment ref="B354" authorId="0" shapeId="0">
      <text>
        <r>
          <rPr>
            <sz val="10"/>
            <color rgb="FF000000"/>
            <rFont val="Arial"/>
          </rPr>
          <t>"AVOCADOS RAW ALL COMM VAR"
Eshel, Gidon.  "MAD". Gidon_EnvironCalcPaper3_151104AS_poultryconcise (2).xlsx</t>
        </r>
      </text>
    </comment>
    <comment ref="C354" authorId="0" shapeId="0">
      <text>
        <r>
          <rPr>
            <sz val="10"/>
            <color rgb="FF000000"/>
            <rFont val="Arial"/>
          </rPr>
          <t>"AVOCADOS RAW ALL COMM VAR"
Eshel, Gidon.  "MAD". Gidon_EnvironCalcPaper3_151104AS_poultryconcise (2).xlsx</t>
        </r>
      </text>
    </comment>
    <comment ref="D354" authorId="0" shapeId="0">
      <text>
        <r>
          <rPr>
            <sz val="10"/>
            <color rgb="FF000000"/>
            <rFont val="Arial"/>
          </rPr>
          <t>Mekonnen, M. M., &amp; Hoekstra, A. Y. (2011). "Avocados" The green, blue and grey water footprint of crops and derived crop products.
Edible yield of avocado is 75%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354" authorId="0" shapeId="0">
      <text>
        <r>
          <rPr>
            <sz val="10"/>
            <color rgb="FF000000"/>
            <rFont val="Arial"/>
          </rPr>
          <t>Astier, M., Merlín-Uribe, Y., Villamil-Echeverri, L., Garciarreal, A., Gavito, M. E., &amp; Masera, O. R. (2014). Energy balance and greenhouse gas emissions in organic and conventional avocado orchards in Mexico. Ecological indicators, 43, 281-287.
Edible yield of avocado is 75%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63" authorId="0" shapeId="0">
      <text>
        <r>
          <rPr>
            <sz val="10"/>
            <color rgb="FF000000"/>
            <rFont val="Arial"/>
          </rPr>
          <t>"BANANAS RAW"
Eshel, Gidon.  "MAD". Gidon_EnvironCalcPaper3_151104AS_poultryconcise (2).xlsx</t>
        </r>
      </text>
    </comment>
    <comment ref="C363" authorId="0" shapeId="0">
      <text>
        <r>
          <rPr>
            <sz val="10"/>
            <color rgb="FF000000"/>
            <rFont val="Arial"/>
          </rPr>
          <t>"BANANAS RAW"
Eshel, Gidon.  "MAD". Gidon_EnvironCalcPaper3_151104AS_poultryconcise (2).xlsx</t>
        </r>
      </text>
    </comment>
    <comment ref="D363" authorId="0" shapeId="0">
      <text>
        <r>
          <rPr>
            <sz val="10"/>
            <color rgb="FF000000"/>
            <rFont val="Arial"/>
          </rPr>
          <t>Mekonnen, M. M., &amp; Hoekstra, A. Y. (2011). "Bananas." The green, blue and grey water footprint of crops and derived crop products.
Edible yield of banana is 68%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363" authorId="0" shapeId="0">
      <text>
        <r>
          <rPr>
            <sz val="10"/>
            <color rgb="FF000000"/>
            <rFont val="Arial"/>
          </rPr>
          <t>1lb = 453.592g
"Bananas, HI, USA"
CleanMetrics. (2020)."Bananas." Food Carbon Emissions Calculator. http://www.foodemissions.com/Calculator.
Edible yield of banana is 68%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71" authorId="0" shapeId="0">
      <text>
        <r>
          <rPr>
            <sz val="10"/>
            <color rgb="FF000000"/>
            <rFont val="Arial"/>
          </rPr>
          <t>"BLUEBERRIES RAW"
Eshel, Gidon.  "MAD". Gidon_EnvironCalcPaper3_151104AS_poultryconcise (2).xlsx</t>
        </r>
      </text>
    </comment>
    <comment ref="C371" authorId="0" shapeId="0">
      <text>
        <r>
          <rPr>
            <sz val="10"/>
            <color rgb="FF000000"/>
            <rFont val="Arial"/>
          </rPr>
          <t>"BLUEBERRIES RAW"
Eshel, Gidon.  "MAD". Gidon_EnvironCalcPaper3_151104AS_poultryconcise (2).xlsx</t>
        </r>
      </text>
    </comment>
    <comment ref="D371" authorId="0" shapeId="0">
      <text>
        <r>
          <rPr>
            <sz val="10"/>
            <color rgb="FF000000"/>
            <rFont val="Arial"/>
          </rPr>
          <t>Mekonnen, M. M., &amp; Hoekstra, A. Y. (2011). "Blueberries." The green, blue and grey water footprint of crops and derived crop products.
Edible yield of blueberry is 92% of total fruit at farm gate.
The Culinary Institute of America. "Educator Lesson Plan “ʻKitchen Calculations.ʻ"  Available at https://www.ciachef.edu/uploadedFiles/Pages/Admissions_and_Financial_Aid/Educators/Educational_Materials/Technique_of_the_Quarter/techniques-calculations.pdf.
** uncertain why edible yield is 92% if one often eats the entire blueberry.  Edible yield calculation used to keep database consistent</t>
        </r>
      </text>
    </comment>
    <comment ref="E371" authorId="0" shapeId="0">
      <text>
        <r>
          <rPr>
            <sz val="10"/>
            <color rgb="FF000000"/>
            <rFont val="Arial"/>
          </rPr>
          <t>1lb = 453.592g
"Blueberries, Highbush; Central/South Coast, CA, USA"
CleanMetrics. (2020)."Blueberries, Highbush." Food Carbon Emissions Calculator. http://www.foodemissions.com/Calculator.
Edible yield of blueberry is 92%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B379" authorId="0" shapeId="0">
      <text>
        <r>
          <rPr>
            <sz val="10"/>
            <color rgb="FF000000"/>
            <rFont val="Arial"/>
          </rPr>
          <t>Leskovar, D. I., Ward, J. C., Sprague, R. W., &amp; Meiri, A. (2001). Yield, quality, and water use efficiency of muskmelon are affected by irrigation and transplanting versus direct seeding. HortScience, 36(2), 286-291. Available at https://journals.ashs.org/hortsci/downloadpdf/journals/hortsci/36/2/article-p286.xml
0.404686ha/ac
(1/10000)ton/100g</t>
        </r>
      </text>
    </comment>
    <comment ref="C379" authorId="0" shapeId="0">
      <text>
        <r>
          <rPr>
            <sz val="10"/>
            <color rgb="FF000000"/>
            <rFont val="Arial"/>
          </rPr>
          <t>Table 1, Furrow rows
Leskovar, D. I., Ward, J. C., Sprague, R. W., &amp; Meiri, A. (2001). Yield, quality, and water use efficiency of muskmelon are affected by irrigation and transplanting versus direct seeding. HortScience, 36(2), 286-291. Available at https://journals.ashs.org/hortsci/downloadpdf/journals/hortsci/36/2/article-p286.xml
Gidon: "1 mm is the same as 
1e-3 m/mm * 4047 m2/acre = 0.4 m3/ac."</t>
        </r>
      </text>
    </comment>
    <comment ref="B380" authorId="0" shapeId="0">
      <text>
        <r>
          <rPr>
            <sz val="10"/>
            <color rgb="FF000000"/>
            <rFont val="Arial"/>
          </rPr>
          <t>Leskovar, D. I., Ward, J. C., Sprague, R. W., &amp; Meiri, A. (2001). Yield, quality, and water use efficiency of muskmelon are affected by irrigation and transplanting versus direct seeding. HortScience, 36(2), 286-291. Available at https://journals.ashs.org/hortsci/downloadpdf/journals/hortsci/36/2/article-p286.xml
0.404686ha/ac
(1/10000)ton/100g</t>
        </r>
      </text>
    </comment>
    <comment ref="C380" authorId="0" shapeId="0">
      <text>
        <r>
          <rPr>
            <sz val="10"/>
            <color rgb="FF000000"/>
            <rFont val="Arial"/>
          </rPr>
          <t>Table 1, Furrow rows
Leskovar, D. I., Ward, J. C., Sprague, R. W., &amp; Meiri, A. (2001). Yield, quality, and water use efficiency of muskmelon are affected by irrigation and transplanting versus direct seeding. HortScience, 36(2), 286-291. Available at https://journals.ashs.org/hortsci/downloadpdf/journals/hortsci/36/2/article-p286.xml
Gidon: "1 mm is the same as 
1e-3 m/mm * 4047 m2/acre = 0.4 m3/ac."</t>
        </r>
      </text>
    </comment>
    <comment ref="B381" authorId="0" shapeId="0">
      <text>
        <r>
          <rPr>
            <sz val="10"/>
            <color rgb="FF000000"/>
            <rFont val="Arial"/>
          </rPr>
          <t>Leskovar, D. I., Ward, J. C., Sprague, R. W., &amp; Meiri, A. (2001). Yield, quality, and water use efficiency of muskmelon are affected by irrigation and transplanting versus direct seeding. HortScience, 36(2), 286-291. Available at https://journals.ashs.org/hortsci/downloadpdf/journals/hortsci/36/2/article-p286.xml
0.404686ha/ac
(1/10000)ton/100g</t>
        </r>
      </text>
    </comment>
    <comment ref="C381" authorId="0" shapeId="0">
      <text>
        <r>
          <rPr>
            <sz val="10"/>
            <color rgb="FF000000"/>
            <rFont val="Arial"/>
          </rPr>
          <t>Table 1, Furrow rows
Leskovar, D. I., Ward, J. C., Sprague, R. W., &amp; Meiri, A. (2001). Yield, quality, and water use efficiency of muskmelon are affected by irrigation and transplanting versus direct seeding. HortScience, 36(2), 286-291. Available at https://journals.ashs.org/hortsci/downloadpdf/journals/hortsci/36/2/article-p286.xml
Gidon: "1 mm is the same as 
1e-3 m/mm * 4047 m2/acre = 0.4 m3/ac."</t>
        </r>
      </text>
    </comment>
    <comment ref="B382" authorId="0" shapeId="0">
      <text>
        <r>
          <rPr>
            <sz val="10"/>
            <color rgb="FF000000"/>
            <rFont val="Arial"/>
          </rPr>
          <t>Leskovar, D. I., Ward, J. C., Sprague, R. W., &amp; Meiri, A. (2001). Yield, quality, and water use efficiency of muskmelon are affected by irrigation and transplanting versus direct seeding. HortScience, 36(2), 286-291. Available at https://journals.ashs.org/hortsci/downloadpdf/journals/hortsci/36/2/article-p286.xml
0.404686ha/ac
(1/10000)ton/100g</t>
        </r>
      </text>
    </comment>
    <comment ref="C382" authorId="0" shapeId="0">
      <text>
        <r>
          <rPr>
            <sz val="10"/>
            <color rgb="FF000000"/>
            <rFont val="Arial"/>
          </rPr>
          <t>Table 1, Furrow rows
Leskovar, D. I., Ward, J. C., Sprague, R. W., &amp; Meiri, A. (2001). Yield, quality, and water use efficiency of muskmelon are affected by irrigation and transplanting versus direct seeding. HortScience, 36(2), 286-291. Available at https://journals.ashs.org/hortsci/downloadpdf/journals/hortsci/36/2/article-p286.xml
Gidon: "1 mm is the same as 
1e-3 m/mm * 4047 m2/acre = 0.4 m3/ac."</t>
        </r>
      </text>
    </comment>
    <comment ref="B385" authorId="0" shapeId="0">
      <text>
        <r>
          <rPr>
            <sz val="10"/>
            <color rgb="FF000000"/>
            <rFont val="Arial"/>
          </rPr>
          <t>"MELONS CANTALOUPE RAW"
Eshel, Gidon.  "MAD". Gidon_EnvironCalcPaper3_151104AS_poultryconcise (2).xlsx</t>
        </r>
      </text>
    </comment>
    <comment ref="C385" authorId="0" shapeId="0">
      <text>
        <r>
          <rPr>
            <sz val="10"/>
            <color rgb="FF000000"/>
            <rFont val="Arial"/>
          </rPr>
          <t>"MELONS CANTALOUPE RAW"
Eshel, Gidon.  "MAD". Gidon_EnvironCalcPaper3_151104AS_poultryconcise (2).xlsx</t>
        </r>
      </text>
    </comment>
    <comment ref="D385" authorId="0" shapeId="0">
      <text>
        <r>
          <rPr>
            <sz val="10"/>
            <color rgb="FF000000"/>
            <rFont val="Arial"/>
          </rPr>
          <t>Mekonnen, M. M., &amp; Hoekstra, A. Y. (2011). "Avocados" The green, blue and grey water footprint of crops and derived crop products.
Edible yield of canteloupe is 50%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385" authorId="0" shapeId="0">
      <text>
        <r>
          <rPr>
            <sz val="10"/>
            <color rgb="FF000000"/>
            <rFont val="Arial"/>
          </rPr>
          <t>1lb = 453.592g
"Canteloupe, CA, USA"
CleanMetrics. (2020)."Canteloupe." Food Carbon Emissions Calculator. http://www.foodemissions.com/Calculator.
Edible yield of canteloupe is 50%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393" authorId="0" shapeId="0">
      <text>
        <r>
          <rPr>
            <sz val="10"/>
            <color rgb="FF000000"/>
            <rFont val="Arial"/>
          </rPr>
          <t>=13700 acres per 1490000 barrels
"Earnings from the 2007 harvest were valued at ca. 64.6 million dollars for 1.49 million barrels
(one barrel =100 pounds of fruit)
produced from 13,700 acres."
Sandler, H., &amp; DeMoranville, C. (2008). Cranberry production: a guide for Massachusetts-summary edition.</t>
        </r>
      </text>
    </comment>
    <comment ref="C393" authorId="0" shapeId="0">
      <text>
        <r>
          <rPr>
            <sz val="10"/>
            <color rgb="FF000000"/>
            <rFont val="Arial"/>
          </rPr>
          <t>4046.86 m2 = 1 acre
1 barrel = 100 lb
0.2204621 lb = 100g</t>
        </r>
      </text>
    </comment>
    <comment ref="D393" authorId="0" shapeId="0">
      <text>
        <r>
          <rPr>
            <sz val="10"/>
            <color rgb="FF000000"/>
            <rFont val="Arial"/>
          </rPr>
          <t>calculated from: 
"Earnings from the 2007 harvest were valued at ca. 64.6 million dollars for 1.49 million barrels
(one barrel =100 pounds of fruit)
produced from 13,700 acres."
Sandler, H., &amp; DeMoranville, C. (2008). Cranberry production: a guide for Massachusetts-summary edition.</t>
        </r>
      </text>
    </comment>
    <comment ref="E393" authorId="0" shapeId="0">
      <text>
        <r>
          <rPr>
            <sz val="10"/>
            <color rgb="FF000000"/>
            <rFont val="Arial"/>
          </rPr>
          <t>Take the median of "During the season, 20-60 lbs N per acre are applied depending on cultivar and weather conditions" 
= 40lbN/acre 
Sandler, H., &amp; DeMoranville, C. (2008). Cranberry production: a guide for Massachusetts-summary edition.</t>
        </r>
      </text>
    </comment>
    <comment ref="F393" authorId="0" shapeId="0">
      <text>
        <r>
          <rPr>
            <sz val="10"/>
            <color rgb="FF000000"/>
            <rFont val="Arial"/>
          </rPr>
          <t>1 g N = 0.002204621 lb N
13700 acre = 1490000 barrels
1 barrel = 100lb
0.2204621 lb = 100g</t>
        </r>
      </text>
    </comment>
    <comment ref="G393" authorId="0" shapeId="0">
      <text>
        <r>
          <rPr>
            <sz val="10"/>
            <color rgb="FF000000"/>
            <rFont val="Arial"/>
          </rPr>
          <t>20-60lbN/acre are applied -  or perhaps the median, 40lbN/acre - and 13700acres yield 67585343505.91g cranberries, then 40lbN/acre* 1g/0.00220462lb * 13700acre/67585343505.91g = 0.003678gN/gCranberry
Sandler, H., &amp; DeMoranville, C. (2008). Cranberry production: a guide for Massachusetts-summary edition.</t>
        </r>
      </text>
    </comment>
    <comment ref="H393" authorId="0" shapeId="0">
      <text>
        <r>
          <rPr>
            <sz val="10"/>
            <color rgb="FF000000"/>
            <rFont val="Arial"/>
          </rPr>
          <t>Mekonnen, M. M., &amp; Hoekstra, A. Y. (2011). The green, blue and grey water footprint of crops and derived crop products.</t>
        </r>
      </text>
    </comment>
    <comment ref="I393" authorId="0" shapeId="0">
      <text>
        <r>
          <rPr>
            <sz val="10"/>
            <color rgb="FF000000"/>
            <rFont val="Arial"/>
          </rPr>
          <t>1 metric ton = 10000 (100g)</t>
        </r>
      </text>
    </comment>
    <comment ref="J393" authorId="0" shapeId="0">
      <text>
        <r>
          <rPr>
            <sz val="10"/>
            <color rgb="FF000000"/>
            <rFont val="Arial"/>
          </rPr>
          <t>Blue Water needs, "cranberries"
Mekonnen, M. M., &amp; Hoekstra, A. Y. (2011). The green, blue and grey water footprint of crops and derived crop products.</t>
        </r>
      </text>
    </comment>
    <comment ref="K393" authorId="0" shapeId="0">
      <text>
        <r>
          <rPr>
            <sz val="10"/>
            <color rgb="FF000000"/>
            <rFont val="Arial"/>
          </rPr>
          <t>kg CO2/kg "Cranberry"
Heller, M. C., Willits-Smith, A., Meyer, R., Keoleian, G. A., &amp; Rose, D. (2018). Greenhouse gas emissions and energy use associated with production of individual self-selected US diets. Environmental Research Letters, 13(4), 044004.</t>
        </r>
      </text>
    </comment>
    <comment ref="M393" authorId="0" shapeId="0">
      <text>
        <r>
          <rPr>
            <sz val="10"/>
            <color rgb="FF000000"/>
            <rFont val="Arial"/>
          </rPr>
          <t>"Cranberry"
Heller, M. C., Willits-Smith, A., Meyer, R., Keoleian, G. A., &amp; Rose, D. (2018). Greenhouse gas emissions and energy use associated with production of individual self-selected US diets. Environmental Research Letters, 13(4), 044004.</t>
        </r>
      </text>
    </comment>
    <comment ref="B402" authorId="0" shapeId="0">
      <text>
        <r>
          <rPr>
            <sz val="10"/>
            <color rgb="FF000000"/>
            <rFont val="Arial"/>
          </rPr>
          <t>https://fdc.nal.usda.gov/fdc-app.html#/food-details/1102706/nutrients</t>
        </r>
      </text>
    </comment>
    <comment ref="B403" authorId="0" shapeId="0">
      <text>
        <r>
          <rPr>
            <sz val="10"/>
            <color rgb="FF000000"/>
            <rFont val="Arial"/>
          </rPr>
          <t>https://fdc.nal.usda.gov/fdc-app.html#/food-details/1102630/nutrients</t>
        </r>
      </text>
    </comment>
    <comment ref="A407" authorId="0" shapeId="0">
      <text>
        <r>
          <rPr>
            <sz val="10"/>
            <color rgb="FF000000"/>
            <rFont val="Arial"/>
          </rPr>
          <t>http://www.foodemissions.com/foodemissions/Calculator</t>
        </r>
      </text>
    </comment>
    <comment ref="B407" authorId="0" shapeId="0">
      <text>
        <r>
          <rPr>
            <sz val="10"/>
            <color rgb="FF000000"/>
            <rFont val="Arial"/>
          </rPr>
          <t>http://www.foodemissions.com/foodemissions/Calculator</t>
        </r>
      </text>
    </comment>
    <comment ref="C408" authorId="0" shapeId="0">
      <text>
        <r>
          <rPr>
            <sz val="10"/>
            <color rgb="FF000000"/>
            <rFont val="Arial"/>
          </rPr>
          <t>http://www.foodemissions.com/foodemissions/Calculator</t>
        </r>
      </text>
    </comment>
    <comment ref="D408" authorId="0" shapeId="0">
      <text>
        <r>
          <rPr>
            <sz val="10"/>
            <color rgb="FF000000"/>
            <rFont val="Arial"/>
          </rPr>
          <t>0.00220462lb = 1g</t>
        </r>
      </text>
    </comment>
    <comment ref="J408" authorId="0" shapeId="0">
      <text>
        <r>
          <rPr>
            <sz val="10"/>
            <color rgb="FF000000"/>
            <rFont val="Arial"/>
          </rPr>
          <t>Eshel, Gidon.  "MAD". Gidon_EnvironCalcPaper3_151104AS_poultryconcise (2).xlsx</t>
        </r>
      </text>
    </comment>
    <comment ref="K408" authorId="0" shapeId="0">
      <text>
        <r>
          <rPr>
            <sz val="10"/>
            <color rgb="FF000000"/>
            <rFont val="Arial"/>
          </rPr>
          <t>Eshel, Gidon.  "MAD". Gidon_EnvironCalcPaper3_151104AS_poultryconcise (2).xlsx</t>
        </r>
      </text>
    </comment>
    <comment ref="L408" authorId="0" shapeId="0">
      <text>
        <r>
          <rPr>
            <sz val="10"/>
            <color rgb="FF000000"/>
            <rFont val="Arial"/>
          </rPr>
          <t>Eshel, Gidon.  "MAD". Gidon_EnvironCalcPaper3_151104AS_poultryconcise (2).xlsx</t>
        </r>
      </text>
    </comment>
    <comment ref="M408"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N408" authorId="0" shapeId="0">
      <text>
        <r>
          <rPr>
            <sz val="10"/>
            <color rgb="FF000000"/>
            <rFont val="Arial"/>
          </rPr>
          <t>CleanMetrics. (2020). "Grapes."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D409" authorId="0" shapeId="0">
      <text>
        <r>
          <rPr>
            <sz val="10"/>
            <color rgb="FF000000"/>
            <rFont val="Arial"/>
          </rPr>
          <t>0.00220462lb = 1g</t>
        </r>
      </text>
    </comment>
    <comment ref="J413" authorId="0" shapeId="0">
      <text>
        <r>
          <rPr>
            <sz val="10"/>
            <color rgb="FF000000"/>
            <rFont val="Arial"/>
          </rPr>
          <t>Eshel, Gidon.  "MAD". Gidon_EnvironCalcPaper3_151104AS_poultryconcise (2).xlsx</t>
        </r>
      </text>
    </comment>
    <comment ref="K413" authorId="0" shapeId="0">
      <text>
        <r>
          <rPr>
            <sz val="10"/>
            <color rgb="FF000000"/>
            <rFont val="Arial"/>
          </rPr>
          <t>Eshel, Gidon.  "MAD". Gidon_EnvironCalcPaper3_151104AS_poultryconcise (2).xlsx</t>
        </r>
      </text>
    </comment>
    <comment ref="L413" authorId="0" shapeId="0">
      <text>
        <r>
          <rPr>
            <sz val="10"/>
            <color rgb="FF000000"/>
            <rFont val="Arial"/>
          </rPr>
          <t>Eshel, Gidon.  "MAD". Gidon_EnvironCalcPaper3_151104AS_poultryconcise (2).xlsx</t>
        </r>
      </text>
    </comment>
    <comment ref="M413"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N413" authorId="0" shapeId="0">
      <text>
        <r>
          <rPr>
            <sz val="10"/>
            <color rgb="FF000000"/>
            <rFont val="Arial"/>
          </rPr>
          <t>CleanMetrics. (2020). "Grapes."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J417" authorId="0" shapeId="0">
      <text>
        <r>
          <rPr>
            <sz val="10"/>
            <color rgb="FF000000"/>
            <rFont val="Arial"/>
          </rPr>
          <t>Eshel, Gidon.  "MAD". Gidon_EnvironCalcPaper3_151104AS_poultryconcise (2).xlsx</t>
        </r>
      </text>
    </comment>
    <comment ref="K417" authorId="0" shapeId="0">
      <text>
        <r>
          <rPr>
            <sz val="10"/>
            <color rgb="FF000000"/>
            <rFont val="Arial"/>
          </rPr>
          <t>Eshel, Gidon.  "MAD". Gidon_EnvironCalcPaper3_151104AS_poultryconcise (2).xlsx</t>
        </r>
      </text>
    </comment>
    <comment ref="L417" authorId="0" shapeId="0">
      <text>
        <r>
          <rPr>
            <sz val="10"/>
            <color rgb="FF000000"/>
            <rFont val="Arial"/>
          </rPr>
          <t>Eshel, Gidon.  "MAD". Gidon_EnvironCalcPaper3_151104AS_poultryconcise (2).xlsx</t>
        </r>
      </text>
    </comment>
    <comment ref="M417"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N417" authorId="0" shapeId="0">
      <text>
        <r>
          <rPr>
            <sz val="10"/>
            <color rgb="FF000000"/>
            <rFont val="Arial"/>
          </rPr>
          <t>CleanMetrics. (2020). "Grapes."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J420" authorId="0" shapeId="0">
      <text>
        <r>
          <rPr>
            <sz val="10"/>
            <color rgb="FF000000"/>
            <rFont val="Arial"/>
          </rPr>
          <t>Eshel, Gidon.  "MAD". Gidon_EnvironCalcPaper3_151104AS_poultryconcise (2).xlsx</t>
        </r>
      </text>
    </comment>
    <comment ref="K420" authorId="0" shapeId="0">
      <text>
        <r>
          <rPr>
            <sz val="10"/>
            <color rgb="FF000000"/>
            <rFont val="Arial"/>
          </rPr>
          <t>Eshel, Gidon.  "MAD". Gidon_EnvironCalcPaper3_151104AS_poultryconcise (2).xlsx</t>
        </r>
      </text>
    </comment>
    <comment ref="L420" authorId="0" shapeId="0">
      <text>
        <r>
          <rPr>
            <sz val="10"/>
            <color rgb="FF000000"/>
            <rFont val="Arial"/>
          </rPr>
          <t>Eshel, Gidon.  "MAD". Gidon_EnvironCalcPaper3_151104AS_poultryconcise (2).xlsx</t>
        </r>
      </text>
    </comment>
    <comment ref="M420"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N420" authorId="0" shapeId="0">
      <text>
        <r>
          <rPr>
            <sz val="10"/>
            <color rgb="FF000000"/>
            <rFont val="Arial"/>
          </rPr>
          <t>CleanMetrics. (2020). "Grapes."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B428" authorId="0" shapeId="0">
      <text>
        <r>
          <rPr>
            <sz val="10"/>
            <color rgb="FF000000"/>
            <rFont val="Arial"/>
          </rPr>
          <t>NDB# 9132 Grapes, red or green (European type, such as Thompson seedless), raw
USDA, (2019). "Grapes, red or green (European type, such as Thompson seedless), raw." FoodData Central. U.S. Department of Agriculture. Available at https://fdc.nal.usda.gov/fdc-app.html#/food-details/174683/nutrients</t>
        </r>
      </text>
    </comment>
    <comment ref="E428" authorId="0" shapeId="0">
      <text>
        <r>
          <rPr>
            <sz val="10"/>
            <color rgb="FF000000"/>
            <rFont val="Arial"/>
          </rPr>
          <t>Mekonnen, M. M., &amp; Hoekstra, A. Y. (2011). "Grapes." The green, blue and grey water footprint of crops and derived crop products.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F428" authorId="0" shapeId="0">
      <text>
        <r>
          <rPr>
            <sz val="10"/>
            <color rgb="FF000000"/>
            <rFont val="Arial"/>
          </rPr>
          <t>CleanMetrics. (2020). "Grapes, for raisins." Food Carbon Emissions Calculator. http://www.foodemissions.com/Calculator.
The edible yield of grapes is 94% of total fruit at farm gate.
The Culinary Institute of America. "Educator Lesson Plan “ʻKitchen Calculations.ʻ"  Available at https://www.ciachef.edu/uploadedFiles/Pages/Admissions_and_Financial_Aid/Educators/Educational_Materials/Technique_of_the_Quarter/techniques-calculations.pdf.</t>
        </r>
      </text>
    </comment>
    <comment ref="B429" authorId="0" shapeId="0">
      <text>
        <r>
          <rPr>
            <sz val="10"/>
            <color rgb="FF000000"/>
            <rFont val="Arial"/>
          </rPr>
          <t>NDB# 9298 Raisins, dark, seedless (Includes foods for USDA's Food Distribution Program)
USDA, (2019). "Raisins, dark, seedless (Includes foods for USDA's Food Distribution Program)." FoodData Central. U.S. Department of Agriculture. Available at https://fdc.nal.usda.gov/fdc-app.html#/food-details/168165/nutrients</t>
        </r>
      </text>
    </comment>
    <comment ref="A438" authorId="0" shapeId="0">
      <text>
        <r>
          <rPr>
            <sz val="10"/>
            <color rgb="FF000000"/>
            <rFont val="Arial"/>
          </rPr>
          <t>NDB# 9111 ,Grapefruit, raw, pink and red and white, all areas</t>
        </r>
      </text>
    </comment>
    <comment ref="B438" authorId="0" shapeId="0">
      <text>
        <r>
          <rPr>
            <sz val="10"/>
            <color rgb="FF000000"/>
            <rFont val="Arial"/>
          </rPr>
          <t>"GRAPEFRUIT RAW PINK&amp;RED&amp;WHITE ALL AREAS"
Eshel, Gidon.  "MAD". Gidon_EnvironCalcPaper3_151104AS_poultryconcise (2).xlsx</t>
        </r>
      </text>
    </comment>
    <comment ref="C438" authorId="0" shapeId="0">
      <text>
        <r>
          <rPr>
            <sz val="10"/>
            <color rgb="FF000000"/>
            <rFont val="Arial"/>
          </rPr>
          <t>"GRAPEFRUIT RAW PINK&amp;RED&amp;WHITE ALL AREAS"</t>
        </r>
      </text>
    </comment>
    <comment ref="D438" authorId="0" shapeId="0">
      <text>
        <r>
          <rPr>
            <sz val="10"/>
            <color rgb="FF000000"/>
            <rFont val="Arial"/>
          </rPr>
          <t>m3/ton
Mekonnen, M. M., &amp; Hoekstra, A. Y. (2011). "Grapefruit." The green, blue and grey water footprint of crops and derived crop products.
The edible yield of grapefruit is 47% when cut into sections.
The Culinary Institute of America. "Educator Lesson Plan “ʻKitchen Calculations.ʻ"  Available at https://www.ciachef.edu/uploadedFiles/Pages/Admissions_and_Financial_Aid/Educators/Educational_Materials/Technique_of_the_Quarter/techniques-calculations.pdf.</t>
        </r>
      </text>
    </comment>
    <comment ref="E438" authorId="0" shapeId="0">
      <text>
        <r>
          <rPr>
            <sz val="10"/>
            <color rgb="FF000000"/>
            <rFont val="Arial"/>
          </rPr>
          <t>Lemon GHGE = 0.0002939499227
Orange GHGE = 0.0004739942503
The edible yield of grapefruit is 47% when cut into sections.
The Culinary Institute of America. "Educator Lesson Plan “ʻKitchen Calculations.ʻ"  Available at https://www.ciachef.edu/uploadedFiles/Pages/Admissions_and_Financial_Aid/Educators/Educational_Materials/Technique_of_the_Quarter/techniques-calculations.pdf.</t>
        </r>
      </text>
    </comment>
    <comment ref="C446" authorId="0" shapeId="0">
      <text>
        <r>
          <rPr>
            <sz val="10"/>
            <color rgb="FF000000"/>
            <rFont val="Arial"/>
          </rPr>
          <t>Oranges, Blood Oranges
CA, USA
http://www.foodemissions.com/Calculator</t>
        </r>
      </text>
    </comment>
    <comment ref="D446" authorId="0" shapeId="0">
      <text>
        <r>
          <rPr>
            <sz val="10"/>
            <color rgb="FF000000"/>
            <rFont val="Arial"/>
          </rPr>
          <t>Oranges, Minneola (Tangelo)
CA, USA
http://www.foodemissions.com/Calculator</t>
        </r>
      </text>
    </comment>
    <comment ref="E446" authorId="0" shapeId="0">
      <text>
        <r>
          <rPr>
            <sz val="10"/>
            <color rgb="FF000000"/>
            <rFont val="Arial"/>
          </rPr>
          <t>Oranges, Navel/Valencia
CA, USA
http://www.foodemissions.com/Calculator</t>
        </r>
      </text>
    </comment>
    <comment ref="F446" authorId="0" shapeId="0">
      <text>
        <r>
          <rPr>
            <sz val="10"/>
            <color rgb="FF000000"/>
            <rFont val="Arial"/>
          </rPr>
          <t>Oranges, Valencia
SW FL, USA
http://www.foodemissions.com/Calculator</t>
        </r>
      </text>
    </comment>
    <comment ref="C447" authorId="0" shapeId="0">
      <text>
        <r>
          <rPr>
            <sz val="10"/>
            <color rgb="FF000000"/>
            <rFont val="Arial"/>
          </rPr>
          <t>1lb = 453.592g</t>
        </r>
      </text>
    </comment>
    <comment ref="D447" authorId="0" shapeId="0">
      <text>
        <r>
          <rPr>
            <sz val="10"/>
            <color rgb="FF000000"/>
            <rFont val="Arial"/>
          </rPr>
          <t>1lb = 453.592g</t>
        </r>
      </text>
    </comment>
    <comment ref="E447" authorId="0" shapeId="0">
      <text>
        <r>
          <rPr>
            <sz val="10"/>
            <color rgb="FF000000"/>
            <rFont val="Arial"/>
          </rPr>
          <t>1lb = 453.592g</t>
        </r>
      </text>
    </comment>
    <comment ref="F447" authorId="0" shapeId="0">
      <text>
        <r>
          <rPr>
            <sz val="10"/>
            <color rgb="FF000000"/>
            <rFont val="Arial"/>
          </rPr>
          <t>1lb = 453.592g</t>
        </r>
      </text>
    </comment>
    <comment ref="G447" authorId="0" shapeId="0">
      <text>
        <r>
          <rPr>
            <sz val="10"/>
            <color rgb="FF000000"/>
            <rFont val="Arial"/>
          </rPr>
          <t>1lb = 453.592g</t>
        </r>
      </text>
    </comment>
    <comment ref="B449" authorId="0" shapeId="0">
      <text>
        <r>
          <rPr>
            <sz val="10"/>
            <color rgb="FF000000"/>
            <rFont val="Arial"/>
          </rPr>
          <t xml:space="preserve">"ORANGES RAW ALL COMM VAR"
Eshel, Gidon.  "MAD". Gidon_EnvironCalcPaper3_151104AS_poultryconcise (2).xlsx
</t>
        </r>
      </text>
    </comment>
    <comment ref="C449" authorId="0" shapeId="0">
      <text>
        <r>
          <rPr>
            <sz val="10"/>
            <color rgb="FF000000"/>
            <rFont val="Arial"/>
          </rPr>
          <t>"ORANGES RAW ALL COMM VAR"
Eshel, Gidon.  "MAD". Gidon_EnvironCalcPaper3_151104AS_poultryconcise (2).xlsx</t>
        </r>
      </text>
    </comment>
    <comment ref="D449" authorId="0" shapeId="0">
      <text>
        <r>
          <rPr>
            <sz val="10"/>
            <color rgb="FF000000"/>
            <rFont val="Arial"/>
          </rPr>
          <t>Mekonnen, M. M., &amp; Hoekstra, A. Y. (2011). "Oranges." The green, blue and grey water footprint of crops and derived crop products.
The edible yield of an orange is 70% when cut into sections.
The Culinary Institute of America. "Educator Lesson Plan “ʻKitchen Calculations.ʻ"  Available at https://www.ciachef.edu/uploadedFiles/Pages/Admissions_and_Financial_Aid/Educators/Educational_Materials/Technique_of_the_Quarter/techniques-calculations.pdf.</t>
        </r>
      </text>
    </comment>
    <comment ref="E449" authorId="0" shapeId="0">
      <text>
        <r>
          <rPr>
            <sz val="10"/>
            <color rgb="FF000000"/>
            <rFont val="Arial"/>
          </rPr>
          <t>The edible yield of an orange is 70% when cut into sections.
The Culinary Institute of America. "Educator Lesson Plan “ʻKitchen Calculations.ʻ"  Available at https://www.ciachef.edu/uploadedFiles/Pages/Admissions_and_Financial_Aid/Educators/Educational_Materials/Technique_of_the_Quarter/techniques-calculations.pdf.</t>
        </r>
      </text>
    </comment>
    <comment ref="A456" authorId="0" shapeId="0">
      <text>
        <r>
          <rPr>
            <sz val="10"/>
            <color rgb="FF000000"/>
            <rFont val="Arial"/>
          </rPr>
          <t>NDB# 9236 ; peaches, yellow raw</t>
        </r>
      </text>
    </comment>
    <comment ref="B457" authorId="0" shapeId="0">
      <text>
        <r>
          <rPr>
            <sz val="10"/>
            <color rgb="FF000000"/>
            <rFont val="Arial"/>
          </rPr>
          <t>"PEACHES RAW"
Eshel, Gidon.  "MAD". Gidon_EnvironCalcPaper3_151104AS_poultryconcise (2).xlsx</t>
        </r>
      </text>
    </comment>
    <comment ref="C457" authorId="0" shapeId="0">
      <text>
        <r>
          <rPr>
            <sz val="10"/>
            <color rgb="FF000000"/>
            <rFont val="Arial"/>
          </rPr>
          <t>"PEACHES RAW"
Eshel, Gidon.  "MAD". Gidon_EnvironCalcPaper3_151104AS_poultryconcise (2).xlsx</t>
        </r>
      </text>
    </comment>
    <comment ref="D457" authorId="0" shapeId="0">
      <text>
        <r>
          <rPr>
            <sz val="10"/>
            <color rgb="FF000000"/>
            <rFont val="Arial"/>
          </rPr>
          <t>Mekonnen, M. M., &amp; Hoekstra, A. Y. (2011). "Peaches." The green, blue and grey water footprint of crops and derived crop products.
The edible yield of a peach is 76%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457" authorId="0" shapeId="0">
      <text>
        <r>
          <rPr>
            <sz val="10"/>
            <color rgb="FF000000"/>
            <rFont val="Arial"/>
          </rPr>
          <t>1lb = 453.592g
"Peaches, CA, USA"
CleanMetrics. (2020)."Strawberries." Food Carbon Emissions Calculator. http://www.foodemissions.com/Calculator.
The edible yield of a peach is 76%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465" authorId="0" shapeId="0">
      <text>
        <r>
          <rPr>
            <sz val="10"/>
            <color rgb="FF000000"/>
            <rFont val="Arial"/>
          </rPr>
          <t>"PEARS RAW"
Eshel, Gidon.  "MAD". Gidon_EnvironCalcPaper3_151104AS_poultryconcise (2).xlsx</t>
        </r>
      </text>
    </comment>
    <comment ref="C465" authorId="0" shapeId="0">
      <text>
        <r>
          <rPr>
            <sz val="10"/>
            <color rgb="FF000000"/>
            <rFont val="Arial"/>
          </rPr>
          <t>"PEARS RAW"
Eshel, Gidon.  "MAD". Gidon_EnvironCalcPaper3_151104AS_poultryconcise (2).xlsx</t>
        </r>
      </text>
    </comment>
    <comment ref="D465" authorId="0" shapeId="0">
      <text>
        <r>
          <rPr>
            <sz val="10"/>
            <color rgb="FF000000"/>
            <rFont val="Arial"/>
          </rPr>
          <t>Mekonnen, M. M., &amp; Hoekstra, A. Y. (2011). "Pears." The green, blue and grey water footprint of crops and derived crop products.
The edible yield of a pear is 78%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465" authorId="0" shapeId="0">
      <text>
        <r>
          <rPr>
            <sz val="10"/>
            <color rgb="FF000000"/>
            <rFont val="Arial"/>
          </rPr>
          <t>1lb = 453.592g
CleanMetrics. (2020)."Pears, Green Bartlett." Food Carbon Emissions Calculator. http://www.foodemissions.com/Calculator.
The edible yield of a pear is 78%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473" authorId="0" shapeId="0">
      <text>
        <r>
          <rPr>
            <sz val="10"/>
            <color rgb="FF000000"/>
            <rFont val="Arial"/>
          </rPr>
          <t>"Pears, Raw"
USDA, (2019). "Pears, Raw." FoodData Central. U.S. Department of Agriculture. Available at https://fdc.nal.usda.gov/fdc-app.html#/food-details/169118/nutrients</t>
        </r>
      </text>
    </comment>
    <comment ref="B474" authorId="0" shapeId="0">
      <text>
        <r>
          <rPr>
            <sz val="10"/>
            <color rgb="FF000000"/>
            <rFont val="Arial"/>
          </rPr>
          <t>USDA, (2019). "Pears, dried, unsulfured, uncooked." FoodData Central. U.S. Department of Agriculture. Available at https://fdc.nal.usda.gov/fdc-app.html#/food-details/169121/nutrients</t>
        </r>
      </text>
    </comment>
    <comment ref="B480" authorId="0" shapeId="0">
      <text>
        <r>
          <rPr>
            <sz val="10"/>
            <color rgb="FF000000"/>
            <rFont val="Arial"/>
          </rPr>
          <t>"Chile provides nearly all of the imported plums to the United States, accounting for 80 percent of the total"
Agricultural Marketing Resources Center, (2018). "Plums." Iowa State University. Available at https://www.agmrc.org/commodities-products/fruits/plums.</t>
        </r>
      </text>
    </comment>
    <comment ref="D480" authorId="0" shapeId="0">
      <text>
        <r>
          <rPr>
            <sz val="10"/>
            <color rgb="FF000000"/>
            <rFont val="Arial"/>
          </rPr>
          <t>Area harvested (assumed ha because that was referenced in the article)
Production (assumed M.T. because that was referenced later in the article)
Hennicke, L., Bickford, R. (2010). "Chile Stone Fruit Annual Apricot, Plums, Peach and Nectarines and Cherry Report." Global Agricultural Information Network, USDA Foreign Agricultural Service. Available at https://apps.fas.usda.gov/newgainapi/api/Report/DownloadReportByFileName?fileName=Stone%20Fruit%20Annual_Santiago_Chile_8-12-2010.</t>
        </r>
      </text>
    </comment>
    <comment ref="E480" authorId="0" shapeId="0">
      <text>
        <r>
          <rPr>
            <sz val="10"/>
            <color rgb="FF000000"/>
            <rFont val="Arial"/>
          </rPr>
          <t>1m2=0.0001ha
100g=0.0001m.t.</t>
        </r>
      </text>
    </comment>
    <comment ref="C481" authorId="0" shapeId="0">
      <text>
        <r>
          <rPr>
            <sz val="10"/>
            <color rgb="FF000000"/>
            <rFont val="Arial"/>
          </rPr>
          <t>"In 2016 the United States produced 135,000 tons of fresh plums from 18,700 acres. "
Agricultural Marketing Resources Center, (2018). "Plums." Iowa State University. Available at https://www.agmrc.org/commodities-products/fruits/plums.</t>
        </r>
      </text>
    </comment>
    <comment ref="E483" authorId="0" shapeId="0">
      <text>
        <r>
          <rPr>
            <sz val="10"/>
            <color rgb="FF000000"/>
            <rFont val="Arial"/>
          </rPr>
          <t>215kg/ha
FAO. (2005). Fertilizer Use by Crop in Egypt. Available at http://www.fao.org/3/a-y5863e.pdf.</t>
        </r>
      </text>
    </comment>
    <comment ref="A484" authorId="0" shapeId="0">
      <text>
        <r>
          <rPr>
            <sz val="10"/>
            <color rgb="FF000000"/>
            <rFont val="Arial"/>
          </rPr>
          <t xml:space="preserve">Haifa Iberia
Recomendaciones nutricionales
para los frutales de hueso
</t>
        </r>
      </text>
    </comment>
    <comment ref="E484" authorId="0" shapeId="0">
      <text>
        <r>
          <rPr>
            <sz val="10"/>
            <color rgb="FF000000"/>
            <rFont val="Arial"/>
          </rPr>
          <t>133kg/ha/year
Haifa Iberia. (2020). "Recomendaciones nutricionales para los frutales de hueso."  Available at https://www.haifa-group.com/recomendaciones-nutricionales-para-los-frutales-de-hueso.</t>
        </r>
      </text>
    </comment>
    <comment ref="B485" authorId="0" shapeId="0">
      <text>
        <r>
          <rPr>
            <sz val="10"/>
            <color rgb="FF000000"/>
            <rFont val="Arial"/>
          </rPr>
          <t>Plum trees should be fertilized every 6 weeks from March 1 through August 31 with 4 oz. of 10-10-10 per application for the first year. In the second year, the amount can be increased to 8 oz. per application. In years three and beyond, the amount per application can be increased to 1 lb. for each application.
Sarkhosh, A., Olmstead, M., Miller, E. P., Andersen, P. C., &amp; Williamson, J. G. (2018). [HS250-minor] Growing Plums in Florida. EDIS, 2018. Available at https://edis.ifas.ufl.edu/hs250.</t>
        </r>
      </text>
    </comment>
    <comment ref="C485" authorId="0" shapeId="0">
      <text>
        <r>
          <rPr>
            <sz val="10"/>
            <color rgb="FF000000"/>
            <rFont val="Arial"/>
          </rPr>
          <t>fertilizer is NPK 10-10-10
Sarkhosh, A., Olmstead, M., Miller, E. P., Andersen, P. C., &amp; Williamson, J. G. (2018). [HS250-minor] Growing Plums in Florida. EDIS, 2018. Available at https://edis.ifas.ufl.edu/hs250.</t>
        </r>
      </text>
    </comment>
    <comment ref="D485" authorId="0" shapeId="0">
      <text>
        <r>
          <rPr>
            <sz val="10"/>
            <color rgb="FF000000"/>
            <rFont val="Arial"/>
          </rPr>
          <t>201 to 145 trees per acre
Sarkhosh, A., Olmstead, M., Miller, E. P., Andersen, P. C., &amp; Williamson, J. G. (2018). [HS250-minor] Growing Plums in Florida. EDIS, 2018. Available at https://edis.ifas.ufl.edu/hs250.</t>
        </r>
      </text>
    </comment>
    <comment ref="E485" authorId="0" shapeId="0">
      <text>
        <r>
          <rPr>
            <sz val="10"/>
            <color rgb="FF000000"/>
            <rFont val="Arial"/>
          </rPr>
          <t xml:space="preserve">4046.86m2 = 1 acre
</t>
        </r>
      </text>
    </comment>
    <comment ref="B488" authorId="0" shapeId="0">
      <text>
        <r>
          <rPr>
            <sz val="10"/>
            <color rgb="FF000000"/>
            <rFont val="Arial"/>
          </rPr>
          <t>"PEARS RAW"
Eshel, Gidon.  "MAD". Gidon_EnvironCalcPaper3_151104AS_poultryconcise (2).xlsx</t>
        </r>
      </text>
    </comment>
    <comment ref="C488" authorId="0" shapeId="0">
      <text>
        <r>
          <rPr>
            <sz val="10"/>
            <color rgb="FF000000"/>
            <rFont val="Arial"/>
          </rPr>
          <t>"PEARS RAW"
Eshel, Gidon.  "MAD". Gidon_EnvironCalcPaper3_151104AS_poultryconcise (2).xlsx</t>
        </r>
      </text>
    </comment>
    <comment ref="D488" authorId="0" shapeId="0">
      <text>
        <r>
          <rPr>
            <sz val="10"/>
            <color rgb="FF000000"/>
            <rFont val="Arial"/>
          </rPr>
          <t>Mekonnen, M. M., &amp; Hoekstra, A. Y. (2011). "Plums and sloes" The green, blue and grey water footprint of crops and derived crop products.
The edible yield of a plum, pitted is 85%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488" authorId="0" shapeId="0">
      <text>
        <r>
          <rPr>
            <sz val="10"/>
            <color rgb="FF000000"/>
            <rFont val="Arial"/>
          </rPr>
          <t>1lb = 453.592g
"Plums, CA, USA"
CleanMetrics. (2020)."Plums." Food Carbon Emissions Calculator. http://www.foodemissions.com/Calculator.
The edible yield of a plum, pitted is 85%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500" authorId="0" shapeId="0">
      <text>
        <r>
          <rPr>
            <sz val="10"/>
            <color rgb="FF000000"/>
            <rFont val="Arial"/>
          </rPr>
          <t>NDB# 9279: "Plums, raw"
USDA. "Plums, raw." (2019). FoodData Central. U.S. Department of Agriculture. Available at https://fdc.nal.usda.gov/fdc-app.html#/food-details/169949/nutrients</t>
        </r>
      </text>
    </comment>
    <comment ref="C500" authorId="0" shapeId="0">
      <text>
        <r>
          <rPr>
            <sz val="10"/>
            <color rgb="FF000000"/>
            <rFont val="Arial"/>
          </rPr>
          <t>Plum values above</t>
        </r>
      </text>
    </comment>
    <comment ref="D500" authorId="0" shapeId="0">
      <text>
        <r>
          <rPr>
            <sz val="10"/>
            <color rgb="FF000000"/>
            <rFont val="Arial"/>
          </rPr>
          <t>Plum values above</t>
        </r>
      </text>
    </comment>
    <comment ref="E500" authorId="0" shapeId="0">
      <text>
        <r>
          <rPr>
            <sz val="10"/>
            <color rgb="FF000000"/>
            <rFont val="Arial"/>
          </rPr>
          <t>Mekonnen, M. M., &amp; Hoekstra, A. Y. (2011). "Plums and sloes" The green, blue and grey water footprint of crops and derived crop products.</t>
        </r>
      </text>
    </comment>
    <comment ref="F500" authorId="0" shapeId="0">
      <text>
        <r>
          <rPr>
            <sz val="10"/>
            <color rgb="FF000000"/>
            <rFont val="Arial"/>
          </rPr>
          <t>1lb = 453.592g
"Plums, CA, USA"
CleanMetrics. (2020)."Plums." Food Carbon Emissions Calculator. http://www.foodemissions.com/Calculator.</t>
        </r>
      </text>
    </comment>
    <comment ref="B501" authorId="0" shapeId="0">
      <text>
        <r>
          <rPr>
            <sz val="10"/>
            <color rgb="FF000000"/>
            <rFont val="Arial"/>
          </rPr>
          <t>NDB# 9291: "Plums, dried (prunes), uncooked"
USDA. "Plums, dried (prunes), uncooked." (2019). FoodData Central. U.S. Department of Agriculture. Available at https://fdc.nal.usda.gov/fdc-app.html#/food-details/168162/nutrients</t>
        </r>
      </text>
    </comment>
    <comment ref="F501" authorId="0" shapeId="0">
      <text>
        <r>
          <rPr>
            <sz val="10"/>
            <color rgb="FF000000"/>
            <rFont val="Arial"/>
          </rPr>
          <t>1lb = 453.592g
"Prunes (dried plums), French Variety, CA, USA"
CleanMetrics. (2020)."Prunes (dried plums)." Food Carbon Emissions Calculator. http://www.foodemissions.com/Calculator.</t>
        </r>
      </text>
    </comment>
    <comment ref="B502" authorId="0" shapeId="0">
      <text>
        <r>
          <rPr>
            <sz val="10"/>
            <color rgb="FF000000"/>
            <rFont val="Arial"/>
          </rPr>
          <t>NDB# 9288: "Prunes, canned, heavy syrup pack, solids and liquids"
USDA. "Prunes, canned, heavy syrup pack, solids and liquids." (2019). FoodData Central. U.S. Department of Agriculture. Available at https://fdc.nal.usda.gov/fdc-app.html#/food-details/168159/nutrients</t>
        </r>
      </text>
    </comment>
    <comment ref="I506" authorId="0" shapeId="0">
      <text>
        <r>
          <rPr>
            <sz val="10"/>
            <color rgb="FF000000"/>
            <rFont val="Arial"/>
          </rPr>
          <t>Calculations P38-V40
"Chile provides nearly all of the imported plums to the United States, accounting for 80 percent of the total"
https://www.agmrc.org/commodities-products/fruits/plums</t>
        </r>
      </text>
    </comment>
    <comment ref="B510" authorId="0" shapeId="0">
      <text>
        <r>
          <rPr>
            <sz val="10"/>
            <color rgb="FF000000"/>
            <rFont val="Arial"/>
          </rPr>
          <t>"RASPBERRIES RAW"
Eshel, Gidon.  "MAD". Gidon_EnvironCalcPaper3_151104AS_poultryconcise (2).xlsx</t>
        </r>
      </text>
    </comment>
    <comment ref="C510" authorId="0" shapeId="0">
      <text>
        <r>
          <rPr>
            <sz val="10"/>
            <color rgb="FF000000"/>
            <rFont val="Arial"/>
          </rPr>
          <t>"RASPBERRIES RAW"
Eshel, Gidon.  "MAD". Gidon_EnvironCalcPaper3_151104AS_poultryconcise (2).xlsx</t>
        </r>
      </text>
    </comment>
    <comment ref="D510" authorId="0" shapeId="0">
      <text>
        <r>
          <rPr>
            <sz val="10"/>
            <color rgb="FF000000"/>
            <rFont val="Arial"/>
          </rPr>
          <t>Mekonnen, M. M., &amp; Hoekstra, A. Y. (2011). "Strawberries." The green, blue and grey water footprint of crops and derived crop products.
The edible yield of a strawberry is 97%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510" authorId="0" shapeId="0">
      <text>
        <r>
          <rPr>
            <sz val="10"/>
            <color rgb="FF000000"/>
            <rFont val="Arial"/>
          </rPr>
          <t>1lb = 453.592g
"Raspberries, CA, USA"
CleanMetrics. (2020)."Raspberries." Food Carbon Emissions Calculator. http://www.foodemissions.com/Calculator.
The edible yield of a strawberry is 97%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518" authorId="0" shapeId="0">
      <text>
        <r>
          <rPr>
            <sz val="10"/>
            <color rgb="FF000000"/>
            <rFont val="Arial"/>
          </rPr>
          <t>"STRAWBERRIES RAW"
Eshel, Gidon.  "MAD". Gidon_EnvironCalcPaper3_151104AS_poultryconcise (2).xlsx</t>
        </r>
      </text>
    </comment>
    <comment ref="C518" authorId="0" shapeId="0">
      <text>
        <r>
          <rPr>
            <sz val="10"/>
            <color rgb="FF000000"/>
            <rFont val="Arial"/>
          </rPr>
          <t>"STRAWBERRIES RAW"
Eshel, Gidon.  "MAD". Gidon_EnvironCalcPaper3_151104AS_poultryconcise (2).xlsx</t>
        </r>
      </text>
    </comment>
    <comment ref="D518" authorId="0" shapeId="0">
      <text>
        <r>
          <rPr>
            <sz val="10"/>
            <color rgb="FF000000"/>
            <rFont val="Arial"/>
          </rPr>
          <t>Mekonnen, M. M., &amp; Hoekstra, A. Y. (2011). "Strawberries." The green, blue and grey water footprint of crops and derived crop products.
The edible yield of a strawberry is 87%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518" authorId="0" shapeId="0">
      <text>
        <r>
          <rPr>
            <sz val="10"/>
            <color rgb="FF000000"/>
            <rFont val="Arial"/>
          </rPr>
          <t>1lb = 453.592g
"Strawberries, San Joaquin Valley, CA, USA"
CleanMetrics. (2020)."Strawberries." Food Carbon Emissions Calculator. http://www.foodemissions.com/Calculator.
The edible yield of a strawberry is 87%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D526" authorId="0" shapeId="0">
      <text>
        <r>
          <rPr>
            <sz val="10"/>
            <color rgb="FF000000"/>
            <rFont val="Arial"/>
          </rPr>
          <t>M. M. Mekonnen and A. Y. Hoekstra: The green, blue and grey water footprint of crops (2011) pg. 1589
Watermelon blue water footprint: 25m3/ton
The edible yield of a watermelon is 46%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E526" authorId="0" shapeId="0">
      <text>
        <r>
          <rPr>
            <sz val="10"/>
            <color rgb="FF000000"/>
            <rFont val="Arial"/>
          </rPr>
          <t>"Melons, cantaloupe/watermelon/honeydew/specialty"
1lb = 453.592g
The edible yield of a watermelon is 46% of total fruit.
The Culinary Institute of America. "Educator Lesson Plan “ʻKitchen Calculations.ʻ"  Available at https://www.ciachef.edu/uploadedFiles/Pages/Admissions_and_Financial_Aid/Educators/Educational_Materials/Technique_of_the_Quarter/techniques-calculations.pdf.</t>
        </r>
      </text>
    </comment>
    <comment ref="B537" authorId="0" shapeId="0">
      <text>
        <r>
          <rPr>
            <sz val="10"/>
            <color rgb="FF000000"/>
            <rFont val="Arial"/>
          </rPr>
          <t>"Barley, hulled"
https://fdc.nal.usda.gov/fdc-app.html#/food-details/170283/nutrients</t>
        </r>
      </text>
    </comment>
    <comment ref="D537" authorId="0" shapeId="0">
      <text>
        <r>
          <rPr>
            <sz val="10"/>
            <color rgb="FF000000"/>
            <rFont val="Arial"/>
          </rPr>
          <t>"BARLEY HULLED" (per 100g)
Eshel, Gidon.  "MAD". Gidon_EnvironCalcPaper3_151104AS_poultryconcise (2).xlsx</t>
        </r>
      </text>
    </comment>
    <comment ref="E537" authorId="0" shapeId="0">
      <text>
        <r>
          <rPr>
            <sz val="10"/>
            <color rgb="FF000000"/>
            <rFont val="Arial"/>
          </rPr>
          <t>"BARLEY HULLED" (per 100g)
Eshel, Gidon.  "MAD". Gidon_EnvironCalcPaper3_151104AS_poultryconcise (2).xlsx</t>
        </r>
      </text>
    </comment>
    <comment ref="F537" authorId="0" shapeId="0">
      <text>
        <r>
          <rPr>
            <sz val="10"/>
            <color rgb="FF000000"/>
            <rFont val="Arial"/>
          </rPr>
          <t>Blue water needs
Mekonnen, M. M., &amp; Hoekstra, A. Y. (2011). "Barley" The green, blue and grey water footprint of crops and derived crop products.</t>
        </r>
      </text>
    </comment>
    <comment ref="G537" authorId="0" shapeId="0">
      <text>
        <r>
          <rPr>
            <sz val="10"/>
            <color rgb="FF000000"/>
            <rFont val="Arial"/>
          </rPr>
          <t>1lb = 453.592g
"Barley, Malting Barley; Eastern ID, USA"
CleanMetrics. (2020). "Barley, Malting Barley." Food Carbon Emissions Calculator. http://www.foodemissions.com/Calculator.</t>
        </r>
      </text>
    </comment>
    <comment ref="B538" authorId="0" shapeId="0">
      <text>
        <r>
          <rPr>
            <sz val="10"/>
            <color rgb="FF000000"/>
            <rFont val="Arial"/>
          </rPr>
          <t>"Barley, pearled, cooked"
https://fdc.nal.usda.gov/fdc-app.html#/food-details/170285/nutrients</t>
        </r>
      </text>
    </comment>
    <comment ref="C539" authorId="0" shapeId="0">
      <text>
        <r>
          <rPr>
            <sz val="10"/>
            <color rgb="FF000000"/>
            <rFont val="Arial"/>
          </rPr>
          <t>"Your final malt weight will be 80% of your starting barley weight."
Mark and Christopher (2017). "How to Malt at Home." Sprowt Labs. Available at https://www.sprowtlabs.com/2017/02/23/how-to-malt-at-home</t>
        </r>
      </text>
    </comment>
    <comment ref="B559" authorId="0" shapeId="0">
      <text>
        <r>
          <rPr>
            <sz val="10"/>
            <color rgb="FF000000"/>
            <rFont val="Arial"/>
          </rPr>
          <t>"Corn; OH, USA"
CleanMetrics. (2020). "Corn." Food Carbon Emissions Calculator. http://www.foodemissions.com/Calculator.</t>
        </r>
      </text>
    </comment>
    <comment ref="C559" authorId="0" shapeId="0">
      <text>
        <r>
          <rPr>
            <sz val="10"/>
            <color rgb="FF000000"/>
            <rFont val="Arial"/>
          </rPr>
          <t>1lb = 453.592g</t>
        </r>
      </text>
    </comment>
    <comment ref="E559" authorId="0" shapeId="0">
      <text>
        <r>
          <rPr>
            <sz val="10"/>
            <color rgb="FF000000"/>
            <rFont val="Arial"/>
          </rPr>
          <t>Only a small percentage of the top U.S. field crops—corn (0.3 percent), soybeans (0.2 percent), and wheat (0.6 percent)—were grown under certified organic farming systems. 
Economic Research Service, USDA (2019). "Documentation." Organic Production. Available at https://www.ers.usda.gov/data-products/organic-production/documentation/.</t>
        </r>
      </text>
    </comment>
    <comment ref="G559" authorId="0" shapeId="0">
      <text>
        <r>
          <rPr>
            <sz val="10"/>
            <color rgb="FF000000"/>
            <rFont val="Arial"/>
          </rPr>
          <t xml:space="preserve">"For satisfactory growth and high yields, sweet corn requires a continuous supply of moisture. In most oases this is the equivalent of 18 to 28 in. or water to produce a crop."
Stall, W. M., Waters Jr, L., Davis, D. W., Rosen, C., &amp; Clough, G. H. (2014). Sweet corn production. National Corn Handbook-43. Purdue University Cooperative Extension Service. Available online at https://www. extension. purdue. edu/extmedia/NCH/NCH-43. html. </t>
        </r>
      </text>
    </comment>
    <comment ref="M559" authorId="0" shapeId="0">
      <text>
        <r>
          <rPr>
            <sz val="10"/>
            <color rgb="FF000000"/>
            <rFont val="Arial"/>
          </rPr>
          <t>NDB#: 20016
Corn flour, whole-grain, yellow</t>
        </r>
      </text>
    </comment>
    <comment ref="N559" authorId="0" shapeId="0">
      <text>
        <r>
          <rPr>
            <sz val="10"/>
            <color rgb="FF000000"/>
            <rFont val="Arial"/>
          </rPr>
          <t>"Corn, Sweet Corn; CA, USA"
dry product form
CleanMetrics. (2020). "Corn, Sweet Corn." Food Carbon Emissions Calculator. http://www.foodemissions.com/Calculator.</t>
        </r>
      </text>
    </comment>
    <comment ref="B560" authorId="0" shapeId="0">
      <text>
        <r>
          <rPr>
            <sz val="10"/>
            <color rgb="FF000000"/>
            <rFont val="Arial"/>
          </rPr>
          <t>"Corn, organic; PA, USA"
CleanMetrics. (2020). "Corn, organic" Food Carbon Emissions Calculator. http://www.foodemissions.com/Calculator.</t>
        </r>
      </text>
    </comment>
    <comment ref="C560" authorId="0" shapeId="0">
      <text>
        <r>
          <rPr>
            <sz val="10"/>
            <color rgb="FF000000"/>
            <rFont val="Arial"/>
          </rPr>
          <t>1lb = 453.592g</t>
        </r>
      </text>
    </comment>
    <comment ref="E560" authorId="0" shapeId="0">
      <text>
        <r>
          <rPr>
            <sz val="10"/>
            <color rgb="FF000000"/>
            <rFont val="Arial"/>
          </rPr>
          <t>Only a small percentage of the top U.S. field crops—corn (0.3 percent), soybeans (0.2 percent), and wheat (0.6 percent)—were grown under certified organic farming systems. 
Economic Research Service, USDA (2019). "Documentation." Organic Production. Available at https://www.ers.usda.gov/data-products/organic-production/documentation/.</t>
        </r>
      </text>
    </comment>
    <comment ref="G560" authorId="0" shapeId="0">
      <text>
        <r>
          <rPr>
            <sz val="10"/>
            <color rgb="FF000000"/>
            <rFont val="Arial"/>
          </rPr>
          <t>Sweet corn in central Washington will require from 20 to 25 inches of irrigation water for the production of a satisfactory crop.
Van Denburgh, R. W. (2001). Sweet Corn. Cooperative Extension, Washington State University. Available at http://pubs.cahnrs.wsu.edu/publications/pubs/em4815/</t>
        </r>
      </text>
    </comment>
    <comment ref="M560" authorId="0" shapeId="0">
      <text>
        <r>
          <rPr>
            <sz val="10"/>
            <color rgb="FF000000"/>
            <rFont val="Arial"/>
          </rPr>
          <t xml:space="preserve">NDB#: 11167
Corn, sweet, yellow, raw
Water content
</t>
        </r>
      </text>
    </comment>
    <comment ref="H561" authorId="0" shapeId="0">
      <text>
        <r>
          <rPr>
            <sz val="10"/>
            <color rgb="FF000000"/>
            <rFont val="Arial"/>
          </rPr>
          <t>1acre-inch (ac-in)= 27,154 gallons (gal)
Smajstrla, A. G. (1993). Measuring irrigation water. University of Florida, Florida Cooperative Extension Service. Available at http://irrigationtoolbox.com/ReferenceDocuments/Extension/Florida/AE04100.pdf</t>
        </r>
      </text>
    </comment>
    <comment ref="E563" authorId="0" shapeId="0">
      <text>
        <r>
          <rPr>
            <sz val="10"/>
            <color rgb="FF000000"/>
            <rFont val="Arial"/>
          </rPr>
          <t>"CORN SWT YEL RAW" (per 100g)
Eshel, Gidon.  "MAD". Gidon_EnvironCalcPaper3_151104AS_poultryconcise (2).xlsx</t>
        </r>
      </text>
    </comment>
    <comment ref="F563" authorId="0" shapeId="0">
      <text>
        <r>
          <rPr>
            <sz val="10"/>
            <color rgb="FF000000"/>
            <rFont val="Arial"/>
          </rPr>
          <t>"CORN SWT YEL RAW" (per 100g)
Eshel, Gidon.  "MAD". Gidon_EnvironCalcPaper3_151104AS_poultryconcise (2).xlsx</t>
        </r>
      </text>
    </comment>
    <comment ref="E564" authorId="0" shapeId="0">
      <text>
        <r>
          <rPr>
            <sz val="10"/>
            <color rgb="FF000000"/>
            <rFont val="Arial"/>
          </rPr>
          <t>"CORN FLR,WHOLE-GRAIN,YEL" (per 100g)
Eshel, Gidon.  "MAD". Gidon_EnvironCalcPaper3_151104AS_poultryconcise (2).xlsx</t>
        </r>
      </text>
    </comment>
    <comment ref="F564" authorId="0" shapeId="0">
      <text>
        <r>
          <rPr>
            <sz val="10"/>
            <color rgb="FF000000"/>
            <rFont val="Arial"/>
          </rPr>
          <t>"CORN FLR,WHOLE-GRAIN,YEL" (per 100g)
Eshel, Gidon.  "MAD". Gidon_EnvironCalcPaper3_151104AS_poultryconcise (2).xlsx</t>
        </r>
      </text>
    </comment>
    <comment ref="G564" authorId="0" shapeId="0">
      <text>
        <r>
          <rPr>
            <sz val="10"/>
            <color rgb="FF000000"/>
            <rFont val="Arial"/>
          </rPr>
          <t>Blue water needs
Mekonnen, M. M., &amp; Hoekstra, A. Y. (2011). "Maize (corn)." The green, blue and grey water footprint of crops and derived crop products.</t>
        </r>
      </text>
    </comment>
    <comment ref="H564" authorId="0" shapeId="0">
      <text>
        <r>
          <rPr>
            <sz val="10"/>
            <color rgb="FF000000"/>
            <rFont val="Arial"/>
          </rPr>
          <t>"Corn; OH, USA"
CleanMetrics. (2020). "Corn." Food Carbon Emissions Calculator. http://www.foodemissions.com/Calculator.</t>
        </r>
      </text>
    </comment>
    <comment ref="C565" authorId="0" shapeId="0">
      <text>
        <r>
          <rPr>
            <sz val="10"/>
            <color rgb="FF000000"/>
            <rFont val="Arial"/>
          </rPr>
          <t>Corn flour is only endosperm (83% of corn)
maize kernel anatomy - 83% endosperm, 5% pericarp, 11% germ, 1% tip cap
Gwirtz, J. A., &amp; Garcia-Casal, M. N. (2014). Processing maize flour and corn meal food products. Annals of the New York Academy of Sciences, 1312(1), 66.</t>
        </r>
      </text>
    </comment>
    <comment ref="C566" authorId="0" shapeId="0">
      <text>
        <r>
          <rPr>
            <sz val="10"/>
            <color rgb="FF000000"/>
            <rFont val="Arial"/>
          </rPr>
          <t>Corn is 73.4% starch: https://www.feedipedia.org/node/556</t>
        </r>
      </text>
    </comment>
    <comment ref="E566" authorId="0" shapeId="0">
      <text>
        <r>
          <rPr>
            <sz val="10"/>
            <color rgb="FF000000"/>
            <rFont val="Arial"/>
          </rPr>
          <t>"CORNSTARCH" (per 100g)
Eshel, Gidon.  "MAD". Gidon_EnvironCalcPaper3_151104AS_poultryconcise (2).xlsx</t>
        </r>
      </text>
    </comment>
    <comment ref="F566" authorId="0" shapeId="0">
      <text>
        <r>
          <rPr>
            <sz val="10"/>
            <color rgb="FF000000"/>
            <rFont val="Arial"/>
          </rPr>
          <t>"CORNSTARCH" (per 100g)
Eshel, Gidon.  "MAD". Gidon_EnvironCalcPaper3_151104AS_poultryconcise (2).xlsx</t>
        </r>
      </text>
    </comment>
    <comment ref="H566" authorId="0" shapeId="0">
      <text>
        <r>
          <rPr>
            <sz val="10"/>
            <color rgb="FF000000"/>
            <rFont val="Arial"/>
          </rPr>
          <t>"CORNSTARCH" (per 100g)
Eshel, Gidon.  "MAD". Gidon_EnvironCalcPaper3_151104AS_poultryconcise (2).xlsx</t>
        </r>
      </text>
    </comment>
    <comment ref="C567" authorId="0" shapeId="0">
      <text>
        <r>
          <rPr>
            <sz val="10"/>
            <color rgb="FF000000"/>
            <rFont val="Arial"/>
          </rPr>
          <t>Cornmeal is only endosperm (83% of corn)
maize kernel anatomy - 83% endosperm, 5% pericarp, 11% germ, 1% tip cap
Gwirtz, J. A., &amp; Garcia-Casal, M. N. (2014). Processing maize flour and corn meal food products. Annals of the New York Academy of Sciences, 1312(1), 66.</t>
        </r>
      </text>
    </comment>
    <comment ref="D568" authorId="0" shapeId="0">
      <text>
        <r>
          <rPr>
            <sz val="10"/>
            <color rgb="FF000000"/>
            <rFont val="Arial"/>
          </rPr>
          <t>Popcorn, microwave, plain
https://fdc.nal.usda.gov/fdc-app.html#/food-details/1101368/nutrients</t>
        </r>
      </text>
    </comment>
    <comment ref="Z568" authorId="0" shapeId="0">
      <text>
        <r>
          <rPr>
            <sz val="10"/>
            <color rgb="FF000000"/>
            <rFont val="Arial"/>
          </rPr>
          <t>"Corn Oil; Midwest, USA"
1 lb = 453.592g
(under processed foods drop-down menu)
CleanMetrics. (2020). "Corn oil." Food Carbon Emissions Calculator. http://www.foodemissions.com/Calculator.</t>
        </r>
      </text>
    </comment>
    <comment ref="C569" authorId="0" shapeId="0">
      <text>
        <r>
          <rPr>
            <sz val="10"/>
            <color rgb="FF000000"/>
            <rFont val="Arial"/>
          </rPr>
          <t>Gidon Correspondence</t>
        </r>
      </text>
    </comment>
    <comment ref="B581" authorId="0" shapeId="0">
      <text>
        <r>
          <rPr>
            <sz val="10"/>
            <color rgb="FF000000"/>
            <rFont val="Arial"/>
          </rPr>
          <t>per 100g "Cereals, oats, regular and quick, not fortified, dry" 
USDA, (2019). "Cereals, oats, regular and quick, not fortified, dry." FoodData Central. U.S. Department of Agriculture. &lt;https://fdc.nal.usda.gov/fdc-app.html#/food-details/768964/nutrients&gt;.</t>
        </r>
      </text>
    </comment>
    <comment ref="D581" authorId="0" shapeId="0">
      <text>
        <r>
          <rPr>
            <sz val="10"/>
            <color rgb="FF000000"/>
            <rFont val="Arial"/>
          </rPr>
          <t>Eshel, Gidon.  "MAD". Gidon_EnvironCalcPaper3_151104AS_poultryconcise (2).xlsx</t>
        </r>
      </text>
    </comment>
    <comment ref="E581" authorId="0" shapeId="0">
      <text>
        <r>
          <rPr>
            <sz val="10"/>
            <color rgb="FF000000"/>
            <rFont val="Arial"/>
          </rPr>
          <t>Eshel, Gidon.  "MAD". Gidon_EnvironCalcPaper3_151104AS_poultryconcise (2).xlsx</t>
        </r>
      </text>
    </comment>
    <comment ref="F581" authorId="0" shapeId="0">
      <text>
        <r>
          <rPr>
            <sz val="10"/>
            <color rgb="FF000000"/>
            <rFont val="Arial"/>
          </rPr>
          <t>Blue water needs
Mekonnen, M. M., &amp; Hoekstra, A. Y. (2011). "Oats, rolled or flaked grains." The green, blue and grey water footprint of crops and derived crop products.</t>
        </r>
      </text>
    </comment>
    <comment ref="G581" authorId="0" shapeId="0">
      <text>
        <r>
          <rPr>
            <sz val="10"/>
            <color rgb="FF000000"/>
            <rFont val="Arial"/>
          </rPr>
          <t>"Oats, Northern ID, USA"
1lb = 453.592g
CleanMetrics. (2020). "Oats." Food Carbon Emissions Calculator. http://www.foodemissions.com/Calculator.</t>
        </r>
      </text>
    </comment>
    <comment ref="B582" authorId="0" shapeId="0">
      <text>
        <r>
          <rPr>
            <sz val="10"/>
            <color rgb="FF000000"/>
            <rFont val="Arial"/>
          </rPr>
          <t>per 100g "Cereals, oats, regular and quick, unenriched, cooked with water (includes boiling and microwaving), without salt."
USDA, (2019). "Cereals, oats, regular and quick, unenriched, cooked with water (includes boiling and microwaving), without salt." FoodData Central. U.S. Department of Agriculture. &lt;https://fdc.nal.usda.gov/fdc-app.html#/food-details/173905/nutrients&gt;.</t>
        </r>
      </text>
    </comment>
    <comment ref="C583" authorId="0" shapeId="0">
      <text>
        <r>
          <rPr>
            <sz val="10"/>
            <color rgb="FF000000"/>
            <rFont val="Arial"/>
          </rPr>
          <t>oat bran = 5% oats
Gidon corresponedence sheet</t>
        </r>
      </text>
    </comment>
    <comment ref="C584" authorId="0" shapeId="0">
      <text>
        <r>
          <rPr>
            <sz val="10"/>
            <color rgb="FF000000"/>
            <rFont val="Arial"/>
          </rPr>
          <t>oat fiber = 5% oats
Gidon corresponedence sheet</t>
        </r>
      </text>
    </comment>
    <comment ref="C593" authorId="0" shapeId="0">
      <text>
        <r>
          <rPr>
            <sz val="10"/>
            <color rgb="FF000000"/>
            <rFont val="Arial"/>
          </rPr>
          <t>Gummert, M (2010). "Modern rice milling." Rice Knowledge Bank. Available at http://www.knowledgebank.irri.org/training/fact-sheets/postharvest-management/item/modern-rice-milling-fact-sheet.</t>
        </r>
      </text>
    </comment>
    <comment ref="E593" authorId="0" shapeId="0">
      <text>
        <r>
          <rPr>
            <sz val="10"/>
            <color rgb="FF000000"/>
            <rFont val="Arial"/>
          </rPr>
          <t>*(.7g white rice raw)/(1g paddy rice)
white rice raw is 70% of the paddy rice, which means it takes more white rice raw to compose the same gmat of paddy rice</t>
        </r>
      </text>
    </comment>
    <comment ref="F593" authorId="0" shapeId="0">
      <text>
        <r>
          <rPr>
            <sz val="10"/>
            <color rgb="FF000000"/>
            <rFont val="Arial"/>
          </rPr>
          <t>*(.7g white rice raw)/(1g paddy rice)
white rice raw is 70% of the paddy rice, which means it takes more white rice raw to compose the same gmat of paddy rice</t>
        </r>
      </text>
    </comment>
    <comment ref="G593" authorId="0" shapeId="0">
      <text>
        <r>
          <rPr>
            <sz val="10"/>
            <color rgb="FF000000"/>
            <rFont val="Arial"/>
          </rPr>
          <t>"Rice, paddy"
Mekonnen, M. M., &amp; Hoekstra, A. Y. (2011). "Rice, paddy," The green, blue and grey water footprint of crops and derived crop products.</t>
        </r>
      </text>
    </comment>
    <comment ref="H593" authorId="0" shapeId="0">
      <text>
        <r>
          <rPr>
            <sz val="10"/>
            <color rgb="FF000000"/>
            <rFont val="Arial"/>
          </rPr>
          <t>"Rice, raw; CA, USA"
("dry")
1lb = 453.592g
CleanMetrics. (2020). "Rice, raw." Food Carbon Emissions Calculator. http://www.foodemissions.com/Calculator.</t>
        </r>
      </text>
    </comment>
    <comment ref="A594" authorId="0" shapeId="0">
      <text>
        <r>
          <rPr>
            <sz val="10"/>
            <color rgb="FF000000"/>
            <rFont val="Arial"/>
          </rPr>
          <t>wh.rice.raw
White rice is produced by removing the bran layer and the germ from the paddy. The bran layer is removed from the kernel through either abrasive or friction polishers. The amount of bran removed is normally between 8 and 10% of the total paddy weight. 
....A good rice mill will produce 50−60% head rice (whole kernels), 5−10% large broken and 10−15% small broken kernels. Depending on country standards, rice grades in the market will contain from 5−25% broken kernels. If rice mixing is to be done properly, then a volumetric mixer is necessary.
Gummert, M (2010). "Modern rice milling." Rice Knowledge Bank. Available at http://www.knowledgebank.irri.org/training/fact-sheets/postharvest-management/item/modern-rice-milling-fact-sheet.</t>
        </r>
      </text>
    </comment>
    <comment ref="B594" authorId="0" shapeId="0">
      <text>
        <r>
          <rPr>
            <sz val="10"/>
            <color rgb="FF000000"/>
            <rFont val="Arial"/>
          </rPr>
          <t>"White rice essentially triples in both volume and weight after cooking. 1 cup of white rice will yield 3 cups; 1 kg of white rice will yield 3 kg."
Cooksinfo (2020). "Rice."  Available at https://www.cooksinfo.com/rice#How_much_uncooked_rice_equals_how_much_cooked_rice
365 kcal/100g
NDB# 20044: Rice, white, long-grain, regular, raw, enriched
USDA, (2019). "Rice, white, long-grain, regular, raw, enriched." FoodData Central. U.S. Department of Agriculture. https://fdc.nal.usda.gov/fdc-app.html#/food-details/168877/nutrients</t>
        </r>
      </text>
    </comment>
    <comment ref="C594" authorId="0" shapeId="0">
      <text>
        <r>
          <rPr>
            <sz val="10"/>
            <color rgb="FF000000"/>
            <rFont val="Arial"/>
          </rPr>
          <t>White rice is produced by removing the bran layer and the germ from the paddy. The bran layer is removed from the kernel through either abrasive or friction polishers. The amount of bran removed is normally between 8 and 10% of the total paddy weight. 
....A good rice mill will produce 50−60% head rice (whole kernels), 5−10% large broken and 10−15% small broken kernels. Depending on country standards, rice grades in the market will contain from 5−25% broken kernels. If rice mixing is to be done properly, then a volumetric mixer is necessary.
Gummert, M (2010). "Modern rice milling." Rice Knowledge Bank. Available at http://www.knowledgebank.irri.org/training/fact-sheets/postharvest-management/item/modern-rice-milling-fact-sheet.</t>
        </r>
      </text>
    </comment>
    <comment ref="E594" authorId="0" shapeId="0">
      <text>
        <r>
          <rPr>
            <sz val="10"/>
            <color rgb="FF000000"/>
            <rFont val="Arial"/>
          </rPr>
          <t>"RICE WHITE SHORT-GRAIN RAW"
Eshel, Gidon.  "MAD". Gidon_EnvironCalcPaper3_151104AS_poultryconcise (2).xlsx</t>
        </r>
      </text>
    </comment>
    <comment ref="F594" authorId="0" shapeId="0">
      <text>
        <r>
          <rPr>
            <sz val="10"/>
            <color rgb="FF000000"/>
            <rFont val="Arial"/>
          </rPr>
          <t>"RICE WHITE SHORT-GRAIN RAW"
Eshel, Gidon.  "MAD". Gidon_EnvironCalcPaper3_151104AS_poultryconcise (2).xlsx</t>
        </r>
      </text>
    </comment>
    <comment ref="H594" authorId="0" shapeId="0">
      <text>
        <r>
          <rPr>
            <sz val="10"/>
            <color rgb="FF000000"/>
            <rFont val="Arial"/>
          </rPr>
          <t>"Rice, white; CA, USA"
("dry")
1lb = 453.592g
CleanMetrics. (2020). "Rice, white." Food Carbon Emissions Calculator. http://www.foodemissions.com/Calculator.</t>
        </r>
      </text>
    </comment>
    <comment ref="A595" authorId="0" shapeId="0">
      <text>
        <r>
          <rPr>
            <sz val="10"/>
            <color rgb="FF000000"/>
            <rFont val="Arial"/>
          </rPr>
          <t>wh.rice
NDB# 20045: cooked long grain white rice</t>
        </r>
      </text>
    </comment>
    <comment ref="B595" authorId="0" shapeId="0">
      <text>
        <r>
          <rPr>
            <sz val="10"/>
            <color rgb="FF000000"/>
            <rFont val="Arial"/>
          </rPr>
          <t>"White rice essentially triples in both volume and weight after cooking. 1 cup of white rice will yield 3 cups; 1 kg of white rice will yield 3 kg."
Cooksinfo (2020). "Rice."  Available at https://www.cooksinfo.com/rice#How_much_uncooked_rice_equals_how_much_cooked_rice
68.44 kcal/100g
NDB# 20045: Rice, white, long-grain, regular, enriched, cooked
USDA, (2019). "Rice, white, long-grain, regular, enriched, cooked" FoodData Central. U.S. Department of Agriculture. https://fdc.nal.usda.gov/fdc-app.html#/food-details/168878/nutrients</t>
        </r>
      </text>
    </comment>
    <comment ref="A596" authorId="0" shapeId="0">
      <text>
        <r>
          <rPr>
            <sz val="10"/>
            <color rgb="FF000000"/>
            <rFont val="Arial"/>
          </rPr>
          <t>flour.w.r.
NDB# 20061: rice flour, white, unenriched
by-product of white rice so equal in environmental attributes:
White rice is produced by removing the bran layer and the germ from the paddy. The bran layer is removed from the kernel through either abrasive or friction polishers. The amount of bran removed is normally between 8 and 10% of the total paddy weight. 
....A good rice mill will produce 50−60% head rice (whole kernels), 5−10% large broken and 10−15% small broken kernels. Depending on country standards, rice grades in the market will contain from 5−25% broken kernels. If rice mixing is to be done properly, then a volumetric mixer is necessary.
Gummert, M (2010). "Modern rice milling." Rice Knowledge Bank. Available at http://www.knowledgebank.irri.org/training/fact-sheets/postharvest-management/item/modern-rice-milling-fact-sheet.</t>
        </r>
      </text>
    </comment>
    <comment ref="B596" authorId="0" shapeId="0">
      <text>
        <r>
          <rPr>
            <sz val="10"/>
            <color rgb="FF000000"/>
            <rFont val="Arial"/>
          </rPr>
          <t>366kcal/100g
Same as "white rice raw"
NDB# 20061: rice flour, white, unenriched
USDA, (2019). "Rice flour, white, unenriched." FoodData Central. U.S. Department of Agriculture. https://fdc.nal.usda.gov/fdc-app.html#/food-details/169714/nutrients</t>
        </r>
      </text>
    </comment>
    <comment ref="C596" authorId="0" shapeId="0">
      <text>
        <r>
          <rPr>
            <sz val="10"/>
            <color rgb="FF000000"/>
            <rFont val="Arial"/>
          </rPr>
          <t>White rice is produced by removing the bran layer and the germ from the paddy. The bran layer is removed from the kernel through either abrasive or friction polishers. The amount of bran removed is normally between 8 and 10% of the total paddy weight. 
....A good rice mill will produce 50−60% head rice (whole kernels), 5−10% large broken and 10−15% small broken kernels. Depending on country standards, rice grades in the market will contain from 5−25% broken kernels. If rice mixing is to be done properly, then a volumetric mixer is necessary.
Gummert, M (2010). "Modern rice milling." Rice Knowledge Bank. Available at http://www.knowledgebank.irri.org/training/fact-sheets/postharvest-management/item/modern-rice-milling-fact-sheet.</t>
        </r>
      </text>
    </comment>
    <comment ref="A597" authorId="0" shapeId="0">
      <text>
        <r>
          <rPr>
            <sz val="10"/>
            <color rgb="FF000000"/>
            <rFont val="Arial"/>
          </rPr>
          <t>puf.r
NDB# 08156: Cereals, ready-to-eat, rice, puffed, fortified</t>
        </r>
      </text>
    </comment>
    <comment ref="B597" authorId="0" shapeId="0">
      <text>
        <r>
          <rPr>
            <sz val="10"/>
            <color rgb="FF000000"/>
            <rFont val="Arial"/>
          </rPr>
          <t>NDB# 08156: Cereals, ready-to-eat, rice, puffed, fortified
USDA, (2019). "Cereals, ready-to-eat, rice, puffed, fortified." FoodData Central. U.S. Department of Agriculture. Available at https://fdc.nal.usda.gov/fdc-app.html#/food-details/173912/nutrients</t>
        </r>
      </text>
    </comment>
    <comment ref="A598" authorId="0" shapeId="0">
      <text>
        <r>
          <rPr>
            <sz val="10"/>
            <color rgb="FF000000"/>
            <rFont val="Arial"/>
          </rPr>
          <t>br.rice.raw
rice brown raw
Brown rice is produced by removing the husk from rough paddy rice. The husk is removed by friction as the paddy grains pass between two abrasive surfaces that move at different speeds. After dehusking, the husk is removed by suction and transported to a storage dump outside the mill. Husk accounts for 20% of the paddy weight and an efficient husker should remove 90% of the husk in a single pass.
Gummert, M (2010). "Modern rice milling." Rice Knowledge Bank. Available at http://www.knowledgebank.irri.org/training/fact-sheets/postharvest-management/item/modern-rice-milling-fact-sheet.</t>
        </r>
      </text>
    </comment>
    <comment ref="B598" authorId="0" shapeId="0">
      <text>
        <r>
          <rPr>
            <sz val="10"/>
            <color rgb="FF000000"/>
            <rFont val="Arial"/>
          </rPr>
          <t>"Brown rice essentially doubles in both volume and weight after cooking. 1 cup of brown rice will yield 2 cups; 1 kg of brown rice will yield 2 kg."
Cooksinfo (2020). "Rice."  Available at https://www.cooksinfo.com/rice#How_much_uncooked_rice_equals_how_much_cooked_rice
NDB# 20036: Rice, brown, long-grain, raw (Includes foods for USDA's Food Distribution Program)
USDA, (2019). "Rice, brown, long-grain, raw (Includes foods for USDA's Food Distribution Program)." FoodData Central. U.S. Department of Agriculture. Available at https://fdc.nal.usda.gov/fdc-app.html#/food-details/169703/nutrients</t>
        </r>
      </text>
    </comment>
    <comment ref="C598" authorId="0" shapeId="0">
      <text>
        <r>
          <rPr>
            <sz val="10"/>
            <color rgb="FF000000"/>
            <rFont val="Arial"/>
          </rPr>
          <t>Brown rice is produced by removing the husk from rough paddy rice. The husk is removed by friction as the paddy grains pass between two abrasive surfaces that move at different speeds. After dehusking, the husk is removed by suction and transported to a storage dump outside the mill. Husk accounts for 20% of the paddy weight and an efficient husker should remove 90% of the husk in a single pass.
Gummert, M (2010). "Modern rice milling." Rice Knowledge Bank. Available at http://www.knowledgebank.irri.org/training/fact-sheets/postharvest-management/item/modern-rice-milling-fact-sheet.</t>
        </r>
      </text>
    </comment>
    <comment ref="H598" authorId="0" shapeId="0">
      <text>
        <r>
          <rPr>
            <sz val="10"/>
            <color rgb="FF000000"/>
            <rFont val="Arial"/>
          </rPr>
          <t>"Rice, brown; CA, USA"
("dry")
1lb = 453.592g
CleanMetrics. (2020). "Rice, brown." Food Carbon Emissions Calculator. http://www.foodemissions.com/Calculator.</t>
        </r>
      </text>
    </comment>
    <comment ref="A599" authorId="0" shapeId="0">
      <text>
        <r>
          <rPr>
            <sz val="10"/>
            <color rgb="FF000000"/>
            <rFont val="Arial"/>
          </rPr>
          <t>br. rice
NDB# 20037: cooked long grain brown rice</t>
        </r>
      </text>
    </comment>
    <comment ref="B599" authorId="0" shapeId="0">
      <text>
        <r>
          <rPr>
            <sz val="10"/>
            <color rgb="FF000000"/>
            <rFont val="Arial"/>
          </rPr>
          <t>"Brown rice essentially doubles in both volume and weight after cooking. 1 cup of brown rice will yield 2 cups; 1 kg of brown rice will yield 2 kg."
Cooksinfo (2020). "Rice."  Available at https://www.cooksinfo.com/rice#How_much_uncooked_rice_equals_how_much_cooked_rice
123 kcal/100g
NDB# 20037: Rice, brown, long-grain, cooked (Includes foods for USDA's Food Distribution Program)
USDA, (2019). "Rice, brown, long-grain, cooked (Includes foods for USDA's Food Distribution Program)." FoodData Central. U.S. Department of Agriculture. Available at https://fdc.nal.usda.gov/fdc-app.html#/food-details/169704/nutrients</t>
        </r>
      </text>
    </comment>
    <comment ref="A600" authorId="0" shapeId="0">
      <text>
        <r>
          <rPr>
            <sz val="10"/>
            <color rgb="FF000000"/>
            <rFont val="Arial"/>
          </rPr>
          <t>type here
ricebran
NDB# 20060: Rice bran, crude</t>
        </r>
      </text>
    </comment>
    <comment ref="C600" authorId="0" shapeId="0">
      <text>
        <r>
          <rPr>
            <sz val="10"/>
            <color rgb="FF000000"/>
            <rFont val="Arial"/>
          </rPr>
          <t>* Gidon Correspondence</t>
        </r>
      </text>
    </comment>
    <comment ref="D611" authorId="0" shapeId="0">
      <text>
        <r>
          <rPr>
            <sz val="10"/>
            <color rgb="FF000000"/>
            <rFont val="Arial"/>
          </rPr>
          <t>Mekonnen, M. M., &amp; Hoekstra, A. Y. (2011). "Rye." The green, blue and grey water footprint of crops and derived crop products.</t>
        </r>
      </text>
    </comment>
    <comment ref="E611" authorId="0" shapeId="0">
      <text>
        <r>
          <rPr>
            <sz val="10"/>
            <color rgb="FF000000"/>
            <rFont val="Arial"/>
          </rPr>
          <t>"Rye, Switzerland"
1lb = 453.592g
CleanMetrics. (2020). "Rye." Food Carbon Emissions Calculator. http://www.foodemissions.com/Calculator.</t>
        </r>
      </text>
    </comment>
    <comment ref="B619" authorId="0" shapeId="0">
      <text>
        <r>
          <rPr>
            <sz val="10"/>
            <color rgb="FF000000"/>
            <rFont val="Arial"/>
          </rPr>
          <t>CleanMetrics. (2020). Food Carbon Emissions Calculator. http://www.foodemissions.com/Calculator.</t>
        </r>
      </text>
    </comment>
    <comment ref="C619" authorId="0" shapeId="0">
      <text>
        <r>
          <rPr>
            <sz val="10"/>
            <color rgb="FF000000"/>
            <rFont val="Arial"/>
          </rPr>
          <t>1lb = 453.592g</t>
        </r>
      </text>
    </comment>
    <comment ref="D619" authorId="0" shapeId="0">
      <text>
        <r>
          <rPr>
            <sz val="10"/>
            <color rgb="FF000000"/>
            <rFont val="Arial"/>
          </rPr>
          <t>“20071, Wheat, hard red spring”</t>
        </r>
      </text>
    </comment>
    <comment ref="B620" authorId="0" shapeId="0">
      <text>
        <r>
          <rPr>
            <sz val="10"/>
            <color rgb="FF000000"/>
            <rFont val="Arial"/>
          </rPr>
          <t>CleanMetrics. (2020). Food Carbon Emissions Calculator. http://www.foodemissions.com/Calculator.</t>
        </r>
      </text>
    </comment>
    <comment ref="C620" authorId="0" shapeId="0">
      <text>
        <r>
          <rPr>
            <sz val="10"/>
            <color rgb="FF000000"/>
            <rFont val="Arial"/>
          </rPr>
          <t>1lb = 453.592g</t>
        </r>
      </text>
    </comment>
    <comment ref="D620" authorId="0" shapeId="0">
      <text>
        <r>
          <rPr>
            <sz val="10"/>
            <color rgb="FF000000"/>
            <rFont val="Arial"/>
          </rPr>
          <t>“20072, Wheat, hard red winter”</t>
        </r>
      </text>
    </comment>
    <comment ref="B621" authorId="0" shapeId="0">
      <text>
        <r>
          <rPr>
            <sz val="10"/>
            <color rgb="FF000000"/>
            <rFont val="Arial"/>
          </rPr>
          <t>CleanMetrics. (2020). Food Carbon Emissions Calculator. http://www.foodemissions.com/Calculator.</t>
        </r>
      </text>
    </comment>
    <comment ref="C621" authorId="0" shapeId="0">
      <text>
        <r>
          <rPr>
            <sz val="10"/>
            <color rgb="FF000000"/>
            <rFont val="Arial"/>
          </rPr>
          <t>1lb = 453.592g</t>
        </r>
      </text>
    </comment>
    <comment ref="D621" authorId="0" shapeId="0">
      <text>
        <r>
          <rPr>
            <sz val="10"/>
            <color rgb="FF000000"/>
            <rFont val="Arial"/>
          </rPr>
          <t>“20073, Wheat, soft red winter”</t>
        </r>
      </text>
    </comment>
    <comment ref="B622" authorId="0" shapeId="0">
      <text>
        <r>
          <rPr>
            <sz val="10"/>
            <color rgb="FF000000"/>
            <rFont val="Arial"/>
          </rPr>
          <t>CleanMetrics. (2020). Food Carbon Emissions Calculator. http://www.foodemissions.com/Calculator.</t>
        </r>
      </text>
    </comment>
    <comment ref="C622" authorId="0" shapeId="0">
      <text>
        <r>
          <rPr>
            <sz val="10"/>
            <color rgb="FF000000"/>
            <rFont val="Arial"/>
          </rPr>
          <t>1lb = 453.592g</t>
        </r>
      </text>
    </comment>
    <comment ref="D622" authorId="0" shapeId="0">
      <text>
        <r>
          <rPr>
            <sz val="10"/>
            <color rgb="FF000000"/>
            <rFont val="Arial"/>
          </rPr>
          <t>“20074, Wheat, hard white”</t>
        </r>
      </text>
    </comment>
    <comment ref="B623" authorId="0" shapeId="0">
      <text>
        <r>
          <rPr>
            <sz val="10"/>
            <color rgb="FF000000"/>
            <rFont val="Arial"/>
          </rPr>
          <t>CleanMetrics. (2020). Food Carbon Emissions Calculator. http://www.foodemissions.com/Calculator.</t>
        </r>
      </text>
    </comment>
    <comment ref="C623" authorId="0" shapeId="0">
      <text>
        <r>
          <rPr>
            <sz val="10"/>
            <color rgb="FF000000"/>
            <rFont val="Arial"/>
          </rPr>
          <t>1lb = 453.592g</t>
        </r>
      </text>
    </comment>
    <comment ref="D623" authorId="0" shapeId="0">
      <text>
        <r>
          <rPr>
            <sz val="10"/>
            <color rgb="FF000000"/>
            <rFont val="Arial"/>
          </rPr>
          <t>“20075, Wheat, soft white”</t>
        </r>
      </text>
    </comment>
    <comment ref="B624" authorId="0" shapeId="0">
      <text>
        <r>
          <rPr>
            <sz val="10"/>
            <color rgb="FF000000"/>
            <rFont val="Arial"/>
          </rPr>
          <t>CleanMetrics. (2020). Food Carbon Emissions Calculator. http://www.foodemissions.com/Calculator.</t>
        </r>
      </text>
    </comment>
    <comment ref="C624" authorId="0" shapeId="0">
      <text>
        <r>
          <rPr>
            <sz val="10"/>
            <color rgb="FF000000"/>
            <rFont val="Arial"/>
          </rPr>
          <t>1lb = 453.592g</t>
        </r>
      </text>
    </comment>
    <comment ref="D625" authorId="0" shapeId="0">
      <text>
        <r>
          <rPr>
            <sz val="10"/>
            <color rgb="FF000000"/>
            <rFont val="Arial"/>
          </rPr>
          <t>“48052, Vital wheat gluten”</t>
        </r>
      </text>
    </comment>
    <comment ref="D626" authorId="0" shapeId="0">
      <text>
        <r>
          <rPr>
            <sz val="10"/>
            <color rgb="FF000000"/>
            <rFont val="Arial"/>
          </rPr>
          <t>“48052, Vital wheat gluten”</t>
        </r>
      </text>
    </comment>
    <comment ref="C628" authorId="0" shapeId="0">
      <text>
        <r>
          <rPr>
            <sz val="10"/>
            <color rgb="FF000000"/>
            <rFont val="Arial"/>
          </rPr>
          <t>"WHEAT HARD WHITE" (per 100g)
Eshel, Gidon.  "MAD". Gidon_EnvironCalcPaper3_151104AS_poultryconcise (2).xlsx</t>
        </r>
      </text>
    </comment>
    <comment ref="D628" authorId="0" shapeId="0">
      <text>
        <r>
          <rPr>
            <sz val="10"/>
            <color rgb="FF000000"/>
            <rFont val="Arial"/>
          </rPr>
          <t>"WHEAT HARD WHITE"
Eshel, Gidon.  "MAD". Gidon_EnvironCalcPaper3_151104AS_poultryconcise (2).xlsx</t>
        </r>
      </text>
    </comment>
    <comment ref="E628" authorId="0" shapeId="0">
      <text>
        <r>
          <rPr>
            <sz val="10"/>
            <color rgb="FF000000"/>
            <rFont val="Arial"/>
          </rPr>
          <t>Blue water needs
Mekonnen, M. M., &amp; Hoekstra, A. Y. (2011). "Wheat flour." The green, blue and grey water footprint of crops and derived crop products.</t>
        </r>
      </text>
    </comment>
    <comment ref="F628" authorId="0" shapeId="0">
      <text>
        <r>
          <rPr>
            <sz val="10"/>
            <color rgb="FF000000"/>
            <rFont val="Arial"/>
          </rPr>
          <t>Average of all wheat varieties
CleanMetrics. (2020). Food Carbon Emissions Calculator. http://www.foodemissions.com/Calculator.</t>
        </r>
      </text>
    </comment>
    <comment ref="C629" authorId="0" shapeId="0">
      <text>
        <r>
          <rPr>
            <sz val="10"/>
            <color rgb="FF000000"/>
            <rFont val="Arial"/>
          </rPr>
          <t>"WHEAT HARD WHITE"
Eshel, Gidon.  "MAD". Gidon_EnvironCalcPaper3_151104AS_poultryconcise (2).xlsx</t>
        </r>
      </text>
    </comment>
    <comment ref="D629" authorId="0" shapeId="0">
      <text>
        <r>
          <rPr>
            <sz val="10"/>
            <color rgb="FF000000"/>
            <rFont val="Arial"/>
          </rPr>
          <t>"WHEAT HARD WHITE"
Eshel, Gidon.  "MAD". Gidon_EnvironCalcPaper3_151104AS_poultryconcise (2).xlsx</t>
        </r>
      </text>
    </comment>
    <comment ref="E629" authorId="0" shapeId="0">
      <text>
        <r>
          <rPr>
            <sz val="10"/>
            <color rgb="FF000000"/>
            <rFont val="Arial"/>
          </rPr>
          <t>Blue water needs
Mekonnen, M. M., &amp; Hoekstra, A. Y. (2011). "Wheat flour." The green, blue and grey water footprint of crops and derived crop products.</t>
        </r>
      </text>
    </comment>
    <comment ref="C630" authorId="0" shapeId="0">
      <text>
        <r>
          <rPr>
            <sz val="10"/>
            <color rgb="FF000000"/>
            <rFont val="Arial"/>
          </rPr>
          <t>"WHEAT HARD WHITE"
Eshel, Gidon.  "MAD". Gidon_EnvironCalcPaper3_151104AS_poultryconcise (2).xlsx</t>
        </r>
      </text>
    </comment>
    <comment ref="D630" authorId="0" shapeId="0">
      <text>
        <r>
          <rPr>
            <sz val="10"/>
            <color rgb="FF000000"/>
            <rFont val="Arial"/>
          </rPr>
          <t>"WHEAT HARD WHITE"
Eshel, Gidon.  "MAD". Gidon_EnvironCalcPaper3_151104AS_poultryconcise (2).xlsx</t>
        </r>
      </text>
    </comment>
    <comment ref="E630" authorId="0" shapeId="0">
      <text>
        <r>
          <rPr>
            <sz val="10"/>
            <color rgb="FF000000"/>
            <rFont val="Arial"/>
          </rPr>
          <t>Blue water needs
Mekonnen, M. M., &amp; Hoekstra, A. Y. (2011). "Wheat flour." The green, blue and grey water footprint of crops and derived crop products.</t>
        </r>
      </text>
    </comment>
    <comment ref="C631" authorId="0" shapeId="0">
      <text>
        <r>
          <rPr>
            <sz val="10"/>
            <color rgb="FF000000"/>
            <rFont val="Arial"/>
          </rPr>
          <t>"WHEAT HARD WHITE"
Eshel, Gidon.  "MAD". Gidon_EnvironCalcPaper3_151104AS_poultryconcise (2).xlsx</t>
        </r>
      </text>
    </comment>
    <comment ref="D631" authorId="0" shapeId="0">
      <text>
        <r>
          <rPr>
            <sz val="10"/>
            <color rgb="FF000000"/>
            <rFont val="Arial"/>
          </rPr>
          <t>"WHEAT HARD WHITE"
Eshel, Gidon.  "MAD". Gidon_EnvironCalcPaper3_151104AS_poultryconcise (2).xlsx</t>
        </r>
      </text>
    </comment>
    <comment ref="E631" authorId="0" shapeId="0">
      <text>
        <r>
          <rPr>
            <sz val="10"/>
            <color rgb="FF000000"/>
            <rFont val="Arial"/>
          </rPr>
          <t>Blue water needs
Mekonnen, M. M., &amp; Hoekstra, A. Y. (2011). "Wheat flour." The green, blue and grey water footprint of crops and derived crop products.</t>
        </r>
      </text>
    </comment>
    <comment ref="C632" authorId="0" shapeId="0">
      <text>
        <r>
          <rPr>
            <sz val="10"/>
            <color rgb="FF000000"/>
            <rFont val="Arial"/>
          </rPr>
          <t>"WHEAT HARD WHITE"
Eshel, Gidon.  "MAD". Gidon_EnvironCalcPaper3_151104AS_poultryconcise (2).xlsx</t>
        </r>
      </text>
    </comment>
    <comment ref="D632" authorId="0" shapeId="0">
      <text>
        <r>
          <rPr>
            <sz val="10"/>
            <color rgb="FF000000"/>
            <rFont val="Arial"/>
          </rPr>
          <t>"WHEAT HARD WHITE"
Eshel, Gidon.  "MAD". Gidon_EnvironCalcPaper3_151104AS_poultryconcise (2).xlsx</t>
        </r>
      </text>
    </comment>
    <comment ref="E632" authorId="0" shapeId="0">
      <text>
        <r>
          <rPr>
            <sz val="10"/>
            <color rgb="FF000000"/>
            <rFont val="Arial"/>
          </rPr>
          <t>Blue water needs
Mekonnen, M. M., &amp; Hoekstra, A. Y. (2011). "Wheat flour." The green, blue and grey water footprint of crops and derived crop products.</t>
        </r>
      </text>
    </comment>
    <comment ref="B635" authorId="0" shapeId="0">
      <text>
        <r>
          <rPr>
            <sz val="10"/>
            <color rgb="FF000000"/>
            <rFont val="Arial"/>
          </rPr>
          <t>Gidon Correspondence</t>
        </r>
      </text>
    </comment>
    <comment ref="B636" authorId="0" shapeId="0">
      <text>
        <r>
          <rPr>
            <sz val="10"/>
            <color rgb="FF000000"/>
            <rFont val="Arial"/>
          </rPr>
          <t>Gidon Correspondence</t>
        </r>
      </text>
    </comment>
    <comment ref="B637" authorId="0" shapeId="0">
      <text>
        <r>
          <rPr>
            <sz val="10"/>
            <color rgb="FF000000"/>
            <rFont val="Arial"/>
          </rPr>
          <t>Gidon Correspondence</t>
        </r>
      </text>
    </comment>
    <comment ref="B638" authorId="0" shapeId="0">
      <text>
        <r>
          <rPr>
            <sz val="10"/>
            <color rgb="FF000000"/>
            <rFont val="Arial"/>
          </rPr>
          <t>Gidon Correspondence
Bevilacqua, M., Braglia, M., Carmignani, G., &amp; Zammori, F. A. (2007). Life cycle assessment of pasta production in Italy. Journal of Food Quality, 30(6), 932-952.</t>
        </r>
      </text>
    </comment>
    <comment ref="B639" authorId="0" shapeId="0">
      <text>
        <r>
          <rPr>
            <sz val="10"/>
            <color rgb="FF000000"/>
            <rFont val="Arial"/>
          </rPr>
          <t>Gidon Correspondence</t>
        </r>
      </text>
    </comment>
    <comment ref="C639" authorId="0" shapeId="0">
      <text>
        <r>
          <rPr>
            <sz val="10"/>
            <color rgb="FF000000"/>
            <rFont val="Arial"/>
          </rPr>
          <t>"WHEAT HARD WHITE"
Eshel, Gidon.  "MAD". Gidon_EnvironCalcPaper3_151104AS_poultryconcise (2).xlsx</t>
        </r>
      </text>
    </comment>
    <comment ref="D639" authorId="0" shapeId="0">
      <text>
        <r>
          <rPr>
            <sz val="10"/>
            <color rgb="FF000000"/>
            <rFont val="Arial"/>
          </rPr>
          <t>"WHEAT HARD WHITE"
Eshel, Gidon.  "MAD". Gidon_EnvironCalcPaper3_151104AS_poultryconcise (2).xlsx</t>
        </r>
      </text>
    </comment>
    <comment ref="E639" authorId="0" shapeId="0">
      <text>
        <r>
          <rPr>
            <sz val="10"/>
            <color rgb="FF000000"/>
            <rFont val="Arial"/>
          </rPr>
          <t>Blue water needs
Mekonnen, M. M., &amp; Hoekstra, A. Y. (2011). "Wheat flour." The green, blue and grey water footprint of crops and derived crop products.</t>
        </r>
      </text>
    </comment>
    <comment ref="B640" authorId="0" shapeId="0">
      <text>
        <r>
          <rPr>
            <sz val="10"/>
            <color rgb="FF000000"/>
            <rFont val="Arial"/>
          </rPr>
          <t>Gidon Correspondence</t>
        </r>
      </text>
    </comment>
    <comment ref="C640" authorId="0" shapeId="0">
      <text>
        <r>
          <rPr>
            <sz val="10"/>
            <color rgb="FF000000"/>
            <rFont val="Arial"/>
          </rPr>
          <t>"WHEAT HARD WHITE"
Eshel, Gidon.  "MAD". Gidon_EnvironCalcPaper3_151104AS_poultryconcise (2).xlsx</t>
        </r>
      </text>
    </comment>
    <comment ref="D640" authorId="0" shapeId="0">
      <text>
        <r>
          <rPr>
            <sz val="10"/>
            <color rgb="FF000000"/>
            <rFont val="Arial"/>
          </rPr>
          <t>"WHEAT HARD WHITE"
Eshel, Gidon.  "MAD". Gidon_EnvironCalcPaper3_151104AS_poultryconcise (2).xlsx</t>
        </r>
      </text>
    </comment>
    <comment ref="E640" authorId="0" shapeId="0">
      <text>
        <r>
          <rPr>
            <sz val="10"/>
            <color rgb="FF000000"/>
            <rFont val="Arial"/>
          </rPr>
          <t>Blue water needs
Mekonnen, M. M., &amp; Hoekstra, A. Y. (2011). "Wheat flour." The green, blue and grey water footprint of crops and derived crop products.</t>
        </r>
      </text>
    </comment>
    <comment ref="B652" authorId="0" shapeId="0">
      <text>
        <r>
          <rPr>
            <sz val="10"/>
            <color rgb="FF000000"/>
            <rFont val="Arial"/>
          </rPr>
          <t>NDB# 11304: Peas, green, raw
USDA, (2019). "Peas, green, raw." FoodData Central. U.S. Department of Agriculture. Available at
https://fdc.nal.usda.gov/fdc-app.html#/food-details/170419/nutrients</t>
        </r>
      </text>
    </comment>
    <comment ref="C652" authorId="0" shapeId="0">
      <text>
        <r>
          <rPr>
            <sz val="10"/>
            <color rgb="FF000000"/>
            <rFont val="Arial"/>
          </rPr>
          <t>NDB# 11304: "PEAS GREEN RAW"
Eshel, Gidon.  "MAD". Gidon_EnvironCalcPaper3_151104AS_poultryconcise (2).xlsx</t>
        </r>
      </text>
    </comment>
    <comment ref="D652" authorId="0" shapeId="0">
      <text>
        <r>
          <rPr>
            <sz val="10"/>
            <color rgb="FF000000"/>
            <rFont val="Arial"/>
          </rPr>
          <t>NDB# 11304: "PEAS GREEN RAW"
Eshel, Gidon.  "MAD". Gidon_EnvironCalcPaper3_151104AS_poultryconcise (2).xlsx</t>
        </r>
      </text>
    </comment>
    <comment ref="E652" authorId="0" shapeId="0">
      <text>
        <r>
          <rPr>
            <sz val="10"/>
            <color rgb="FF000000"/>
            <rFont val="Arial"/>
          </rPr>
          <t>Mekonnen, M. M., &amp; Hoekstra, A. Y. (2011). "Peas, green." The green, blue and grey water footprint of crops and derived crop products.
The edible yield of "Peas, green, in the shell" is 33%.
The Culinary Institute of America. "Educator Lesson Plan “ʻKitchen Calculations.ʻ"  Available at https://www.ciachef.edu/uploadedFiles/Pages/Admissions_and_Financial_Aid/Educators/Educational_Materials/Technique_of_the_Quarter/techniques-calculations.pdf</t>
        </r>
      </text>
    </comment>
    <comment ref="F652" authorId="0" shapeId="0">
      <text>
        <r>
          <rPr>
            <sz val="10"/>
            <color rgb="FF000000"/>
            <rFont val="Arial"/>
          </rPr>
          <t>"Peas Spring Peas, Northern ID, USA"
1lb = 453.592g
CleanMetrics. (2020). "Peas, Spring Peas." Food Carbon Emissions Calculator. http://www.foodemissions.com/Calculator.
The edible yield of "Peas, green, in the shell" is 33%.
The Culinary Institute of America. "Educator Lesson Plan “ʻKitchen Calculations.ʻ"  Available at https://www.ciachef.edu/uploadedFiles/Pages/Admissions_and_Financial_Aid/Educators/Educational_Materials/Technique_of_the_Quarter/techniques-calculations.pdf</t>
        </r>
      </text>
    </comment>
    <comment ref="A653" authorId="0" shapeId="0">
      <text>
        <r>
          <rPr>
            <sz val="10"/>
            <color rgb="FF000000"/>
            <rFont val="Arial"/>
          </rPr>
          <t>NDB# 11313 , BOILED, DRAINED, UNSALTED GREEN PEAS; Peas, green, frozen, cooked, boiled, drained, without salt</t>
        </r>
      </text>
    </comment>
    <comment ref="B653" authorId="0" shapeId="0">
      <text>
        <r>
          <rPr>
            <sz val="10"/>
            <color rgb="FF000000"/>
            <rFont val="Arial"/>
          </rPr>
          <t>NDB# 11313: Peas, green, frozen, cooked, boiled, drained, without salt
USDA, (2019). "Peas, green, frozen, cooked, boiled, drained, without salt." FoodData Central. U.S. Department of Agriculture. Available at
https://fdc.nal.usda.gov/fdc-app.html#/food-details/170017/nutrients</t>
        </r>
      </text>
    </comment>
    <comment ref="B662" authorId="0" shapeId="0">
      <text>
        <r>
          <rPr>
            <sz val="10"/>
            <color rgb="FF000000"/>
            <rFont val="Arial"/>
          </rPr>
          <t>BEANS SNAP GREEN RAW
Eshel, Gidon.  "MAD". Gidon_EnvironCalcPaper3_151104AS_poultryconcise (2).xlsx</t>
        </r>
      </text>
    </comment>
    <comment ref="C662" authorId="0" shapeId="0">
      <text>
        <r>
          <rPr>
            <sz val="10"/>
            <color rgb="FF000000"/>
            <rFont val="Arial"/>
          </rPr>
          <t>BEANS SNAP GREEN RAW
Eshel, Gidon.  "MAD". Gidon_EnvironCalcPaper3_151104AS_poultryconcise (2).xlsx</t>
        </r>
      </text>
    </comment>
    <comment ref="D662" authorId="0" shapeId="0">
      <text>
        <r>
          <rPr>
            <sz val="10"/>
            <color rgb="FF000000"/>
            <rFont val="Arial"/>
          </rPr>
          <t>Mekonnen, M. M., &amp; Hoekstra, A. Y. (2011). "Beans, green." The green, blue and grey water footprint of crops and derived crop products.
The edible yield of "beans, greens/wax" is 88%.
The Culinary Institute of America. "Educator Lesson Plan “ʻKitchen Calculations.ʻ"  Available at https://www.ciachef.edu/uploadedFiles/Pages/Admissions_and_Financial_Aid/Educators/Educational_Materials/Technique_of_the_Quarter/techniques-calculations.pdf</t>
        </r>
      </text>
    </comment>
    <comment ref="E662" authorId="0" shapeId="0">
      <text>
        <r>
          <rPr>
            <sz val="10"/>
            <color rgb="FF000000"/>
            <rFont val="Arial"/>
          </rPr>
          <t>(kgCO2eq/lb)*1lb/453.592g
"Beans, Chinese Long Bean, CA, USA" =0.12
"Beans, Green, Blue Lake Variety. CA, USA" = 0.2
"Beans, Snap Beans. PA, USA" = 0.11
CleanMetrics. (2020). "Peas, Spring Peas." Food Carbon Emissions Calculator. http://www.foodemissions.com/Calculator.
The edible yield of "beans, greens/wax" is 88%.
The Culinary Institute of America. "Educator Lesson Plan “ʻKitchen Calculations.ʻ"  Available at https://www.ciachef.edu/uploadedFiles/Pages/Admissions_and_Financial_Aid/Educators/Educational_Materials/Technique_of_the_Quarter/techniques-calculations.pdf</t>
        </r>
      </text>
    </comment>
    <comment ref="B671" authorId="0" shapeId="0">
      <text>
        <r>
          <rPr>
            <sz val="10"/>
            <color rgb="FF000000"/>
            <rFont val="Arial"/>
          </rPr>
          <t>NDB# 16087: PEANUTS ALL TYPES RAW
Eshel, Gidon.  "MAD". Gidon_EnvironCalcPaper3_151104AS_poultryconcise (2).xlsx</t>
        </r>
      </text>
    </comment>
    <comment ref="C671" authorId="0" shapeId="0">
      <text>
        <r>
          <rPr>
            <sz val="10"/>
            <color rgb="FF000000"/>
            <rFont val="Arial"/>
          </rPr>
          <t>NDB# NDB# 16087: PEANUTS ALL TYPES RAW
Eshel, Gidon.  "MAD". Gidon_EnvironCalcPaper3_151104AS_poultryconcise (2).xlsx</t>
        </r>
      </text>
    </comment>
    <comment ref="D671" authorId="0" shapeId="0">
      <text>
        <r>
          <rPr>
            <sz val="10"/>
            <color rgb="FF000000"/>
            <rFont val="Arial"/>
          </rPr>
          <t>Mekonnen, M. M., &amp; Hoekstra, A. Y. (2011). "Groundnuts shelled." The green, blue and grey water footprint of crops and derived crop products.</t>
        </r>
      </text>
    </comment>
    <comment ref="E671" authorId="0" shapeId="0">
      <text>
        <r>
          <rPr>
            <sz val="10"/>
            <color rgb="FF000000"/>
            <rFont val="Arial"/>
          </rPr>
          <t>"Peanuts, CA, USA"
1lb = 453.592g
CleanMetrics. (2020). "Peanuts." Food Carbon Emissions Calculator. http://www.foodemissions.com/Calculator.</t>
        </r>
      </text>
    </comment>
    <comment ref="B677" authorId="0" shapeId="0">
      <text>
        <r>
          <rPr>
            <sz val="10"/>
            <color rgb="FF000000"/>
            <rFont val="Arial"/>
          </rPr>
          <t>kcal/g
Soybeans, green, raw
NDB: 11450</t>
        </r>
      </text>
    </comment>
    <comment ref="C677" authorId="0" shapeId="0">
      <text>
        <r>
          <rPr>
            <sz val="10"/>
            <color rgb="FF000000"/>
            <rFont val="Arial"/>
          </rPr>
          <t>NDB# 16111: SOYBEANS MATURE SEEDS DRY RSTD
Eshel, Gidon.  "MAD". Gidon_EnvironCalcPaper3_151104AS_poultryconcise (2).xlsx</t>
        </r>
      </text>
    </comment>
    <comment ref="D677" authorId="0" shapeId="0">
      <text>
        <r>
          <rPr>
            <sz val="10"/>
            <color rgb="FF000000"/>
            <rFont val="Arial"/>
          </rPr>
          <t>NDB# 16111: SOYBEANS MATURE SEEDS DRY RSTD
Eshel, Gidon.  "MAD". Gidon_EnvironCalcPaper3_151104AS_poultryconcise (2).xlsx</t>
        </r>
      </text>
    </comment>
    <comment ref="E677" authorId="0" shapeId="0">
      <text>
        <r>
          <rPr>
            <sz val="10"/>
            <color rgb="FF000000"/>
            <rFont val="Arial"/>
          </rPr>
          <t>Mekonnen, M. M., &amp; Hoekstra, A. Y. (2011). "Soya beans." The green, blue and grey water footprint of crops and derived crop products.</t>
        </r>
      </text>
    </comment>
    <comment ref="F677" authorId="0" shapeId="0">
      <text>
        <r>
          <rPr>
            <sz val="10"/>
            <color rgb="FF000000"/>
            <rFont val="Arial"/>
          </rPr>
          <t>"Soybeans, OH, USA"
1lb = 453.592g
CleanMetrics. (2020). "Soybeans." Food Carbon Emissions Calculator. http://www.foodemissions.com/Calculator.</t>
        </r>
      </text>
    </comment>
    <comment ref="A678" authorId="0" shapeId="0">
      <text>
        <r>
          <rPr>
            <sz val="10"/>
            <color rgb="FF000000"/>
            <rFont val="Arial"/>
          </rPr>
          <t>NDB# 11451; BOILED, DRAINED, UNSALTED GREEN SOYBEANS</t>
        </r>
      </text>
    </comment>
    <comment ref="B678" authorId="0" shapeId="0">
      <text>
        <r>
          <rPr>
            <sz val="10"/>
            <color rgb="FF000000"/>
            <rFont val="Arial"/>
          </rPr>
          <t>kcal/g
Soybeans, mature cooked, boiled, without salt
NDB#: 16109</t>
        </r>
      </text>
    </comment>
    <comment ref="B679" authorId="0" shapeId="0">
      <text>
        <r>
          <rPr>
            <sz val="10"/>
            <color rgb="FF000000"/>
            <rFont val="Arial"/>
          </rPr>
          <t xml:space="preserve">"Soy flours are products obtained by finely grinding full-fat dehulled soybeans or defatted flakes made from dehulled soybeans."
Berk, Z. (1997). Chapter 5: Soybean Protein Concentrates (SPC) Technology of Production of Edible Flours and Protein Products from Soybeans. FAO Agricultural Services Bulletin, (97).  Available at http://www.fao.org/3/t0532e/t0532e05.htm.
-----------------------------------------------
"Soybean hulls make up approximately 8% of the whole seed and contain 86% complex carbohydrates (Gnanasambandam &amp; Proctor, 1999)."
Middelbos, I. S., &amp; Fahey Jr, G. C. (2008). Soybean carbohydrates. In Soybeans (pp. 269-296). AOCS Press.  </t>
        </r>
      </text>
    </comment>
    <comment ref="B680" authorId="0" shapeId="0">
      <text>
        <r>
          <rPr>
            <sz val="10"/>
            <color rgb="FF000000"/>
            <rFont val="Arial"/>
          </rPr>
          <t xml:space="preserve">"White flakes and defatted soy flour with a high protein solubility serve as the starting raw material for the manufacture of most protein concentrates, isolated soy protein and extrusion- texturized soy flour. They are also used, alone or in combination with whole soybeans , as a starting material for the production of soy sauce."
Berk, Z. (1997). Chapter 5: Soybean Protein Concentrates (SPC) Technology of Production of Edible Flours and Protein Products from Soybeans. FAO Agricultural Services Bulletin, (97).  Available at http://www.fao.org/3/t0532e/t0532e05.htm.
-----------------------------------------------
"Soybean hulls make up approximately 8% of the whole seed and contain 86% complex carbohydrates (Gnanasambandam &amp; Proctor, 1999)."
Middelbos, I. S., &amp; Fahey Jr, G. C. (2008). Soybean carbohydrates. In Soybeans (pp. 269-296). AOCS Press.  </t>
        </r>
      </text>
    </comment>
    <comment ref="C681" authorId="0" shapeId="0">
      <text>
        <r>
          <rPr>
            <sz val="10"/>
            <color rgb="FF000000"/>
            <rFont val="Arial"/>
          </rPr>
          <t>NDB# 16426: TOFU RAW FIRM PREP WCA SULFATE
Eshel, Gidon.  "MAD". Gidon_EnvironCalcPaper3_151104AS_poultryconcise (2).xlsx</t>
        </r>
      </text>
    </comment>
    <comment ref="D681" authorId="0" shapeId="0">
      <text>
        <r>
          <rPr>
            <sz val="10"/>
            <color rgb="FF000000"/>
            <rFont val="Arial"/>
          </rPr>
          <t>NDB# 16426: TOFU RAW FIRM PREP WCA SULFATE
Eshel, Gidon.  "MAD". Gidon_EnvironCalcPaper3_151104AS_poultryconcise (2).xlsx</t>
        </r>
      </text>
    </comment>
    <comment ref="E681" authorId="0" shapeId="0">
      <text>
        <r>
          <rPr>
            <sz val="10"/>
            <color rgb="FF000000"/>
            <rFont val="Arial"/>
          </rPr>
          <t>Mekonnen, M. M., &amp; Hoekstra, A. Y. (2011). "Soya bean curd." The green, blue and grey water footprint of crops and derived crop products.</t>
        </r>
      </text>
    </comment>
    <comment ref="F681" authorId="0" shapeId="0">
      <text>
        <r>
          <rPr>
            <sz val="10"/>
            <color rgb="FF000000"/>
            <rFont val="Arial"/>
          </rPr>
          <t>"Tofu, firm, USA"
1lb = 453.592g
CleanMetrics. (2020). "Tofu, firm." Food Carbon Emissions Calculator. http://www.foodemissions.com/Calculator.</t>
        </r>
      </text>
    </comment>
    <comment ref="B689" authorId="0" shapeId="0">
      <text>
        <r>
          <rPr>
            <sz val="10"/>
            <color rgb="FF000000"/>
            <rFont val="Arial"/>
          </rPr>
          <t>NDB# 16069: LENTILS, RAW
Eshel, Gidon.  "MAD". Gidon_EnvironCalcPaper3_151104AS_poultryconcise (2).xlsx</t>
        </r>
      </text>
    </comment>
    <comment ref="C689" authorId="0" shapeId="0">
      <text>
        <r>
          <rPr>
            <sz val="10"/>
            <color rgb="FF000000"/>
            <rFont val="Arial"/>
          </rPr>
          <t>NDB# 16069: LENTILS, RAW
Eshel, Gidon.  "MAD". Gidon_EnvironCalcPaper3_151104AS_poultryconcise (2).xlsx</t>
        </r>
      </text>
    </comment>
    <comment ref="D689" authorId="0" shapeId="0">
      <text>
        <r>
          <rPr>
            <sz val="10"/>
            <color rgb="FF000000"/>
            <rFont val="Arial"/>
          </rPr>
          <t>Mekonnen, M. M., &amp; Hoekstra, A. Y. (2011). "Lentils." The green, blue and grey water footprint of crops and derived crop products.</t>
        </r>
      </text>
    </comment>
    <comment ref="E689" authorId="0" shapeId="0">
      <text>
        <r>
          <rPr>
            <sz val="10"/>
            <color rgb="FF000000"/>
            <rFont val="Arial"/>
          </rPr>
          <t>"Lentils, Northern ID, USA"
1lb = 453.592g
CleanMetrics. (2020). "Lentils." Food Carbon Emissions Calculator. http://www.foodemissions.com/Calculator.</t>
        </r>
      </text>
    </comment>
    <comment ref="B696" authorId="0" shapeId="0">
      <text>
        <r>
          <rPr>
            <sz val="10"/>
            <color rgb="FF000000"/>
            <rFont val="Arial"/>
          </rPr>
          <t>NDB# 16014: Beans, black, mature seeds, raw
USDA, (2019). FoodData Central. U.S. Department of Agriculture. Available at
https://fdc.nal.usda.gov/fdc-app.html#/food-details/173734/nutrients</t>
        </r>
      </text>
    </comment>
    <comment ref="C696" authorId="0" shapeId="0">
      <text>
        <r>
          <rPr>
            <sz val="10"/>
            <color rgb="FF000000"/>
            <rFont val="Arial"/>
          </rPr>
          <t>NDB# 16027: BEANS KIDNEY ALL TYPES MATURE SEEDS RAW
Eshel, Gidon.  "MAD". Gidon_EnvironCalcPaper3_151104AS_poultryconcise (2).xlsx</t>
        </r>
      </text>
    </comment>
    <comment ref="D696" authorId="0" shapeId="0">
      <text>
        <r>
          <rPr>
            <sz val="10"/>
            <color rgb="FF000000"/>
            <rFont val="Arial"/>
          </rPr>
          <t>NDB# 16027: BEANS KIDNEY ALL TYPES MATURE SEEDS RAW
Eshel, Gidon.  "MAD". Gidon_EnvironCalcPaper3_151104AS_poultryconcise (2).xlsx</t>
        </r>
      </text>
    </comment>
    <comment ref="E696" authorId="0" shapeId="0">
      <text>
        <r>
          <rPr>
            <sz val="10"/>
            <color rgb="FF000000"/>
            <rFont val="Arial"/>
          </rPr>
          <t>"Beans, dry"
Mekonnen, M. M., &amp; Hoekstra, A. Y. (2011). The green, blue and grey water footprint of crops and derived crop products.</t>
        </r>
      </text>
    </comment>
    <comment ref="F696" authorId="0" shapeId="0">
      <text>
        <r>
          <rPr>
            <sz val="10"/>
            <color rgb="FF000000"/>
            <rFont val="Arial"/>
          </rPr>
          <t>"Beans, common dry varieties, San Joaquin Valley North, CA, USA" 
= 0.43 kgCO2e/lb
"Beans, dry beans, South-central ID, USA"
=0.36 kgCO2e/lb
1lb = 453.592g
CleanMetrics. (2020).  Food Carbon Emissions Calculator. http://www.foodemissions.com/Calculator.</t>
        </r>
      </text>
    </comment>
    <comment ref="B697" authorId="0" shapeId="0">
      <text>
        <r>
          <rPr>
            <sz val="10"/>
            <color rgb="FF000000"/>
            <rFont val="Arial"/>
          </rPr>
          <t>NDB# 16032: Beans, kidney, red, mature seeds, raw
USDA, (2019). FoodData Central. U.S. Department of Agriculture. Available at
https://fdc.nal.usda.gov/fdc-app.html#/food-details/173744/nutrients</t>
        </r>
      </text>
    </comment>
    <comment ref="C697" authorId="0" shapeId="0">
      <text>
        <r>
          <rPr>
            <sz val="10"/>
            <color rgb="FF000000"/>
            <rFont val="Arial"/>
          </rPr>
          <t>NDB# 16027: BEANS KIDNEY ALL TYPES MATURE SEEDS RAW
Eshel, Gidon.  "MAD". Gidon_EnvironCalcPaper3_151104AS_poultryconcise (2).xlsx</t>
        </r>
      </text>
    </comment>
    <comment ref="D697" authorId="0" shapeId="0">
      <text>
        <r>
          <rPr>
            <sz val="10"/>
            <color rgb="FF000000"/>
            <rFont val="Arial"/>
          </rPr>
          <t>NDB# 16027: BEANS KIDNEY ALL TYPES MATURE SEEDS RAW
Eshel, Gidon.  "MAD". Gidon_EnvironCalcPaper3_151104AS_poultryconcise (2).xlsx</t>
        </r>
      </text>
    </comment>
    <comment ref="E697" authorId="0" shapeId="0">
      <text>
        <r>
          <rPr>
            <sz val="10"/>
            <color rgb="FF000000"/>
            <rFont val="Arial"/>
          </rPr>
          <t>"Beans, dry"
Mekonnen, M. M., &amp; Hoekstra, A. Y. (2011). The green, blue and grey water footprint of crops and derived crop products.</t>
        </r>
      </text>
    </comment>
    <comment ref="F697" authorId="0" shapeId="0">
      <text>
        <r>
          <rPr>
            <sz val="10"/>
            <color rgb="FF000000"/>
            <rFont val="Arial"/>
          </rPr>
          <t>"Beans, common dry varieties, San Joaquin Valley North, CA, USA" 
= 0.43 kgCO2e/lb
"Beans, dry beans, South-central ID, USA"
=0.36 kgCO2e/lb
1lb = 453.592g
CleanMetrics. (2020).  Food Carbon Emissions Calculator. http://www.foodemissions.com/Calculator.</t>
        </r>
      </text>
    </comment>
    <comment ref="B698" authorId="0" shapeId="0">
      <text>
        <r>
          <rPr>
            <sz val="10"/>
            <color rgb="FF000000"/>
            <rFont val="Arial"/>
          </rPr>
          <t>NDB# 11031: Lima beans, immature seeds, raw
USDA, (2019). FoodData Central. U.S. Department of Agriculture. Available at
https://fdc.nal.usda.gov/fdc-app.html#/food-details/168396/nutrients</t>
        </r>
      </text>
    </comment>
    <comment ref="C698" authorId="0" shapeId="0">
      <text>
        <r>
          <rPr>
            <sz val="10"/>
            <color rgb="FF000000"/>
            <rFont val="Arial"/>
          </rPr>
          <t>NDB# 16027: BEANS KIDNEY ALL TYPES MATURE SEEDS RAW
Eshel, Gidon.  "MAD". Gidon_EnvironCalcPaper3_151104AS_poultryconcise (2).xlsx</t>
        </r>
      </text>
    </comment>
    <comment ref="D698" authorId="0" shapeId="0">
      <text>
        <r>
          <rPr>
            <sz val="10"/>
            <color rgb="FF000000"/>
            <rFont val="Arial"/>
          </rPr>
          <t>NDB# 16027: BEANS KIDNEY ALL TYPES MATURE SEEDS RAW
Eshel, Gidon.  "MAD". Gidon_EnvironCalcPaper3_151104AS_poultryconcise (2).xlsx</t>
        </r>
      </text>
    </comment>
    <comment ref="E698" authorId="0" shapeId="0">
      <text>
        <r>
          <rPr>
            <sz val="10"/>
            <color rgb="FF000000"/>
            <rFont val="Arial"/>
          </rPr>
          <t>"Broad beans, horse beans, dry"
Mekonnen, M. M., &amp; Hoekstra, A. Y. (2011). The green, blue and grey water footprint of crops and derived crop products.</t>
        </r>
      </text>
    </comment>
    <comment ref="F698" authorId="0" shapeId="0">
      <text>
        <r>
          <rPr>
            <sz val="10"/>
            <color rgb="FF000000"/>
            <rFont val="Arial"/>
          </rPr>
          <t>"Beans, Baby Lima, CA, USA"
1lb = 453.592g
CleanMetrics. (2020). Food Carbon Emissions Calculator. http://www.foodemissions.com/Calculator.</t>
        </r>
      </text>
    </comment>
    <comment ref="B699" authorId="0" shapeId="0">
      <text>
        <r>
          <rPr>
            <sz val="10"/>
            <color rgb="FF000000"/>
            <rFont val="Arial"/>
          </rPr>
          <t>NDB# 16037: Beans, navy, mature seeds, raw
USDA, (2019). FoodData Central. U.S. Department of Agriculture. Available at
https://fdc.nal.usda.gov/fdc-app.html#/food-details/173745/nutrients</t>
        </r>
      </text>
    </comment>
    <comment ref="C699" authorId="0" shapeId="0">
      <text>
        <r>
          <rPr>
            <sz val="10"/>
            <color rgb="FF000000"/>
            <rFont val="Arial"/>
          </rPr>
          <t>NDB# 16027: BEANS KIDNEY ALL TYPES MATURE SEEDS RAW
Eshel, Gidon.  "MAD". Gidon_EnvironCalcPaper3_151104AS_poultryconcise (2).xlsx</t>
        </r>
      </text>
    </comment>
    <comment ref="D699" authorId="0" shapeId="0">
      <text>
        <r>
          <rPr>
            <sz val="10"/>
            <color rgb="FF000000"/>
            <rFont val="Arial"/>
          </rPr>
          <t>NDB# 16027: BEANS KIDNEY ALL TYPES MATURE SEEDS RAW
Eshel, Gidon.  "MAD". Gidon_EnvironCalcPaper3_151104AS_poultryconcise (2).xlsx</t>
        </r>
      </text>
    </comment>
    <comment ref="E699" authorId="0" shapeId="0">
      <text>
        <r>
          <rPr>
            <sz val="10"/>
            <color rgb="FF000000"/>
            <rFont val="Arial"/>
          </rPr>
          <t>"Beans, dry"
Mekonnen, M. M., &amp; Hoekstra, A. Y. (2011). The green, blue and grey water footprint of crops and derived crop products.</t>
        </r>
      </text>
    </comment>
    <comment ref="F699" authorId="0" shapeId="0">
      <text>
        <r>
          <rPr>
            <sz val="10"/>
            <color rgb="FF000000"/>
            <rFont val="Arial"/>
          </rPr>
          <t>"Beans, common dry varieties, San Joaquin Valley North, CA, USA" 
= 0.43 kgCO2e/lb
"Beans, dry beans, South-central ID, USA"
=0.36 kgCO2e/lb
1lb = 453.592g
CleanMetrics. (2020).  Food Carbon Emissions Calculator. http://www.foodemissions.com/Calculator.</t>
        </r>
      </text>
    </comment>
    <comment ref="A700" authorId="0" shapeId="0">
      <text>
        <r>
          <rPr>
            <sz val="10"/>
            <color rgb="FF000000"/>
            <rFont val="Arial"/>
          </rPr>
          <t>NDB# 16015 ; Beans, black, mature seeds, cooked, boiled, without salt; BOILED, UNSALTED BLACK BEANS</t>
        </r>
      </text>
    </comment>
    <comment ref="B700" authorId="0" shapeId="0">
      <text>
        <r>
          <rPr>
            <sz val="10"/>
            <color rgb="FF000000"/>
            <rFont val="Arial"/>
          </rPr>
          <t>NDB# 16015: Beans, black, mature seeds, cooked, boiled, without salt
USDA, (2019). ." FoodData Central. U.S. Department of Agriculture. Available at
https://fdc.nal.usda.gov/fdc-app.html#/food-details/173735/nutrients</t>
        </r>
      </text>
    </comment>
    <comment ref="A701" authorId="0" shapeId="0">
      <text>
        <r>
          <rPr>
            <sz val="10"/>
            <color rgb="FF000000"/>
            <rFont val="Arial"/>
          </rPr>
          <t>NDB# 16033; Beans, kidney, red, mature seeds, cooked, boiled, without salt; BOILED, UNSALTED, RED KIDNEY BEANS</t>
        </r>
      </text>
    </comment>
    <comment ref="B701" authorId="0" shapeId="0">
      <text>
        <r>
          <rPr>
            <sz val="10"/>
            <color rgb="FF000000"/>
            <rFont val="Arial"/>
          </rPr>
          <t>NDB# 16033: Beans, kidney, red, mature seeds, cooked, boiled, without salt
USDA, (2019). FoodData Central. U.S. Department of Agriculture. Available at
https://fdc.nal.usda.gov/fdc-app.html#/food-details/175194/nutrients</t>
        </r>
      </text>
    </comment>
    <comment ref="A702" authorId="0" shapeId="0">
      <text>
        <r>
          <rPr>
            <sz val="10"/>
            <color rgb="FF000000"/>
            <rFont val="Arial"/>
          </rPr>
          <t>NDB# 11032, BOILED, DRAINED, UNSALTED LIMA BEAN</t>
        </r>
      </text>
    </comment>
    <comment ref="B702" authorId="0" shapeId="0">
      <text>
        <r>
          <rPr>
            <sz val="10"/>
            <color rgb="FF000000"/>
            <rFont val="Arial"/>
          </rPr>
          <t>NDB# 11032: Lima beans, immature seeds, cooked, boiled, drained, without salt
USDA, (2019). FoodData Central. U.S. Department of Agriculture. Available at
https://fdc.nal.usda.gov/fdc-app.html#/food-details/169135/nutrients</t>
        </r>
      </text>
    </comment>
    <comment ref="A703" authorId="0" shapeId="0">
      <text>
        <r>
          <rPr>
            <sz val="10"/>
            <color rgb="FF000000"/>
            <rFont val="Arial"/>
          </rPr>
          <t>NDB# 16039 ; Beans, navy, mature seeds, canned; CANNED NAVY BEANS</t>
        </r>
      </text>
    </comment>
    <comment ref="B703" authorId="0" shapeId="0">
      <text>
        <r>
          <rPr>
            <sz val="10"/>
            <color rgb="FF000000"/>
            <rFont val="Arial"/>
          </rPr>
          <t>NDB# 16039: Beans, navy, mature seeds, canned
USDA, (2019). FoodData Central. U.S. Department of Agriculture. Available at
https://fdc.nal.usda.gov/fdc-app.html#/food-details/173747/nutrients</t>
        </r>
      </text>
    </comment>
    <comment ref="B713"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14" authorId="0" shapeId="0">
      <text>
        <r>
          <rPr>
            <sz val="10"/>
            <color rgb="FF000000"/>
            <rFont val="Arial"/>
          </rPr>
          <t>FFQ item: hamb11d; NDB# 23578, Beef, ground, 75% lean meat / 25% fat, patty, cooked, broiled</t>
        </r>
      </text>
    </comment>
    <comment ref="D714" authorId="0" shapeId="0">
      <text>
        <r>
          <rPr>
            <sz val="10"/>
            <color rgb="FF000000"/>
            <rFont val="Arial"/>
          </rPr>
          <t>NDB# 23577
"Beef, ground, 75% lean meat / 25% fat, raw"</t>
        </r>
      </text>
    </comment>
    <comment ref="E714" authorId="0" shapeId="0">
      <text>
        <r>
          <rPr>
            <sz val="10"/>
            <color rgb="FF000000"/>
            <rFont val="Arial"/>
          </rPr>
          <t>NDB#: 13497
"Beef, ground, high fat (&gt;22%), patty;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4"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4"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4"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4" authorId="0" shapeId="0">
      <text>
        <r>
          <rPr>
            <sz val="10"/>
            <color rgb="FF000000"/>
            <rFont val="Arial"/>
          </rPr>
          <t>x (.001m^3/1L)</t>
        </r>
      </text>
    </comment>
    <comment ref="M714" authorId="0" shapeId="0">
      <text>
        <r>
          <rPr>
            <sz val="10"/>
            <color rgb="FF000000"/>
            <rFont val="Arial"/>
          </rPr>
          <t>"Beef Meat, ration-fed; NE, USA"
=8 kgCO2e/lb
CleanMetrics. (2020).  Food Carbon Emissions Calculator. http://www.foodemissions.com/Calculator.</t>
        </r>
      </text>
    </comment>
    <comment ref="N714" authorId="0" shapeId="0">
      <text>
        <r>
          <rPr>
            <sz val="10"/>
            <color rgb="FF000000"/>
            <rFont val="Arial"/>
          </rPr>
          <t>1lb = 453.592g</t>
        </r>
      </text>
    </comment>
    <comment ref="P714" authorId="0" shapeId="0">
      <text>
        <r>
          <rPr>
            <sz val="10"/>
            <color rgb="FF000000"/>
            <rFont val="Arial"/>
          </rPr>
          <t>raw: https://fdc.nal.usda.gov/fdc-app.html#/food-details/1098212/nutrients</t>
        </r>
      </text>
    </comment>
    <comment ref="Q714" authorId="0" shapeId="0">
      <text>
        <r>
          <rPr>
            <sz val="10"/>
            <color rgb="FF000000"/>
            <rFont val="Arial"/>
          </rPr>
          <t>raw: https://fdc.nal.usda.gov/fdc-app.html#/food-details/1098212/nutrients
cooked: https://fdc.nal.usda.gov/fdc-app.html#/food-details/1098213/nutrients</t>
        </r>
      </text>
    </comment>
    <comment ref="A715" authorId="0" shapeId="0">
      <text>
        <r>
          <rPr>
            <sz val="10"/>
            <color rgb="FF000000"/>
            <rFont val="Arial"/>
          </rPr>
          <t>FFQ item: hamb11d; NDB# 23573, Beef, ground, 80% lean meat / 20% fat, patty, cooked, broiled</t>
        </r>
      </text>
    </comment>
    <comment ref="D715" authorId="0" shapeId="0">
      <text>
        <r>
          <rPr>
            <sz val="10"/>
            <color rgb="FF000000"/>
            <rFont val="Arial"/>
          </rPr>
          <t>NDB# 23572
"Beef, ground, 80% lean meat / 20% fat, raw"</t>
        </r>
      </text>
    </comment>
    <comment ref="E715" authorId="0" shapeId="0">
      <text>
        <r>
          <rPr>
            <sz val="10"/>
            <color rgb="FF000000"/>
            <rFont val="Arial"/>
          </rPr>
          <t>NDB# 23573 "Beef, ground, medium fat (12%-22%), patty;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5"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5"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5"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5" authorId="0" shapeId="0">
      <text>
        <r>
          <rPr>
            <sz val="10"/>
            <color rgb="FF000000"/>
            <rFont val="Arial"/>
          </rPr>
          <t>x (.001m^3/1L)</t>
        </r>
      </text>
    </comment>
    <comment ref="M715" authorId="0" shapeId="0">
      <text>
        <r>
          <rPr>
            <sz val="10"/>
            <color rgb="FF000000"/>
            <rFont val="Arial"/>
          </rPr>
          <t>"Beef Meat, ration-fed; NE, USA"
=8 kgCO2e/lb
CleanMetrics. (2020).  Food Carbon Emissions Calculator. http://www.foodemissions.com/Calculator.</t>
        </r>
      </text>
    </comment>
    <comment ref="N715" authorId="0" shapeId="0">
      <text>
        <r>
          <rPr>
            <sz val="10"/>
            <color rgb="FF000000"/>
            <rFont val="Arial"/>
          </rPr>
          <t>1lb = 453.592g</t>
        </r>
      </text>
    </comment>
    <comment ref="A716" authorId="0" shapeId="0">
      <text>
        <r>
          <rPr>
            <sz val="10"/>
            <color rgb="FF000000"/>
            <rFont val="Arial"/>
          </rPr>
          <t>bmain:
FFQ item: bmain11d; NDB#13910, Beef, loin, top loin, separable lean and fat, trimmed to 1/8" fat, all grades, cooked, grilled
beef.wic: 
beef ("broiled top sirloin" - Laura Samson 9/11/17)</t>
        </r>
      </text>
    </comment>
    <comment ref="D716" authorId="0" shapeId="0">
      <text>
        <r>
          <rPr>
            <sz val="10"/>
            <color rgb="FF000000"/>
            <rFont val="Arial"/>
          </rPr>
          <t>NDB# 23388
"Beef, loin, top loin steak, boneless, lip-on, separable lean and fat, trimmed to 1/8" fat, all grades, raw"</t>
        </r>
      </text>
    </comment>
    <comment ref="E716" authorId="0" shapeId="0">
      <text>
        <r>
          <rPr>
            <sz val="10"/>
            <color rgb="FF000000"/>
            <rFont val="Arial"/>
          </rPr>
          <t>NDB# 13930 "Beef, top sirloin, steak, separable lean and fat, trimmed to 1/8" fat, all grades';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6"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6"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6"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6" authorId="0" shapeId="0">
      <text>
        <r>
          <rPr>
            <sz val="10"/>
            <color rgb="FF000000"/>
            <rFont val="Arial"/>
          </rPr>
          <t>x (.001m^3/1L)</t>
        </r>
      </text>
    </comment>
    <comment ref="M716" authorId="0" shapeId="0">
      <text>
        <r>
          <rPr>
            <sz val="10"/>
            <color rgb="FF000000"/>
            <rFont val="Arial"/>
          </rPr>
          <t>"Beef Meat, ration-fed; NE, USA"
=8 kgCO2e/lb
CleanMetrics. (2020).  Food Carbon Emissions Calculator. http://www.foodemissions.com/Calculator.</t>
        </r>
      </text>
    </comment>
    <comment ref="N716" authorId="0" shapeId="0">
      <text>
        <r>
          <rPr>
            <sz val="10"/>
            <color rgb="FF000000"/>
            <rFont val="Arial"/>
          </rPr>
          <t>1lb = 453.592g</t>
        </r>
      </text>
    </comment>
    <comment ref="A717" authorId="0" shapeId="0">
      <text>
        <r>
          <rPr>
            <sz val="10"/>
            <color rgb="FF000000"/>
            <rFont val="Arial"/>
          </rPr>
          <t>FFQ item: pmsan11d , NDB# 7008, BEEF AND PORK BOLOGNA</t>
        </r>
      </text>
    </comment>
    <comment ref="D717" authorId="0" shapeId="0">
      <text>
        <r>
          <rPr>
            <sz val="10"/>
            <color rgb="FF000000"/>
            <rFont val="Arial"/>
          </rPr>
          <t>NDB# 23577
"Beef, ground, 75% lean meat / 25% fat, raw"</t>
        </r>
      </text>
    </comment>
    <comment ref="E717" authorId="0" shapeId="0">
      <text>
        <r>
          <rPr>
            <sz val="10"/>
            <color rgb="FF000000"/>
            <rFont val="Arial"/>
          </rPr>
          <t>NDB#: 13497
"Beef, ground, high fat (&gt;22%), patty;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7"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7"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7"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7" authorId="0" shapeId="0">
      <text>
        <r>
          <rPr>
            <sz val="10"/>
            <color rgb="FF000000"/>
            <rFont val="Arial"/>
          </rPr>
          <t>x (.001m^3/1L)</t>
        </r>
      </text>
    </comment>
    <comment ref="M717" authorId="0" shapeId="0">
      <text>
        <r>
          <rPr>
            <sz val="10"/>
            <color rgb="FF000000"/>
            <rFont val="Arial"/>
          </rPr>
          <t>"Beef Meat, ration-fed; NE, USA"
=8 kgCO2e/lb
CleanMetrics. (2020).  Food Carbon Emissions Calculator. http://www.foodemissions.com/Calculator.</t>
        </r>
      </text>
    </comment>
    <comment ref="N717" authorId="0" shapeId="0">
      <text>
        <r>
          <rPr>
            <sz val="10"/>
            <color rgb="FF000000"/>
            <rFont val="Arial"/>
          </rPr>
          <t>1lb = 453.592g</t>
        </r>
      </text>
    </comment>
    <comment ref="A718" authorId="0" shapeId="0">
      <text>
        <r>
          <rPr>
            <sz val="10"/>
            <color rgb="FF000000"/>
            <rFont val="Arial"/>
          </rPr>
          <t>FFQ item: procm11d; NDB # 07065, Pork and beef sausage, fresh, cooked</t>
        </r>
      </text>
    </comment>
    <comment ref="D718" authorId="0" shapeId="0">
      <text>
        <r>
          <rPr>
            <sz val="10"/>
            <color rgb="FF000000"/>
            <rFont val="Arial"/>
          </rPr>
          <t>NDB# 23577
"Beef, ground, 75% lean meat / 25% fat, raw"</t>
        </r>
      </text>
    </comment>
    <comment ref="E718" authorId="0" shapeId="0">
      <text>
        <r>
          <rPr>
            <sz val="10"/>
            <color rgb="FF000000"/>
            <rFont val="Arial"/>
          </rPr>
          <t>NDB#: 13497
"Beef, ground, high fat (&gt;22%), patty;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8"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8"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8"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8" authorId="0" shapeId="0">
      <text>
        <r>
          <rPr>
            <sz val="10"/>
            <color rgb="FF000000"/>
            <rFont val="Arial"/>
          </rPr>
          <t>x (.001m^3/1L)</t>
        </r>
      </text>
    </comment>
    <comment ref="M718" authorId="0" shapeId="0">
      <text>
        <r>
          <rPr>
            <sz val="10"/>
            <color rgb="FF000000"/>
            <rFont val="Arial"/>
          </rPr>
          <t>"Beef Meat, ration-fed; NE, USA"
=8 kgCO2e/lb
CleanMetrics. (2020).  Food Carbon Emissions Calculator. http://www.foodemissions.com/Calculator.</t>
        </r>
      </text>
    </comment>
    <comment ref="N718" authorId="0" shapeId="0">
      <text>
        <r>
          <rPr>
            <sz val="10"/>
            <color rgb="FF000000"/>
            <rFont val="Arial"/>
          </rPr>
          <t>1lb = 453.592g</t>
        </r>
      </text>
    </comment>
    <comment ref="A719" authorId="0" shapeId="0">
      <text>
        <r>
          <rPr>
            <sz val="10"/>
            <color rgb="FF000000"/>
            <rFont val="Arial"/>
          </rPr>
          <t>hamb11d; NDB# 23573, Beef, ground, 80% lean meat / 20% fat, patty, cooked, broiled</t>
        </r>
      </text>
    </comment>
    <comment ref="D719" authorId="0" shapeId="0">
      <text>
        <r>
          <rPr>
            <sz val="10"/>
            <color rgb="FF000000"/>
            <rFont val="Arial"/>
          </rPr>
          <t>NDB# 23572
"Beef, ground, 80% lean meat / 20% fat, raw"</t>
        </r>
      </text>
    </comment>
    <comment ref="E719" authorId="0" shapeId="0">
      <text>
        <r>
          <rPr>
            <sz val="10"/>
            <color rgb="FF000000"/>
            <rFont val="Arial"/>
          </rPr>
          <t>NDB# 23573 "Beef, ground, medium fat (12%-22%), patty; Broiled or Grilled"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19"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19"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19"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19" authorId="0" shapeId="0">
      <text>
        <r>
          <rPr>
            <sz val="10"/>
            <color rgb="FF000000"/>
            <rFont val="Arial"/>
          </rPr>
          <t>x (.001m^3/1L)</t>
        </r>
      </text>
    </comment>
    <comment ref="M719" authorId="0" shapeId="0">
      <text>
        <r>
          <rPr>
            <sz val="10"/>
            <color rgb="FF000000"/>
            <rFont val="Arial"/>
          </rPr>
          <t>"Beef Meat, ration-fed; NE, USA"
=8 kgCO2e/lb
CleanMetrics. (2020).  Food Carbon Emissions Calculator. http://www.foodemissions.com/Calculator.</t>
        </r>
      </text>
    </comment>
    <comment ref="N719" authorId="0" shapeId="0">
      <text>
        <r>
          <rPr>
            <sz val="10"/>
            <color rgb="FF000000"/>
            <rFont val="Arial"/>
          </rPr>
          <t>1lb = 453.592g</t>
        </r>
      </text>
    </comment>
    <comment ref="A720" authorId="0" shapeId="0">
      <text>
        <r>
          <rPr>
            <sz val="10"/>
            <color rgb="FF000000"/>
            <rFont val="Arial"/>
          </rPr>
          <t>FFQ item: livb11d. NDB# 13327; PAN FRIED BEEF LIVER</t>
        </r>
      </text>
    </comment>
    <comment ref="D720" authorId="0" shapeId="0">
      <text>
        <r>
          <rPr>
            <sz val="10"/>
            <color rgb="FF000000"/>
            <rFont val="Arial"/>
          </rPr>
          <t>NDB# 13325
"Beef, variety meats and by-products, liver, raw"</t>
        </r>
      </text>
    </comment>
    <comment ref="E720" authorId="0" shapeId="0">
      <text>
        <r>
          <rPr>
            <sz val="10"/>
            <color rgb="FF000000"/>
            <rFont val="Arial"/>
          </rPr>
          <t>NDB# 13327:
"Beef, variety meats and by-products, liver; Fried in pan, Sauteed, or stir-fried"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20"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I720" authorId="0" shapeId="0">
      <text>
        <r>
          <rPr>
            <sz val="10"/>
            <color rgb="FF000000"/>
            <rFont val="Arial"/>
          </rPr>
          <t>"Download Dataset_S01" of http://www.pnas.org/content/111/33/11996#abstract-2
"beef" values
Supplementary dataset from
Eshel, G., Shepon, A., Makov, T., &amp; Milo, R. (2015). Partitioning United States' feed consumption among livestock categories for improved environmental cost assessments. The Journal of Agricultural Science, 153(3), 432-445.</t>
        </r>
      </text>
    </comment>
    <comment ref="K720"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20" authorId="0" shapeId="0">
      <text>
        <r>
          <rPr>
            <sz val="10"/>
            <color rgb="FF000000"/>
            <rFont val="Arial"/>
          </rPr>
          <t>x (.001m^3/1L)</t>
        </r>
      </text>
    </comment>
    <comment ref="M720" authorId="0" shapeId="0">
      <text>
        <r>
          <rPr>
            <sz val="10"/>
            <color rgb="FF000000"/>
            <rFont val="Arial"/>
          </rPr>
          <t>"Beef Meat, ration-fed; NE, USA"
=8 kgCO2e/lb
CleanMetrics. (2020).  Food Carbon Emissions Calculator. http://www.foodemissions.com/Calculator.</t>
        </r>
      </text>
    </comment>
    <comment ref="N720" authorId="0" shapeId="0">
      <text>
        <r>
          <rPr>
            <sz val="10"/>
            <color rgb="FF000000"/>
            <rFont val="Arial"/>
          </rPr>
          <t>1lb = 453.592g</t>
        </r>
      </text>
    </comment>
    <comment ref="P721" authorId="0" shapeId="0">
      <text>
        <r>
          <rPr>
            <sz val="10"/>
            <color rgb="FF000000"/>
            <rFont val="Arial"/>
          </rPr>
          <t>raw: https://fdc.nal.usda.gov/fdc-app.html#/food-details/171505/nutrients</t>
        </r>
      </text>
    </comment>
    <comment ref="Q721" authorId="0" shapeId="0">
      <text>
        <r>
          <rPr>
            <sz val="10"/>
            <color rgb="FF000000"/>
            <rFont val="Arial"/>
          </rPr>
          <t>raw: https://fdc.nal.usda.gov/fdc-app.html#/food-details/171505/nutrients
cooked:
https://fdc.nal.usda.gov/fdc-app.html#/food-details/171506/nutrients</t>
        </r>
      </text>
    </comment>
    <comment ref="A722" authorId="0" shapeId="0">
      <text>
        <r>
          <rPr>
            <sz val="10"/>
            <color rgb="FF000000"/>
            <rFont val="Arial"/>
          </rPr>
          <t>FFQ item: hamb11d; NDB# 23578, Beef, ground, 75% lean meat / 25% fat, patty, cooked, broiled</t>
        </r>
      </text>
    </comment>
    <comment ref="A723" authorId="0" shapeId="0">
      <text>
        <r>
          <rPr>
            <sz val="10"/>
            <color rgb="FF000000"/>
            <rFont val="Arial"/>
          </rPr>
          <t>FFQ item: hamb11d; NDB# 23573, Beef, ground, 80% lean meat / 20% fat, patty, cooked, broiled</t>
        </r>
      </text>
    </comment>
    <comment ref="A724" authorId="0" shapeId="0">
      <text>
        <r>
          <rPr>
            <sz val="10"/>
            <color rgb="FF000000"/>
            <rFont val="Arial"/>
          </rPr>
          <t>bmain:
FFQ item: bmain11d; NDB#13910, Beef, loin, top loin, separable lean and fat, trimmed to 1/8" fat, all grades, cooked, grilled
beef.wic: 
beef ("broiled top sirloin" - Laura Samson 9/11/17)</t>
        </r>
      </text>
    </comment>
    <comment ref="A725" authorId="0" shapeId="0">
      <text>
        <r>
          <rPr>
            <sz val="10"/>
            <color rgb="FF000000"/>
            <rFont val="Arial"/>
          </rPr>
          <t>FFQ item: pmsan11d , NDB# 7008, BEEF AND PORK BOLOGNA</t>
        </r>
      </text>
    </comment>
    <comment ref="A726" authorId="0" shapeId="0">
      <text>
        <r>
          <rPr>
            <sz val="10"/>
            <color rgb="FF000000"/>
            <rFont val="Arial"/>
          </rPr>
          <t>FFQ item: procm11d; NDB # 07065, Pork and beef sausage, fresh, cooked</t>
        </r>
      </text>
    </comment>
    <comment ref="A727" authorId="0" shapeId="0">
      <text>
        <r>
          <rPr>
            <sz val="10"/>
            <color rgb="FF000000"/>
            <rFont val="Arial"/>
          </rPr>
          <t>hamb11d; NDB# 23573, Beef, ground, 80% lean meat / 20% fat, patty, cooked, broiled</t>
        </r>
      </text>
    </comment>
    <comment ref="A728" authorId="0" shapeId="0">
      <text>
        <r>
          <rPr>
            <sz val="10"/>
            <color rgb="FF000000"/>
            <rFont val="Arial"/>
          </rPr>
          <t>hamb11d; NDB# 23573, Beef, ground, 80% lean meat / 20% fat, patty, cooked, broiled</t>
        </r>
      </text>
    </comment>
    <comment ref="B741"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42" authorId="0" shapeId="0">
      <text>
        <r>
          <rPr>
            <sz val="10"/>
            <color rgb="FF000000"/>
            <rFont val="Arial"/>
          </rPr>
          <t>FFQ item: chwo11d , NDB# 5013, ROASTED CHICKEN MEAT, Chicken, broilers or fryers, meat only, roasted</t>
        </r>
      </text>
    </comment>
    <comment ref="D742" authorId="0" shapeId="0">
      <text>
        <r>
          <rPr>
            <sz val="10"/>
            <color rgb="FF000000"/>
            <rFont val="Arial"/>
          </rPr>
          <t>NDB# 5001
"Chicken, broilers or fryers, meat and skin and giblets and neck, raw"</t>
        </r>
      </text>
    </comment>
    <comment ref="E742" authorId="0" shapeId="0">
      <text>
        <r>
          <rPr>
            <sz val="10"/>
            <color rgb="FF000000"/>
            <rFont val="Arial"/>
          </rPr>
          <t>Average of:
61% = Chicken, broiler-fryer, back, full; Baked or Roasted, unspecified
72% = Chicken, broiler-fryer, breast, full; Baked or Roasted, unspecified
76% = Chicken, broiler-fryer, drumstick, full; Baked or Roasted, unspecified
69% = Chicken, broiler-fryer, thigh, full; Baked or Roasted, unspecified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42"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42" authorId="0" shapeId="0">
      <text>
        <r>
          <rPr>
            <sz val="10"/>
            <color rgb="FF000000"/>
            <rFont val="Arial"/>
          </rPr>
          <t>x (.001m^3/1L)</t>
        </r>
      </text>
    </comment>
    <comment ref="M742" authorId="0" shapeId="0">
      <text>
        <r>
          <rPr>
            <sz val="10"/>
            <color rgb="FF000000"/>
            <rFont val="Arial"/>
          </rPr>
          <t>"Chicken Meat (broiler), large-scale, confinement; BC, Canada"
=1.7 kgCO2e/lb
CleanMetrics. (2020).  Food Carbon Emissions Calculator. http://www.foodemissions.com/Calculator.</t>
        </r>
      </text>
    </comment>
    <comment ref="N742" authorId="0" shapeId="0">
      <text>
        <r>
          <rPr>
            <sz val="10"/>
            <color rgb="FF000000"/>
            <rFont val="Arial"/>
          </rPr>
          <t>1lb = 453.592g</t>
        </r>
      </text>
    </comment>
    <comment ref="A743" authorId="0" shapeId="0">
      <text>
        <r>
          <rPr>
            <sz val="10"/>
            <color rgb="FF000000"/>
            <rFont val="Arial"/>
          </rPr>
          <t>FFQ item:chwi11d, NDB# 5009, ROASTED CHICKEN (MEAT &amp; SKIN); Chicken, broilers or fryers, meat and skin, cooked, roasted</t>
        </r>
      </text>
    </comment>
    <comment ref="D743" authorId="0" shapeId="0">
      <text>
        <r>
          <rPr>
            <sz val="10"/>
            <color rgb="FF000000"/>
            <rFont val="Arial"/>
          </rPr>
          <t>NDB# 5001
"Chicken, broilers or fryers, meat and skin and giblets and neck, raw"</t>
        </r>
      </text>
    </comment>
    <comment ref="E743" authorId="0" shapeId="0">
      <text>
        <r>
          <rPr>
            <sz val="10"/>
            <color rgb="FF000000"/>
            <rFont val="Arial"/>
          </rPr>
          <t>Average of:
61% = Chicken, broiler-fryer, back, full; Baked or Roasted, unspecified
72% = Chicken, broiler-fryer, breast, full; Baked or Roasted, unspecified
76% = Chicken, broiler-fryer, drumstick, full; Baked or Roasted, unspecified
69% = Chicken, broiler-fryer, thigh, full; Baked or Roasted, unspecified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43"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43" authorId="0" shapeId="0">
      <text>
        <r>
          <rPr>
            <sz val="10"/>
            <color rgb="FF000000"/>
            <rFont val="Arial"/>
          </rPr>
          <t>x (.001m^3/1L)</t>
        </r>
      </text>
    </comment>
    <comment ref="M743" authorId="0" shapeId="0">
      <text>
        <r>
          <rPr>
            <sz val="10"/>
            <color rgb="FF000000"/>
            <rFont val="Arial"/>
          </rPr>
          <t>"Chicken Meat (broiler), large-scale, confinement; BC, Canada"
=1.7 kgCO2e/lb
CleanMetrics. (2020).  Food Carbon Emissions Calculator. http://www.foodemissions.com/Calculator.</t>
        </r>
      </text>
    </comment>
    <comment ref="N743" authorId="0" shapeId="0">
      <text>
        <r>
          <rPr>
            <sz val="10"/>
            <color rgb="FF000000"/>
            <rFont val="Arial"/>
          </rPr>
          <t>1lb = 453.592g</t>
        </r>
      </text>
    </comment>
    <comment ref="A744" authorId="0" shapeId="0">
      <text>
        <r>
          <rPr>
            <sz val="10"/>
            <color rgb="FF000000"/>
            <rFont val="Arial"/>
          </rPr>
          <t>NDB# 04542: Fat, chicken</t>
        </r>
      </text>
    </comment>
    <comment ref="D744" authorId="0" shapeId="0">
      <text>
        <r>
          <rPr>
            <sz val="10"/>
            <color rgb="FF000000"/>
            <rFont val="Arial"/>
          </rPr>
          <t>NDB# 5001
"Chicken, broilers or fryers, meat and skin and giblets and neck, raw"</t>
        </r>
      </text>
    </comment>
    <comment ref="E744" authorId="0" shapeId="0">
      <text>
        <r>
          <rPr>
            <sz val="10"/>
            <color rgb="FF000000"/>
            <rFont val="Arial"/>
          </rPr>
          <t>Average of:
61% = Chicken, broiler-fryer, back, full; Baked or Roasted, unspecified
72% = Chicken, broiler-fryer, breast, full; Baked or Roasted, unspecified
76% = Chicken, broiler-fryer, drumstick, full; Baked or Roasted, unspecified
69% = Chicken, broiler-fryer, thigh, full; Baked or Roasted, unspecified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44"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44" authorId="0" shapeId="0">
      <text>
        <r>
          <rPr>
            <sz val="10"/>
            <color rgb="FF000000"/>
            <rFont val="Arial"/>
          </rPr>
          <t>x (.001m^3/1L)</t>
        </r>
      </text>
    </comment>
    <comment ref="M744" authorId="0" shapeId="0">
      <text>
        <r>
          <rPr>
            <sz val="10"/>
            <color rgb="FF000000"/>
            <rFont val="Arial"/>
          </rPr>
          <t>"Chicken Meat (broiler), large-scale, confinement; BC, Canada"
=1.7 kgCO2e/lb
CleanMetrics. (2020).  Food Carbon Emissions Calculator. http://www.foodemissions.com/Calculator.</t>
        </r>
      </text>
    </comment>
    <comment ref="N744" authorId="0" shapeId="0">
      <text>
        <r>
          <rPr>
            <sz val="10"/>
            <color rgb="FF000000"/>
            <rFont val="Arial"/>
          </rPr>
          <t>1lb = 453.592g</t>
        </r>
      </text>
    </comment>
    <comment ref="A745" authorId="0" shapeId="0">
      <text>
        <r>
          <rPr>
            <sz val="10"/>
            <color rgb="FF000000"/>
            <rFont val="Arial"/>
          </rPr>
          <t>FFQ item: livc11d, NDB# 5028; SIMMERED CHICKEN LIVER</t>
        </r>
      </text>
    </comment>
    <comment ref="D745" authorId="0" shapeId="0">
      <text>
        <r>
          <rPr>
            <sz val="10"/>
            <color rgb="FF000000"/>
            <rFont val="Arial"/>
          </rPr>
          <t>NDB# 5001
"Chicken, broilers or fryers, meat and skin and giblets and neck, raw"</t>
        </r>
      </text>
    </comment>
    <comment ref="E745" authorId="0" shapeId="0">
      <text>
        <r>
          <rPr>
            <sz val="10"/>
            <color rgb="FF000000"/>
            <rFont val="Arial"/>
          </rPr>
          <t>NDB# 5661
62% = Chicken, liver, all classes; Fried in pan, Sautéed, or Stir-fried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45"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45" authorId="0" shapeId="0">
      <text>
        <r>
          <rPr>
            <sz val="10"/>
            <color rgb="FF000000"/>
            <rFont val="Arial"/>
          </rPr>
          <t>x (.001m^3/1L)</t>
        </r>
      </text>
    </comment>
    <comment ref="M745" authorId="0" shapeId="0">
      <text>
        <r>
          <rPr>
            <sz val="10"/>
            <color rgb="FF000000"/>
            <rFont val="Arial"/>
          </rPr>
          <t>"Chicken Meat (broiler), large-scale, confinement; BC, Canada"
=1.7 kgCO2e/lb
CleanMetrics. (2020).  Food Carbon Emissions Calculator. http://www.foodemissions.com/Calculator.</t>
        </r>
      </text>
    </comment>
    <comment ref="N745" authorId="0" shapeId="0">
      <text>
        <r>
          <rPr>
            <sz val="10"/>
            <color rgb="FF000000"/>
            <rFont val="Arial"/>
          </rPr>
          <t>1lb = 453.592g</t>
        </r>
      </text>
    </comment>
    <comment ref="B757"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58" authorId="0" shapeId="0">
      <text>
        <r>
          <rPr>
            <sz val="10"/>
            <color rgb="FF000000"/>
            <rFont val="Arial"/>
          </rPr>
          <t>FFQ item: pmain11d, NDB# 10046, BROILED BONE IN PORK,LOIN/CHOPS,MEAT&amp;FAT; Pork, fresh, loin, center rib (chops), bone-in, separable lean and fat, cooked, broiled</t>
        </r>
      </text>
    </comment>
    <comment ref="D758" authorId="0" shapeId="0">
      <text>
        <r>
          <rPr>
            <sz val="10"/>
            <color rgb="FF000000"/>
            <rFont val="Arial"/>
          </rPr>
          <t>NDB# 10194
"Pork, fresh, loin, center rib (chops or roasts), boneless, separable lean and fat, raw"</t>
        </r>
      </text>
    </comment>
    <comment ref="E758" authorId="0" shapeId="0">
      <text>
        <r>
          <rPr>
            <sz val="10"/>
            <color rgb="FF000000"/>
            <rFont val="Arial"/>
          </rPr>
          <t>77% = Pork, fresh, loin, center rib (chops), bone-in, separable lean and fat
10045 = Braised
10180 = Pan-Fried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58"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I758"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K758"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58" authorId="0" shapeId="0">
      <text>
        <r>
          <rPr>
            <sz val="10"/>
            <color rgb="FF000000"/>
            <rFont val="Arial"/>
          </rPr>
          <t>x (.001m^3/1L)</t>
        </r>
      </text>
    </comment>
    <comment ref="M758" authorId="0" shapeId="0">
      <text>
        <r>
          <rPr>
            <sz val="10"/>
            <color rgb="FF000000"/>
            <rFont val="Arial"/>
          </rPr>
          <t>"Pork Meat, full confinement; IA, USA"
=2.48 kgCO2e/lb
CleanMetrics. (2020).  Food Carbon Emissions Calculator. http://www.foodemissions.com/Calculator.</t>
        </r>
      </text>
    </comment>
    <comment ref="N758" authorId="0" shapeId="0">
      <text>
        <r>
          <rPr>
            <sz val="10"/>
            <color rgb="FF000000"/>
            <rFont val="Arial"/>
          </rPr>
          <t>1lb = 453.592g</t>
        </r>
      </text>
    </comment>
    <comment ref="A759" authorId="0" shapeId="0">
      <text>
        <r>
          <rPr>
            <sz val="10"/>
            <color rgb="FF000000"/>
            <rFont val="Arial"/>
          </rPr>
          <t>FFQ item: pmsan11d , NDB# 7008, BEEF AND PORK BOLOGNA
FFQ item: procm11d; NDB # 07065, Pork and beef sausage, fresh, cooked</t>
        </r>
      </text>
    </comment>
    <comment ref="D759" authorId="0" shapeId="0">
      <text>
        <r>
          <rPr>
            <sz val="10"/>
            <color rgb="FF000000"/>
            <rFont val="Arial"/>
          </rPr>
          <t>NDB# 10219
"Pork, fresh, ground, raw"</t>
        </r>
      </text>
    </comment>
    <comment ref="E759" authorId="0" shapeId="0">
      <text>
        <r>
          <rPr>
            <sz val="10"/>
            <color rgb="FF000000"/>
            <rFont val="Arial"/>
          </rPr>
          <t>68% = Pork, ground, patty, medium fat (10%-27%), Broiled or Grilled (NDB # 10978)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59"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I759"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K759"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59" authorId="0" shapeId="0">
      <text>
        <r>
          <rPr>
            <sz val="10"/>
            <color rgb="FF000000"/>
            <rFont val="Arial"/>
          </rPr>
          <t>x (.001m^3/1L)</t>
        </r>
      </text>
    </comment>
    <comment ref="M759" authorId="0" shapeId="0">
      <text>
        <r>
          <rPr>
            <sz val="10"/>
            <color rgb="FF000000"/>
            <rFont val="Arial"/>
          </rPr>
          <t>"Pork Meat, full confinement; IA, USA"
=2.48 kgCO2e/lb
CleanMetrics. (2020).  Food Carbon Emissions Calculator. http://www.foodemissions.com/Calculator.</t>
        </r>
      </text>
    </comment>
    <comment ref="N759" authorId="0" shapeId="0">
      <text>
        <r>
          <rPr>
            <sz val="10"/>
            <color rgb="FF000000"/>
            <rFont val="Arial"/>
          </rPr>
          <t>1lb = 453.592g</t>
        </r>
      </text>
    </comment>
    <comment ref="B760"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61" authorId="0" shapeId="0">
      <text>
        <r>
          <rPr>
            <sz val="10"/>
            <color rgb="FF000000"/>
            <rFont val="Arial"/>
          </rPr>
          <t xml:space="preserve"> NDB# 10184, CANNED HAM; Pork, cured, ham, extra lean and regular, canned, unheated</t>
        </r>
      </text>
    </comment>
    <comment ref="D761" authorId="0" shapeId="0">
      <text>
        <r>
          <rPr>
            <sz val="10"/>
            <color rgb="FF000000"/>
            <rFont val="Arial"/>
          </rPr>
          <t>NDB# 13330
"Pork, fresh, carcass, separable lean and fat, raw"</t>
        </r>
      </text>
    </comment>
    <comment ref="E761" authorId="0" shapeId="0">
      <text>
        <r>
          <rPr>
            <sz val="10"/>
            <color rgb="FF000000"/>
            <rFont val="Arial"/>
          </rPr>
          <t>96% = Pork, cured, ham and water product, whole, boneless, separable lean only, Baked or Roasted, unspecified (NDB # 10871)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61"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I761"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K761"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61" authorId="0" shapeId="0">
      <text>
        <r>
          <rPr>
            <sz val="10"/>
            <color rgb="FF000000"/>
            <rFont val="Arial"/>
          </rPr>
          <t>x (.001m^3/1L)</t>
        </r>
      </text>
    </comment>
    <comment ref="M761" authorId="0" shapeId="0">
      <text>
        <r>
          <rPr>
            <sz val="10"/>
            <color rgb="FF000000"/>
            <rFont val="Arial"/>
          </rPr>
          <t>"Pork Meat, full confinement; IA, USA"
=2.48 kgCO2e/lb
CleanMetrics. (2020).  Food Carbon Emissions Calculator. http://www.foodemissions.com/Calculator.</t>
        </r>
      </text>
    </comment>
    <comment ref="N761" authorId="0" shapeId="0">
      <text>
        <r>
          <rPr>
            <sz val="10"/>
            <color rgb="FF000000"/>
            <rFont val="Arial"/>
          </rPr>
          <t>1lb = 453.592g</t>
        </r>
      </text>
    </comment>
    <comment ref="B762"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63" authorId="0" shapeId="0">
      <text>
        <r>
          <rPr>
            <sz val="10"/>
            <color rgb="FF000000"/>
            <rFont val="Arial"/>
          </rPr>
          <t>NDB# 10124; BROILED, PAN-FRIED, OR ROASTED BACON</t>
        </r>
      </text>
    </comment>
    <comment ref="D763" authorId="0" shapeId="0">
      <text>
        <r>
          <rPr>
            <sz val="10"/>
            <color rgb="FF000000"/>
            <rFont val="Arial"/>
          </rPr>
          <t>NDB# 13330
"Pork, fresh, carcass, separable lean and fat, raw"</t>
        </r>
      </text>
    </comment>
    <comment ref="E763" authorId="0" shapeId="0">
      <text>
        <r>
          <rPr>
            <sz val="10"/>
            <color rgb="FF000000"/>
            <rFont val="Arial"/>
          </rPr>
          <t>Average of :
32% = Pork, cured, bacon
Baked or Roasted, unspecified (NDB# 10860)
31% = Pork, cured, bacon
Fried in pan, Sauteed, or Stir-fried
(NDB# 10862)
29% = Pork, cured, bacon
Microwaved
(NDB# 10861)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63"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I763" authorId="0" shapeId="0">
      <text>
        <r>
          <rPr>
            <sz val="10"/>
            <color rgb="FF000000"/>
            <rFont val="Arial"/>
          </rPr>
          <t>"Download Dataset_S01" of http://www.pnas.org/content/111/33/11996#abstract-2
"pork" values
Supplementary dataset from
Eshel, G., Shepon, A., Makov, T., &amp; Milo, R. (2015). Partitioning United States' feed consumption among livestock categories for improved environmental cost assessments. The Journal of Agricultural Science, 153(3), 432-445.</t>
        </r>
      </text>
    </comment>
    <comment ref="K763"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63" authorId="0" shapeId="0">
      <text>
        <r>
          <rPr>
            <sz val="10"/>
            <color rgb="FF000000"/>
            <rFont val="Arial"/>
          </rPr>
          <t>x (.001m^3/1L)</t>
        </r>
      </text>
    </comment>
    <comment ref="M763" authorId="0" shapeId="0">
      <text>
        <r>
          <rPr>
            <sz val="10"/>
            <color rgb="FF000000"/>
            <rFont val="Arial"/>
          </rPr>
          <t>"Pork Meat, full confinement; IA, USA"
=2.48 kgCO2e/lb
CleanMetrics. (2020).  Food Carbon Emissions Calculator. http://www.foodemissions.com/Calculator.</t>
        </r>
      </text>
    </comment>
    <comment ref="N763" authorId="0" shapeId="0">
      <text>
        <r>
          <rPr>
            <sz val="10"/>
            <color rgb="FF000000"/>
            <rFont val="Arial"/>
          </rPr>
          <t>1lb = 453.592g</t>
        </r>
      </text>
    </comment>
    <comment ref="A765" authorId="0" shapeId="0">
      <text>
        <r>
          <rPr>
            <sz val="10"/>
            <color rgb="FF000000"/>
            <rFont val="Arial"/>
          </rPr>
          <t>FFQ item: pmain11d, NDB# 10046, BROILED BONE IN PORK,LOIN/CHOPS,MEAT&amp;FAT; Pork, fresh, loin, center rib (chops), bone-in, separable lean and fat, cooked, broiled</t>
        </r>
      </text>
    </comment>
    <comment ref="A766" authorId="0" shapeId="0">
      <text>
        <r>
          <rPr>
            <sz val="10"/>
            <color rgb="FF000000"/>
            <rFont val="Arial"/>
          </rPr>
          <t>FFQ item: pmsan11d , NDB# 7008, BEEF AND PORK BOLOGNA
FFQ item: procm11d; NDB # 07065, Pork and beef sausage, fresh, cooked</t>
        </r>
      </text>
    </comment>
    <comment ref="A768" authorId="0" shapeId="0">
      <text>
        <r>
          <rPr>
            <sz val="10"/>
            <color rgb="FF000000"/>
            <rFont val="Arial"/>
          </rPr>
          <t>NDB# 10184, CANNED HAM; Pork, cured, ham, extra lean and regular, canned, unheated</t>
        </r>
      </text>
    </comment>
    <comment ref="A770" authorId="0" shapeId="0">
      <text>
        <r>
          <rPr>
            <sz val="10"/>
            <color rgb="FF000000"/>
            <rFont val="Arial"/>
          </rPr>
          <t>NDB# 10124; BROILED, PAN-FRIED, OR ROASTED BACON</t>
        </r>
      </text>
    </comment>
    <comment ref="B779"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A780" authorId="0" shapeId="0">
      <text>
        <r>
          <rPr>
            <sz val="10"/>
            <color rgb="FF000000"/>
            <rFont val="Arial"/>
          </rPr>
          <t>NDB# 5168, ROASTED TURKEY MEAT; Turkey, whole, meat only, cooked, roasted
NDB# 5192; ROASTED TURKEY BREAST MEAT &amp; SKIN; Turkey, all classes, breast, meat and skin, cooked,
NDB# 5168, ROASTED TURKEY MEAT; Turkey, whole, meat only, cooked, roasted</t>
        </r>
      </text>
    </comment>
    <comment ref="D780" authorId="0" shapeId="0">
      <text>
        <r>
          <rPr>
            <sz val="10"/>
            <color rgb="FF000000"/>
            <rFont val="Arial"/>
          </rPr>
          <t>NDB# 5304
"Turkey, mechanically deboned, from turkey frames, raw"</t>
        </r>
      </text>
    </comment>
    <comment ref="E780" authorId="0" shapeId="0">
      <text>
        <r>
          <rPr>
            <sz val="10"/>
            <color rgb="FF000000"/>
            <rFont val="Arial"/>
          </rPr>
          <t>NDB# 5172 "Turkey, all, giblets; Poached, Simmered or Stewed": cooked turkey = 64% raw turkey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80" authorId="0" shapeId="0">
      <text>
        <r>
          <rPr>
            <sz val="10"/>
            <color rgb="FF000000"/>
            <rFont val="Arial"/>
          </rPr>
          <t>"Download Dataset_S01" of http://www.pnas.org/content/111/33/11996#abstract-2
use "poultry" values
Supplementary dataset from
Eshel, G., Shepon, A., Makov, T., &amp; Milo, R. (2015). Partitioning United States' feed consumption among livestock categories for improved environmental cost assessments. The Journal of Agricultural Science, 153(3), 432-445.</t>
        </r>
      </text>
    </comment>
    <comment ref="H780" authorId="0" shapeId="0">
      <text>
        <r>
          <rPr>
            <sz val="10"/>
            <color rgb="FF000000"/>
            <rFont val="Arial"/>
          </rPr>
          <t>(4.09m^2/yMcal) x (1 yMcal/1000kcal)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I780" authorId="0" shapeId="0">
      <text>
        <r>
          <rPr>
            <sz val="10"/>
            <color rgb="FF000000"/>
            <rFont val="Arial"/>
          </rPr>
          <t>"Download Dataset_S01" of http://www.pnas.org/content/111/33/11996#abstract-2
use "poultry" values
Supplementary dataset from
Eshel, G., Shepon, A., Makov, T., &amp; Milo, R. (2015). Partitioning United States' feed consumption among livestock categories for improved environmental cost assessments. The Journal of Agricultural Science, 153(3), 432-445.</t>
        </r>
      </text>
    </comment>
    <comment ref="J780" authorId="0" shapeId="0">
      <text>
        <r>
          <rPr>
            <sz val="10"/>
            <color rgb="FF000000"/>
            <rFont val="Arial"/>
          </rPr>
          <t>(33.33gNr/Mcal) x (1Mcal/1000kcal) x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80"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80" authorId="0" shapeId="0">
      <text>
        <r>
          <rPr>
            <sz val="10"/>
            <color rgb="FF000000"/>
            <rFont val="Arial"/>
          </rPr>
          <t>(144.99L/Mcal) x (.001m^3/1L) x (1Mcal/1000kcal)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M780" authorId="0" shapeId="0">
      <text>
        <r>
          <rPr>
            <sz val="10"/>
            <color rgb="FF000000"/>
            <rFont val="Arial"/>
          </rPr>
          <t>"Turkey Meat (Hens), small-scale, confinement; PA, USA"
=2.12 kgCO2e/lb
"Turkey Meat (Toms), small-scale, confinement; PA, USA"
= 2.05 kgCO2e/lb
CleanMetrics. (2020).  Food Carbon Emissions Calculator. http://www.foodemissions.com/Calculator.
----------------------
"Approximately 57 percent of federally inspected harvested turkeys are toms (male), while about 43 percent are hens (female)."
Ha, Kim. (2019). Talking Turkey. U.S. Department of Agriculture.  Available at https://www.usda.gov/media/blog/2019/12/11/talking-turkey</t>
        </r>
      </text>
    </comment>
    <comment ref="N780" authorId="0" shapeId="0">
      <text>
        <r>
          <rPr>
            <sz val="10"/>
            <color rgb="FF000000"/>
            <rFont val="Arial"/>
          </rPr>
          <t>1lb = 453.592g</t>
        </r>
      </text>
    </comment>
    <comment ref="A782" authorId="0" shapeId="0">
      <text>
        <r>
          <rPr>
            <sz val="10"/>
            <color rgb="FF000000"/>
            <rFont val="Arial"/>
          </rPr>
          <t>NDB# 5168, ROASTED TURKEY MEAT; Turkey, whole, meat only, cooked, roasted
NDB# 5192; ROASTED TURKEY BREAST MEAT &amp; SKIN; Turkey, all classes, breast, meat and skin, cooked,
NDB# 5168, ROASTED TURKEY MEAT; Turkey, whole, meat only, cooked, roasted</t>
        </r>
      </text>
    </comment>
    <comment ref="B783" authorId="0" shapeId="0">
      <text>
        <r>
          <rPr>
            <sz val="10"/>
            <color rgb="FF000000"/>
            <rFont val="Arial"/>
          </rPr>
          <t>PartitioningPerCal Sheet
Eshel, G., Shepon, A., Makov, T., &amp; Milo, R. (2015). Partitioning United States' feed consumption among livestock categories for improved environmental cost assessments. The Journal of Agricultural Science, 153(3), 432-445.</t>
        </r>
      </text>
    </comment>
    <comment ref="D784" authorId="0" shapeId="0">
      <text>
        <r>
          <rPr>
            <sz val="10"/>
            <color rgb="FF000000"/>
            <rFont val="Arial"/>
          </rPr>
          <t>NDB# 5304
"Turkey, mechanically deboned, from turkey frames, raw"</t>
        </r>
      </text>
    </comment>
    <comment ref="E784" authorId="0" shapeId="0">
      <text>
        <r>
          <rPr>
            <sz val="10"/>
            <color rgb="FF000000"/>
            <rFont val="Arial"/>
          </rPr>
          <t>NDB# 5172 "Turkey, all, giblets; Poached, Simmered or Stewed": cooked turkey = 64% raw turkey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G784" authorId="0" shapeId="0">
      <text>
        <r>
          <rPr>
            <sz val="10"/>
            <color rgb="FF000000"/>
            <rFont val="Arial"/>
          </rPr>
          <t>"Download Dataset_S01" of http://www.pnas.org/content/111/33/11996#abstract-2
use "poultry" values
Supplementary dataset from
Eshel, G., Shepon, A., Makov, T., &amp; Milo, R. (2015). Partitioning United States' feed consumption among livestock categories for improved environmental cost assessments. The Journal of Agricultural Science, 153(3), 432-445.</t>
        </r>
      </text>
    </comment>
    <comment ref="H784" authorId="0" shapeId="0">
      <text>
        <r>
          <rPr>
            <sz val="10"/>
            <color rgb="FF000000"/>
            <rFont val="Arial"/>
          </rPr>
          <t>(4.09m^2/yMcal) x (1 yMcal/1000kcal)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I784" authorId="0" shapeId="0">
      <text>
        <r>
          <rPr>
            <sz val="10"/>
            <color rgb="FF000000"/>
            <rFont val="Arial"/>
          </rPr>
          <t>"Download Dataset_S01" of http://www.pnas.org/content/111/33/11996#abstract-2
use "poultry" values
Supplementary dataset from
Eshel, G., Shepon, A., Makov, T., &amp; Milo, R. (2015). Partitioning United States' feed consumption among livestock categories for improved environmental cost assessments. The Journal of Agricultural Science, 153(3), 432-445.</t>
        </r>
      </text>
    </comment>
    <comment ref="J784" authorId="0" shapeId="0">
      <text>
        <r>
          <rPr>
            <sz val="10"/>
            <color rgb="FF000000"/>
            <rFont val="Arial"/>
          </rPr>
          <t>(33.33gNr/Mcal) x (1Mcal/1000kcal) x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K784" authorId="0" shapeId="0">
      <text>
        <r>
          <rPr>
            <sz val="10"/>
            <color rgb="FF000000"/>
            <rFont val="Arial"/>
          </rPr>
          <t>Supplementary dataset from
Eshel, G., Shepon, A., Makov, T., &amp; Milo, R. (2015). Partitioning United States' feed consumption among livestock categories for improved environmental cost assessments. The Journal of Agricultural Science, 153(3), 432-445.</t>
        </r>
      </text>
    </comment>
    <comment ref="L784" authorId="0" shapeId="0">
      <text>
        <r>
          <rPr>
            <sz val="10"/>
            <color rgb="FF000000"/>
            <rFont val="Arial"/>
          </rPr>
          <t>(144.99L/Mcal) x (.001m^3/1L) x (1Mcal/1000kcal) x 2.29 kcal/g / 64% raw to cooked
2.29 Mcal/edible kg of poultry ("GHG Animals" sheet of "Download Dataset_S01" of http://www.pnas.org/content/111/33/11996/tab-figures-data)
=2.29kcal/g
Using the same process as beef (Gidon Correspondence):
2.29kcal turkey/(eaten 1g)x64%≈1.4656kcal/1g (conversion coefficient of turkey)
NDB# 5172 "Turkey, all, giblets; Poached, Simmered or Stewed"
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r>
      </text>
    </comment>
    <comment ref="M784" authorId="0" shapeId="0">
      <text>
        <r>
          <rPr>
            <sz val="10"/>
            <color rgb="FF000000"/>
            <rFont val="Arial"/>
          </rPr>
          <t>"Turkey Meat (Hens), small-scale, confinement; PA, USA"
=2.12 kgCO2e/lb
"Turkey Meat (Toms), small-scale, confinement; PA, USA"
= 2.05 kgCO2e/lb
CleanMetrics. (2020).  Food Carbon Emissions Calculator. http://www.foodemissions.com/Calculator.
----------------------
"Approximately 57 percent of federally inspected harvested turkeys are toms (male), while about 43 percent are hens (female)."
Ha, Kim. (2019). Talking Turkey. U.S. Department of Agriculture.  Available at https://www.usda.gov/media/blog/2019/12/11/talking-turkey</t>
        </r>
      </text>
    </comment>
    <comment ref="N784" authorId="0" shapeId="0">
      <text>
        <r>
          <rPr>
            <sz val="10"/>
            <color rgb="FF000000"/>
            <rFont val="Arial"/>
          </rPr>
          <t>1lb = 453.592g</t>
        </r>
      </text>
    </comment>
    <comment ref="B793" authorId="0" shapeId="0">
      <text>
        <r>
          <rPr>
            <sz val="10"/>
            <color rgb="FF000000"/>
            <rFont val="Arial"/>
          </rPr>
          <t>NDB# 12061: ALMONDS
Eshel, Gidon.  "MAD". Gidon_EnvironCalcPaper3_151104AS_poultryconcise (2).xlsx</t>
        </r>
      </text>
    </comment>
    <comment ref="C793" authorId="0" shapeId="0">
      <text>
        <r>
          <rPr>
            <sz val="10"/>
            <color rgb="FF000000"/>
            <rFont val="Arial"/>
          </rPr>
          <t>NDB# 12061: ALMONDS
Eshel, Gidon.  "MAD". Gidon_EnvironCalcPaper3_151104AS_poultryconcise (2).xlsx</t>
        </r>
      </text>
    </comment>
    <comment ref="D793" authorId="0" shapeId="0">
      <text>
        <r>
          <rPr>
            <sz val="10"/>
            <color rgb="FF000000"/>
            <rFont val="Arial"/>
          </rPr>
          <t>"Almonds, shelled or peeled"
Mekonnen, M. M., &amp; Hoekstra, A. Y. (2011). The green, blue and grey water footprint of crops and derived crop products.</t>
        </r>
      </text>
    </comment>
    <comment ref="E793" authorId="0" shapeId="0">
      <text>
        <r>
          <rPr>
            <sz val="10"/>
            <color rgb="FF000000"/>
            <rFont val="Arial"/>
          </rPr>
          <t>"Almonds, CA, USA"
1lb = 453.592g
CleanMetrics. (2020).  Food Carbon Emissions Calculator. http://www.foodemissions.com/Calculator.</t>
        </r>
      </text>
    </comment>
    <comment ref="A794" authorId="0" shapeId="0">
      <text>
        <r>
          <rPr>
            <sz val="10"/>
            <color rgb="FF000000"/>
            <rFont val="Arial"/>
          </rPr>
          <t>NDB#: 12195  Nuts, almond butter, plain, without salt added</t>
        </r>
      </text>
    </comment>
    <comment ref="B794" authorId="0" shapeId="0">
      <text>
        <r>
          <rPr>
            <sz val="10"/>
            <color rgb="FF000000"/>
            <rFont val="Arial"/>
          </rPr>
          <t>NDB# 12061: ALMONDS
Eshel, Gidon.  "MAD". Gidon_EnvironCalcPaper3_151104AS_poultryconcise (2).xlsx</t>
        </r>
      </text>
    </comment>
    <comment ref="C794" authorId="0" shapeId="0">
      <text>
        <r>
          <rPr>
            <sz val="10"/>
            <color rgb="FF000000"/>
            <rFont val="Arial"/>
          </rPr>
          <t>NDB# 12061: ALMONDS
Eshel, Gidon.  "MAD". Gidon_EnvironCalcPaper3_151104AS_poultryconcise (2).xlsx</t>
        </r>
      </text>
    </comment>
    <comment ref="D794" authorId="0" shapeId="0">
      <text>
        <r>
          <rPr>
            <sz val="10"/>
            <color rgb="FF000000"/>
            <rFont val="Arial"/>
          </rPr>
          <t>"Almonds, shelled or peeled"
Mekonnen, M. M., &amp; Hoekstra, A. Y. (2011). The green, blue and grey water footprint of crops and derived crop products.</t>
        </r>
      </text>
    </comment>
    <comment ref="E794" authorId="0" shapeId="0">
      <text>
        <r>
          <rPr>
            <sz val="10"/>
            <color rgb="FF000000"/>
            <rFont val="Arial"/>
          </rPr>
          <t>"Almonds, CA, USA"
1lb = 453.592g
CleanMetrics. (2020).  Food Carbon Emissions Calculator. http://www.foodemissions.com/Calculator.</t>
        </r>
      </text>
    </comment>
    <comment ref="B800" authorId="0" shapeId="0">
      <text>
        <r>
          <rPr>
            <sz val="10"/>
            <color rgb="FF000000"/>
            <rFont val="Arial"/>
          </rPr>
          <t>Kernot, I., &amp; Grundon, N. J. (1999). Cashew information kit. Nambour, Qld, Queensland Department of Primary Industries. Available at http://era.daf.qld.gov.au/id/eprint/1652/2/1befcas.pdf</t>
        </r>
      </text>
    </comment>
    <comment ref="C800" authorId="0" shapeId="0">
      <text>
        <r>
          <rPr>
            <sz val="10"/>
            <color rgb="FF000000"/>
            <rFont val="Arial"/>
          </rPr>
          <t>Kernot, I., &amp; Grundon, N. J. (1999). Cashew information kit. Nambour, Qld, Queensland Department of Primary Industries. Available at http://era.daf.qld.gov.au/id/eprint/1652/2/1befcas.pdf</t>
        </r>
      </text>
    </comment>
    <comment ref="D800" authorId="0" shapeId="0">
      <text>
        <r>
          <rPr>
            <sz val="10"/>
            <color rgb="FF000000"/>
            <rFont val="Arial"/>
          </rPr>
          <t>25-32% = 28.5% average
Kernot, I., &amp; Grundon, N. J. (1999). Cashew information kit. Nambour, Qld, Queensland Department of Primary Industries. Available at http://era.daf.qld.gov.au/id/eprint/1652/2/1befcas.pdf</t>
        </r>
      </text>
    </comment>
    <comment ref="E800" authorId="0" shapeId="0">
      <text>
        <r>
          <rPr>
            <sz val="10"/>
            <color rgb="FF000000"/>
            <rFont val="Arial"/>
          </rPr>
          <t>Table 9. "Target yield of kernel, dry matter basis"
Grundon, N. J. (2001). A desktop study to predict fertiliser requirements of cashew trees in northern Australia. CSIRO Land and Water.</t>
        </r>
      </text>
    </comment>
    <comment ref="I800" authorId="0" shapeId="0">
      <text>
        <r>
          <rPr>
            <sz val="10"/>
            <color rgb="FF000000"/>
            <rFont val="Arial"/>
          </rPr>
          <t>http://era.daf.qld.gov.au/id/eprint/1652/4/3growcas.pdf
 Kernot, I., &amp; Grundon, N. J. (1999). Cashew information kit. Nambour, Qld, Queensland Department of Primary Industries. Available at http://era.daf.qld.gov.au/id/eprint/1652/2/1befcas.pdf</t>
        </r>
      </text>
    </comment>
    <comment ref="J800" authorId="0" shapeId="0">
      <text>
        <r>
          <rPr>
            <sz val="10"/>
            <color rgb="FF000000"/>
            <rFont val="Arial"/>
          </rPr>
          <t>Table 10
Grundon, N. J. (2001). A desktop study to predict fertiliser requirements of cashew trees in northern Australia. CSIRO Land and Water.</t>
        </r>
      </text>
    </comment>
    <comment ref="F801" authorId="0" shapeId="0">
      <text>
        <r>
          <rPr>
            <sz val="10"/>
            <color rgb="FF000000"/>
            <rFont val="Arial"/>
          </rPr>
          <t>Kernot, I., &amp; Grundon, N. J. (1999). Cashew information kit. Nambour, Qld, Queensland Department of Primary Industries. Available at http://era.daf.qld.gov.au/id/eprint/1652/2/1befcas.pdf</t>
        </r>
      </text>
    </comment>
    <comment ref="G801" authorId="0" shapeId="0">
      <text>
        <r>
          <rPr>
            <sz val="10"/>
            <color rgb="FF000000"/>
            <rFont val="Arial"/>
          </rPr>
          <t>1ha/200tree * 1tree/3.44kg kernel * 10000m2/ha * .1kg kernel/100g cashew
Kernot, I., &amp; Grundon, N. J. (1999). Cashew information kit. Nambour, Qld, Queensland Department of Primary Industries. Available at http://era.daf.qld.gov.au/id/eprint/1652/2/1befcas.pdf</t>
        </r>
      </text>
    </comment>
    <comment ref="I801" authorId="0" shapeId="0">
      <text>
        <r>
          <rPr>
            <sz val="10"/>
            <color rgb="FF000000"/>
            <rFont val="Arial"/>
          </rPr>
          <t>pg. 18</t>
        </r>
      </text>
    </comment>
    <comment ref="I802" authorId="0" shapeId="0">
      <text>
        <r>
          <rPr>
            <sz val="10"/>
            <color rgb="FF000000"/>
            <rFont val="Arial"/>
          </rPr>
          <t>pg. 20, Table 4</t>
        </r>
      </text>
    </comment>
    <comment ref="I803" authorId="0" shapeId="0">
      <text>
        <r>
          <rPr>
            <sz val="10"/>
            <color rgb="FF000000"/>
            <rFont val="Arial"/>
          </rPr>
          <t>pg. 20, Table 4</t>
        </r>
      </text>
    </comment>
    <comment ref="I804" authorId="0" shapeId="0">
      <text>
        <r>
          <rPr>
            <sz val="10"/>
            <color rgb="FF000000"/>
            <rFont val="Arial"/>
          </rPr>
          <t xml:space="preserve">pg. 29, Table 7
</t>
        </r>
      </text>
    </comment>
    <comment ref="I805" authorId="0" shapeId="0">
      <text>
        <r>
          <rPr>
            <sz val="10"/>
            <color rgb="FF000000"/>
            <rFont val="Arial"/>
          </rPr>
          <t>pg. 29, Table 7</t>
        </r>
      </text>
    </comment>
    <comment ref="I806" authorId="0" shapeId="0">
      <text>
        <r>
          <rPr>
            <sz val="10"/>
            <color rgb="FF000000"/>
            <rFont val="Arial"/>
          </rPr>
          <t>pg. 29, Table 7</t>
        </r>
      </text>
    </comment>
    <comment ref="I807" authorId="0" shapeId="0">
      <text>
        <r>
          <rPr>
            <sz val="10"/>
            <color rgb="FF000000"/>
            <rFont val="Arial"/>
          </rPr>
          <t>pg. 29, Table 7</t>
        </r>
      </text>
    </comment>
    <comment ref="B808" authorId="0" shapeId="0">
      <text>
        <r>
          <rPr>
            <sz val="10"/>
            <color rgb="FF000000"/>
            <rFont val="Arial"/>
          </rPr>
          <t>http://era.daf.qld.gov.au/id/eprint/1652/5/4keycas.pdf
"The economic life of the tree may be between 20 and 25 years, though the tree itself is known to survive for much longer."</t>
        </r>
      </text>
    </comment>
    <comment ref="H808" authorId="0" shapeId="0">
      <text>
        <r>
          <rPr>
            <sz val="10"/>
            <color rgb="FF000000"/>
            <rFont val="Arial"/>
          </rPr>
          <t>http://era.daf.qld.gov.au/id/eprint/1652/5/4keycas.pdf
"The economic life of the tree may be between 20 and 25 years, though the tree itself is known to survive for much longer."</t>
        </r>
      </text>
    </comment>
    <comment ref="I808" authorId="0" shapeId="0">
      <text>
        <r>
          <rPr>
            <sz val="10"/>
            <color rgb="FF000000"/>
            <rFont val="Arial"/>
          </rPr>
          <t>pg. 29, Table 7</t>
        </r>
      </text>
    </comment>
    <comment ref="I810" authorId="0" shapeId="0">
      <text>
        <r>
          <rPr>
            <sz val="10"/>
            <color rgb="FF000000"/>
            <rFont val="Arial"/>
          </rPr>
          <t>http://era.daf.qld.gov.au/id/eprint/1652/5/4keycas.pdf
"The economic life of the tree may be between 20 and 25 years, though the tree itself is known to survive for much longer."</t>
        </r>
      </text>
    </comment>
    <comment ref="J810" authorId="0" shapeId="0">
      <text>
        <r>
          <rPr>
            <sz val="10"/>
            <color rgb="FF000000"/>
            <rFont val="Arial"/>
          </rPr>
          <t>http://era.daf.qld.gov.au/id/eprint/1652/5/4keycas.pdf
"The economic life of the tree may be between 20 and 25 years, though the tree itself is known to survive for much longer."</t>
        </r>
      </text>
    </comment>
    <comment ref="D814" authorId="0" shapeId="0">
      <text>
        <r>
          <rPr>
            <sz val="10"/>
            <color rgb="FF000000"/>
            <rFont val="Arial"/>
          </rPr>
          <t>"Cashew nuts"
Mekonnen, M. M., &amp; Hoekstra, A. Y. (2011). The green, blue and grey water footprint of crops and derived crop products.</t>
        </r>
      </text>
    </comment>
    <comment ref="E814" authorId="0" shapeId="0">
      <text>
        <r>
          <rPr>
            <sz val="10"/>
            <color rgb="FF000000"/>
            <rFont val="Arial"/>
          </rPr>
          <t>Heller, M. C., Willits-Smith, A., Meyer, R., Keoleian, G. A., &amp; Rose, D. (2018). Greenhouse gas emissions and energy use associated with production of individual self-selected US diets. Environmental Research Letters, 13(4), 044004.</t>
        </r>
      </text>
    </comment>
    <comment ref="G822" authorId="0" shapeId="0">
      <text>
        <r>
          <rPr>
            <sz val="10"/>
            <color rgb="FF000000"/>
            <rFont val="Arial"/>
          </rPr>
          <t>"The farmer applied 320kg ha-1 of actual nitrogen through the irrigation system throughout each growing season." (growing season = May-Nov each year).
Wang, J., Miller, D. R., Sammis, T. W., Gutschick, V. P., Simmons, L. J., &amp; Andales, A. A. (2007). Energy balance measurements and a simple model for estimating pecan water use efficiency. Agricultural water management, 91(1-3), 92-101.</t>
        </r>
      </text>
    </comment>
    <comment ref="K822" authorId="0" shapeId="0">
      <text>
        <r>
          <rPr>
            <sz val="10"/>
            <color rgb="FF000000"/>
            <rFont val="Arial"/>
          </rPr>
          <t>"The average water use efficiency based on nut yield was 14.9kg nut yield ha-1 cm-1 in 'off' years and 26.3kg nut yield ha-1 cm-1 water in 'on' years." = 20.6 kg/ha/cm = 20.6 kg/m3
Wang, J., Miller, D. R., Sammis, T. W., Gutschick, V. P., Simmons, L. J., &amp; Andales, A. A. (2007). Energy balance measurements and a simple model for estimating pecan water use efficiency. Agricultural water management, 91(1-3), 92-101.</t>
        </r>
      </text>
    </comment>
    <comment ref="E826" authorId="0" shapeId="0">
      <text>
        <r>
          <rPr>
            <sz val="10"/>
            <color rgb="FF000000"/>
            <rFont val="Arial"/>
          </rPr>
          <t>1ha = 10000m2
1kg = 1000g
Wang, J., Miller, D. R., Sammis, T. W., Gutschick, V. P., Simmons, L. J., &amp; Andales, A. A. (2007). Energy balance measurements and a simple model for estimating pecan water use efficiency. Agricultural water management, 91(1-3), 92-101.</t>
        </r>
      </text>
    </comment>
    <comment ref="E828" authorId="0" shapeId="0">
      <text>
        <r>
          <rPr>
            <sz val="10"/>
            <color rgb="FF000000"/>
            <rFont val="Arial"/>
          </rPr>
          <t>"Pecans, CA, USA"
1lb = 453.592g
CleanMetrics. (2020).  Food Carbon Emissions Calculator. http://www.foodemissions.com/Calculator.</t>
        </r>
      </text>
    </comment>
    <comment ref="J829" authorId="0" shapeId="0">
      <text>
        <r>
          <rPr>
            <sz val="10"/>
            <color rgb="FF000000"/>
            <rFont val="Arial"/>
          </rPr>
          <t>Marvinney_greenhouse gas emissions in California almond, pistachio, and walnut production.pdf unless otherwise noted</t>
        </r>
      </text>
    </comment>
    <comment ref="J830" authorId="0" shapeId="0">
      <text>
        <r>
          <rPr>
            <sz val="10"/>
            <color rgb="FF000000"/>
            <rFont val="Arial"/>
          </rPr>
          <t>&lt;https://www.gmaonline.org/downloads/technical-guidance-and-tools/Addendum_2_GAP_for_Pistachio_Growers.pdf&gt;
"The industry has grown from the first commercial harvest in 1976 of 1.5 million pounds from 4500 acres to the 2007 production of 416 million pounds from 103,000 acres. Planting of new orchards has continued and in 2009 there are 112,000 bearing acres and 80,000 nonbearing acres which will gradually come into bearing over the next 5 years."</t>
        </r>
      </text>
    </comment>
    <comment ref="Q830" authorId="0" shapeId="0">
      <text>
        <r>
          <rPr>
            <sz val="10"/>
            <color rgb="FF000000"/>
            <rFont val="Arial"/>
          </rPr>
          <t>10,000m2/ha</t>
        </r>
      </text>
    </comment>
    <comment ref="R830" authorId="0" shapeId="0">
      <text>
        <r>
          <rPr>
            <sz val="10"/>
            <color rgb="FF000000"/>
            <rFont val="Arial"/>
          </rPr>
          <t>Table 3.1
Marvinney_LCA Nuts California 2014.pdf</t>
        </r>
      </text>
    </comment>
    <comment ref="U830" authorId="0" shapeId="0">
      <text>
        <r>
          <rPr>
            <sz val="10"/>
            <color rgb="FF000000"/>
            <rFont val="Arial"/>
          </rPr>
          <t>kgNr/ha*(ha/1375000gkernal)*(1000gNr/kgNr)</t>
        </r>
      </text>
    </comment>
    <comment ref="V830" authorId="0" shapeId="0">
      <text>
        <r>
          <rPr>
            <sz val="10"/>
            <color rgb="FF000000"/>
            <rFont val="Arial"/>
          </rPr>
          <t>Table 3.1
Marvinney_LCA Nuts California 2014.pdf</t>
        </r>
      </text>
    </comment>
    <comment ref="Z830" authorId="0" shapeId="0">
      <text>
        <r>
          <rPr>
            <sz val="10"/>
            <color rgb="FF000000"/>
            <rFont val="Arial"/>
          </rPr>
          <t>from Marvinney_greenhouse gas emissions in California almond, pistachio, and walnut production.pdf - this number excludes the Carbon credit offsets - "Mean annual GHG emissions and credits for nut orchards per hectare and per kilogram kernel under “business-as-usual” scenario."</t>
        </r>
      </text>
    </comment>
    <comment ref="J832" authorId="0" shapeId="0">
      <text>
        <r>
          <rPr>
            <sz val="10"/>
            <color rgb="FF000000"/>
            <rFont val="Arial"/>
          </rPr>
          <t>https://www.gmaonline.org/downloads/technical-guidance-and-tools/Addendum_2_GAP_for_Pistachio_Growers.pdf</t>
        </r>
      </text>
    </comment>
    <comment ref="L832" authorId="0" shapeId="0">
      <text>
        <r>
          <rPr>
            <sz val="10"/>
            <color rgb="FF000000"/>
            <rFont val="Arial"/>
          </rPr>
          <t>1lb = 453.592g</t>
        </r>
      </text>
    </comment>
    <comment ref="N832" authorId="0" shapeId="0">
      <text>
        <r>
          <rPr>
            <sz val="10"/>
            <color rgb="FF000000"/>
            <rFont val="Arial"/>
          </rPr>
          <t xml:space="preserve">
</t>
        </r>
      </text>
    </comment>
    <comment ref="Q832" authorId="0" shapeId="0">
      <text>
        <r>
          <rPr>
            <sz val="10"/>
            <color rgb="FF000000"/>
            <rFont val="Arial"/>
          </rPr>
          <t>1 acre = 4046.86m2</t>
        </r>
      </text>
    </comment>
    <comment ref="C834" authorId="0" shapeId="0">
      <text>
        <r>
          <rPr>
            <sz val="10"/>
            <color rgb="FF000000"/>
            <rFont val="Arial"/>
          </rPr>
          <t>"Pistachios"
Mekonnen, M. M., &amp; Hoekstra, A. Y. (2011). The green, blue and grey water footprint of crops and derived crop products.</t>
        </r>
      </text>
    </comment>
    <comment ref="D834" authorId="0" shapeId="0">
      <text>
        <r>
          <rPr>
            <sz val="10"/>
            <color rgb="FF000000"/>
            <rFont val="Arial"/>
          </rPr>
          <t>"Pistachios, CA, USA"
1lb = 453.592g
CleanMetrics. (2020).  Food Carbon Emissions Calculator. http://www.foodemissions.com/Calculator.</t>
        </r>
      </text>
    </comment>
    <comment ref="B835" authorId="0" shapeId="0">
      <text>
        <r>
          <rPr>
            <sz val="10"/>
            <color rgb="FF000000"/>
            <rFont val="Arial"/>
          </rPr>
          <t>"A whole single pistachio, shell and all, weighs about 0.02 ounces (0.57 grams), and the kernel or nutmeat — that is, the portion of the pistachio that you eat — makes up about 53 percent of that weight."
Kiger, Patrick J. (2021). "Why Pistachios Are Sold in Their Shells – Unlike Most Nuts." howstuffworks. Available at https://recipes.howstuffworks.com/why-pistachios-are-sold-in-their-shells.htm.</t>
        </r>
      </text>
    </comment>
    <comment ref="S836" authorId="0" shapeId="0">
      <text>
        <r>
          <rPr>
            <sz val="10"/>
            <color rgb="FF000000"/>
            <rFont val="Arial"/>
          </rPr>
          <t>The units of analysis are one hectare of orchard assessed over a time horizon equal to the productive lifespan of the orchard plus one year for orchard clearing and fallow: 26 years for almond, 36 years for walnut, and 61 years for pistachio</t>
        </r>
      </text>
    </comment>
    <comment ref="B837" authorId="0" shapeId="0">
      <text>
        <r>
          <rPr>
            <sz val="10"/>
            <color rgb="FF000000"/>
            <rFont val="Arial"/>
          </rPr>
          <t xml:space="preserve">NDB# 12151: PISTACHIO NUTS RAW
Eshel, Gidon.  "MAD". Gidon_EnvironCalcPaper3_151104AS_poultryconcise (2).xlsx
</t>
        </r>
      </text>
    </comment>
    <comment ref="C837" authorId="0" shapeId="0">
      <text>
        <r>
          <rPr>
            <sz val="10"/>
            <color rgb="FF000000"/>
            <rFont val="Arial"/>
          </rPr>
          <t>NDB# 12151: PISTACHIO NUTS RAW
Eshel, Gidon.  "MAD". Gidon_EnvironCalcPaper3_151104AS_poultryconcise (2).xlsx</t>
        </r>
      </text>
    </comment>
    <comment ref="Y838" authorId="0" shapeId="0">
      <text>
        <r>
          <rPr>
            <sz val="10"/>
            <color rgb="FF000000"/>
            <rFont val="Arial"/>
          </rPr>
          <t>1/3088257.143 ha/g</t>
        </r>
      </text>
    </comment>
    <comment ref="Y839" authorId="0" shapeId="0">
      <text>
        <r>
          <rPr>
            <sz val="10"/>
            <color rgb="FF000000"/>
            <rFont val="Arial"/>
          </rPr>
          <t>&lt;M. M. Mekonnen and A. Y. Hoekstra: The green, blue and grey water footprint of crops&gt;</t>
        </r>
      </text>
    </comment>
    <comment ref="B845" authorId="0" shapeId="0">
      <text>
        <r>
          <rPr>
            <sz val="10"/>
            <color rgb="FF000000"/>
            <rFont val="Arial"/>
          </rPr>
          <t>NDB# 12155: WALNUTS ENGLISH
Eshel, Gidon.  "MAD". Gidon_EnvironCalcPaper3_151104AS_poultryconcise (2).xlsx</t>
        </r>
      </text>
    </comment>
    <comment ref="C845" authorId="0" shapeId="0">
      <text>
        <r>
          <rPr>
            <sz val="10"/>
            <color rgb="FF000000"/>
            <rFont val="Arial"/>
          </rPr>
          <t>NDB# 12155: WALNUTS ENGLISH
Eshel, Gidon.  "MAD". Gidon_EnvironCalcPaper3_151104AS_poultryconcise (2).xlsx</t>
        </r>
      </text>
    </comment>
    <comment ref="D845" authorId="0" shapeId="0">
      <text>
        <r>
          <rPr>
            <sz val="10"/>
            <color rgb="FF000000"/>
            <rFont val="Arial"/>
          </rPr>
          <t>"Walnuts, shelled or peeled"
Mekonnen, M. M., &amp; Hoekstra, A. Y. (2011). The green, blue and grey water footprint of crops and derived crop products.</t>
        </r>
      </text>
    </comment>
    <comment ref="E845" authorId="0" shapeId="0">
      <text>
        <r>
          <rPr>
            <sz val="10"/>
            <color rgb="FF000000"/>
            <rFont val="Arial"/>
          </rPr>
          <t>"Walnuts, English Variety, CA, USA" =0.41 kgCO2e/lb
1lb = 453.592g
CleanMetrics. (2020).  Food Carbon Emissions Calculator. http://www.foodemissions.com/Calculator.</t>
        </r>
      </text>
    </comment>
    <comment ref="B855" authorId="0" shapeId="0">
      <text>
        <r>
          <rPr>
            <sz val="10"/>
            <color rgb="FF000000"/>
            <rFont val="Arial"/>
          </rPr>
          <t>Land Use= 0.7t/ha
Dumelin, Erich E. (2009). "Life Cycle Assessments of Palm Oil and Vegetable Oils." SCI’s Oils &amp; Fats Group International lecture. pp. 16.  Available at https://www.soci.org/news/lipids/lipids-palm-oil-papers.</t>
        </r>
      </text>
    </comment>
    <comment ref="C855" authorId="0" shapeId="0">
      <text>
        <r>
          <rPr>
            <sz val="10"/>
            <color rgb="FF000000"/>
            <rFont val="Arial"/>
          </rPr>
          <t>confirmed by Gidon 4/21
1g = 1,000,000 metric tons
10,000 m^2 = 1 ha</t>
        </r>
      </text>
    </comment>
    <comment ref="D855" authorId="0" shapeId="0">
      <text>
        <r>
          <rPr>
            <sz val="10"/>
            <color rgb="FF000000"/>
            <rFont val="Arial"/>
          </rPr>
          <t>Dumelin, Erich E. (2009). "Life Cycle Assessments of Palm Oil and Vegetable Oils." SCI’s Oils &amp; Fats Group International lecture. pp. 16.  Available at https://www.soci.org/news/lipids/lipids-palm-oil-papers.</t>
        </r>
      </text>
    </comment>
    <comment ref="F855" authorId="0" shapeId="0">
      <text>
        <r>
          <rPr>
            <sz val="10"/>
            <color rgb="FF000000"/>
            <rFont val="Arial"/>
          </rPr>
          <t>≈900 kgCO2equiv/ton
*does not include transport because this was not calculated into other food items' GHG emissions environmental attributes.
Dumlin - pg. 16
SCI’s Oils &amp; Fats Group International lecture: 
Life cycle assessments of palm oil and other vegetable oils (pdf 200Kb) 
Erich Dumelin, Switzerland
&lt;https://www.soci.org/news/lipids/lipids-palm-oil-papers&gt;</t>
        </r>
      </text>
    </comment>
    <comment ref="G855" authorId="0" shapeId="0">
      <text>
        <r>
          <rPr>
            <sz val="10"/>
            <color rgb="FF000000"/>
            <rFont val="Arial"/>
          </rPr>
          <t>1ton = 1000000g</t>
        </r>
      </text>
    </comment>
    <comment ref="B857" authorId="0" shapeId="0">
      <text>
        <r>
          <rPr>
            <sz val="10"/>
            <color rgb="FF000000"/>
            <rFont val="Arial"/>
          </rPr>
          <t>"OIL CANOLA"
Eshel, Gidon.  "MAD". Gidon_EnvironCalcPaper3_151104AS_poultryconcise (2).xlsx</t>
        </r>
      </text>
    </comment>
    <comment ref="D857" authorId="0" shapeId="0">
      <text>
        <r>
          <rPr>
            <sz val="10"/>
            <color rgb="FF000000"/>
            <rFont val="Arial"/>
          </rPr>
          <t>"Coconut (copra) oil, refined"
Mekonnen, M. M., &amp; Hoekstra, A. Y. (2011). The green, blue and grey water footprint of crops and derived crop products.</t>
        </r>
      </text>
    </comment>
    <comment ref="E857" authorId="0" shapeId="0">
      <text>
        <r>
          <rPr>
            <sz val="10"/>
            <color rgb="FF000000"/>
            <rFont val="Arial"/>
          </rPr>
          <t>"Rapeseed/Canola Oil, Europe"
1lb = 453.592g
CleanMetrics. (2020). "Rapeseed/Canola Oil." Food Carbon Emissions Calculator. http://www.foodemissions.com/Calculator.</t>
        </r>
      </text>
    </comment>
    <comment ref="A863" authorId="0" shapeId="0">
      <text>
        <r>
          <rPr>
            <sz val="10"/>
            <color rgb="FF000000"/>
            <rFont val="Arial"/>
          </rPr>
          <t>referencing "Corn Kernels" in "CORN" calculations in the "Grain" category in this "Additional Calculations" Sheet</t>
        </r>
      </text>
    </comment>
    <comment ref="E863" authorId="0" shapeId="0">
      <text>
        <r>
          <rPr>
            <sz val="10"/>
            <color rgb="FF000000"/>
            <rFont val="Arial"/>
          </rPr>
          <t>"CORN FLR,WHOLE-GRAIN,YEL" (per 100g)
Eshel, Gidon.  "MAD". Gidon_EnvironCalcPaper3_151104AS_poultryconcise (2).xlsx</t>
        </r>
      </text>
    </comment>
    <comment ref="F863" authorId="0" shapeId="0">
      <text>
        <r>
          <rPr>
            <sz val="10"/>
            <color rgb="FF000000"/>
            <rFont val="Arial"/>
          </rPr>
          <t>"CORN FLR,WHOLE-GRAIN,YEL" (per 100g)
Eshel, Gidon.  "MAD". Gidon_EnvironCalcPaper3_151104AS_poultryconcise (2).xlsx</t>
        </r>
      </text>
    </comment>
    <comment ref="G863" authorId="0" shapeId="0">
      <text>
        <r>
          <rPr>
            <sz val="10"/>
            <color rgb="FF000000"/>
            <rFont val="Arial"/>
          </rPr>
          <t>Blue water needs
Mekonnen, M. M., &amp; Hoekstra, A. Y. (2011). "Maize (corn)." The green, blue and grey water footprint of crops and derived crop products.</t>
        </r>
      </text>
    </comment>
    <comment ref="H863" authorId="0" shapeId="0">
      <text>
        <r>
          <rPr>
            <sz val="10"/>
            <color rgb="FF000000"/>
            <rFont val="Arial"/>
          </rPr>
          <t>"Corn; OH, USA"
CleanMetrics. (2020). "Corn." Food Carbon Emissions Calculator. http://www.foodemissions.com/Calculator.</t>
        </r>
      </text>
    </comment>
    <comment ref="B864" authorId="0" shapeId="0">
      <text>
        <r>
          <rPr>
            <sz val="10"/>
            <color rgb="FF000000"/>
            <rFont val="Arial"/>
          </rPr>
          <t>INRAE, CIRAD, AFZ, and FAO. (n.d.). Maize grain: Nutritional Tables. Feedipedia, Animal feed resources information system. https://www.feedipedia.org/node/556</t>
        </r>
      </text>
    </comment>
    <comment ref="C864" authorId="0" shapeId="0">
      <text>
        <r>
          <rPr>
            <sz val="10"/>
            <color rgb="FF000000"/>
            <rFont val="Arial"/>
          </rPr>
          <t>INRAE, CIRAD, AFZ, and FAO. (n.d.). Maize grain: Nutritional Tables. Feedipedia, Animal feed resources information system. https://www.feedipedia.org/node/556</t>
        </r>
      </text>
    </comment>
    <comment ref="B870" authorId="0" shapeId="0">
      <text>
        <r>
          <rPr>
            <sz val="10"/>
            <color rgb="FF000000"/>
            <rFont val="Arial"/>
          </rPr>
          <t>Hundl, Wil Jr. 2019. Annual Cotton Review. USDA-NASS Texas Field Office. Available at https://www.nass.usda.gov/Statistics_by_State/Texas/Publications/Current_News_Release/2019_Rls/tx-cotton-review-2019.pdf.</t>
        </r>
      </text>
    </comment>
    <comment ref="C870" authorId="0" shapeId="0">
      <text>
        <r>
          <rPr>
            <sz val="10"/>
            <color rgb="FF000000"/>
            <rFont val="Arial"/>
          </rPr>
          <t>1acre = 4046.86m2
1lb = 453.592g</t>
        </r>
      </text>
    </comment>
    <comment ref="E870"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F870" authorId="0" shapeId="0">
      <text>
        <r>
          <rPr>
            <sz val="10"/>
            <color rgb="FF000000"/>
            <rFont val="Arial"/>
          </rPr>
          <t>Hundl, Wil Jr. 2019. Annual Cotton Review. USDA-NASS Texas Field Office. Available at https://www.nass.usda.gov/Statistics_by_State/Texas/Publications/Current_News_Release/2019_Rls/tx-cotton-review-2019.pdf.</t>
        </r>
      </text>
    </comment>
    <comment ref="E871"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E872"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E873"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E874"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E875"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B877" authorId="0" shapeId="0">
      <text>
        <r>
          <rPr>
            <sz val="10"/>
            <color rgb="FF000000"/>
            <rFont val="Arial"/>
          </rPr>
          <t>Average:
Baffes, J. (2010). Markets for cotton by-products: Global trends and implications for african cotton producers. The World Bank. Available at https://openknowledge.worldbank.org/handle/10986/3840.
Hundl, Wil Jr. 2019. Annual Cotton Review. USDA-NASS Texas Field Office. Available at https://www.nass.usda.gov/Statistics_by_State/Texas/Publications/Current_News_Release/2019_Rls/tx-cotton-review-2019.pdf.</t>
        </r>
      </text>
    </comment>
    <comment ref="C877" authorId="0" shapeId="0">
      <text>
        <r>
          <rPr>
            <sz val="10"/>
            <color rgb="FF000000"/>
            <rFont val="Arial"/>
          </rPr>
          <t>Gerik, T. J., Oosterhuis, D. M., &amp; Torbet, H. A. I998. Managing cotton nitrogen supply. Adv. Agron, 64(1).  Available at https://www.ars.usda.gov/ARSUserFiles/60100500/csr/ResearchPubs/torbert/torbert_98b.pdf</t>
        </r>
      </text>
    </comment>
    <comment ref="D877" authorId="0" shapeId="0">
      <text>
        <r>
          <rPr>
            <sz val="10"/>
            <color rgb="FF000000"/>
            <rFont val="Arial"/>
          </rPr>
          <t>"Cotton-seed oil, refined"
Mekonnen, M. M., &amp; Hoekstra, A. Y. (2011). The green, blue and grey water footprint of crops and derived crop products.</t>
        </r>
      </text>
    </comment>
    <comment ref="E877" authorId="0" shapeId="0">
      <text>
        <r>
          <rPr>
            <sz val="10"/>
            <color rgb="FF000000"/>
            <rFont val="Arial"/>
          </rPr>
          <t>2.14 kgCO2eq/kg
"Cottonseed, oil"
1kg = 1000g
Heller, M. C., Willits-Smith, A., Meyer, R., Keoleian, G. A., &amp; Rose, D. (2018). Greenhouse gas emissions and energy use associated with production of individual self-selected US diets. Environmental Research Letters, 13(4), 044004.</t>
        </r>
      </text>
    </comment>
    <comment ref="B886" authorId="0" shapeId="0">
      <text>
        <r>
          <rPr>
            <sz val="10"/>
            <color rgb="FF000000"/>
            <rFont val="Arial"/>
          </rPr>
          <t>Olives
Mekonnen, M. M., &amp; Hoekstra, A. Y. (2011). The green, blue and grey water footprint of crops and derived crop products.</t>
        </r>
      </text>
    </comment>
    <comment ref="B888" authorId="0" shapeId="0">
      <text>
        <r>
          <rPr>
            <sz val="10"/>
            <color rgb="FF000000"/>
            <rFont val="Arial"/>
          </rPr>
          <t>"OIL OLIVE SALAD OR COOKING"
Eshel, Gidon.  "MAD". Gidon_EnvironCalcPaper3_151104AS_poultryconcise (2).xlsx</t>
        </r>
      </text>
    </comment>
    <comment ref="C888" authorId="0" shapeId="0">
      <text>
        <r>
          <rPr>
            <sz val="10"/>
            <color rgb="FF000000"/>
            <rFont val="Arial"/>
          </rPr>
          <t>"OIL OLIVE SALAD OR COOKING"
Eshel, Gidon.  "MAD". Gidon_EnvironCalcPaper3_151104AS_poultryconcise (2).xlsx</t>
        </r>
      </text>
    </comment>
    <comment ref="E888" authorId="0" shapeId="0">
      <text>
        <r>
          <rPr>
            <sz val="10"/>
            <color rgb="FF000000"/>
            <rFont val="Arial"/>
          </rPr>
          <t>1400kgCO2/ton
Dumelin, Erich E. (2009). "Life Cycle Assessments of Palm Oil and Vegetable Oils." SCI’s Oils &amp; Fats Group International lecture. pp. 16.  Available at https://www.soci.org/news/lipids/lipids-palm-oil-papers.</t>
        </r>
      </text>
    </comment>
    <comment ref="B896" authorId="0" shapeId="0">
      <text>
        <r>
          <rPr>
            <sz val="10"/>
            <color rgb="FF000000"/>
            <rFont val="Arial"/>
          </rPr>
          <t>Dumelin, Erich E. (2009). "Life Cycle Assessments of Palm Oil and Vegetable Oils." SCI’s Oils &amp; Fats Group International lecture. pp. 16.  Available at https://www.soci.org/news/lipids/lipids-palm-oil-papers.</t>
        </r>
      </text>
    </comment>
    <comment ref="C896" authorId="0" shapeId="0">
      <text>
        <r>
          <rPr>
            <sz val="10"/>
            <color rgb="FF000000"/>
            <rFont val="Arial"/>
          </rPr>
          <t>1g = 1/1000000ton
1ha = 10,000 m^2</t>
        </r>
      </text>
    </comment>
    <comment ref="D896" authorId="0" shapeId="0">
      <text>
        <r>
          <rPr>
            <sz val="10"/>
            <color rgb="FF000000"/>
            <rFont val="Arial"/>
          </rPr>
          <t>Dumelin, Erich E. (2009). "Life Cycle Assessments of Palm Oil and Vegetable Oils." SCI’s Oils &amp; Fats Group International lecture. pp. 16.  Available at https://www.soci.org/news/lipids/lipids-palm-oil-papers.</t>
        </r>
      </text>
    </comment>
    <comment ref="E896" authorId="0" shapeId="0">
      <text>
        <r>
          <rPr>
            <sz val="10"/>
            <color rgb="FF000000"/>
            <rFont val="Arial"/>
          </rPr>
          <t>1g = 1/1000000ton
2.52 kg ammonia-N = 1kg PO4
1kg = 1000g</t>
        </r>
      </text>
    </comment>
    <comment ref="B897" authorId="0" shapeId="0">
      <text>
        <r>
          <rPr>
            <sz val="10"/>
            <color rgb="FF000000"/>
            <rFont val="Arial"/>
          </rPr>
          <t>Dumelin, Erich E. (2009). "Life Cycle Assessments of Palm Oil and Vegetable Oils." SCI’s Oils &amp; Fats Group International lecture. pp. 16.  Available at https://www.soci.org/news/lipids/lipids-palm-oil-papers.</t>
        </r>
      </text>
    </comment>
    <comment ref="C897" authorId="0" shapeId="0">
      <text>
        <r>
          <rPr>
            <sz val="10"/>
            <color rgb="FF000000"/>
            <rFont val="Arial"/>
          </rPr>
          <t>1g = 1/1000000ton
1ha = 10,000 m^2</t>
        </r>
      </text>
    </comment>
    <comment ref="D897" authorId="0" shapeId="0">
      <text>
        <r>
          <rPr>
            <sz val="10"/>
            <color rgb="FF000000"/>
            <rFont val="Arial"/>
          </rPr>
          <t>Dumelin, Erich E. (2009). "Life Cycle Assessments of Palm Oil and Vegetable Oils." SCI’s Oils &amp; Fats Group International lecture. pp. 16.  Available at https://www.soci.org/news/lipids/lipids-palm-oil-papers.</t>
        </r>
      </text>
    </comment>
    <comment ref="E897" authorId="0" shapeId="0">
      <text>
        <r>
          <rPr>
            <sz val="10"/>
            <color rgb="FF000000"/>
            <rFont val="Arial"/>
          </rPr>
          <t>1g = 1/1000000ton
2.52 kg ammonia-N = 1kg PO4
1kg = 1000g</t>
        </r>
      </text>
    </comment>
    <comment ref="D899" authorId="0" shapeId="0">
      <text>
        <r>
          <rPr>
            <sz val="10"/>
            <color rgb="FF000000"/>
            <rFont val="Arial"/>
          </rPr>
          <t>Palm oil, refined
Mekonnen, M. M., &amp; Hoekstra, A. Y. (2011). The green, blue and grey water footprint of crops and derived crop products.</t>
        </r>
      </text>
    </comment>
    <comment ref="E899" authorId="0" shapeId="0">
      <text>
        <r>
          <rPr>
            <sz val="10"/>
            <color rgb="FF000000"/>
            <rFont val="Arial"/>
          </rPr>
          <t>"Palm Oil, Malaysia"
1 lb = 453.592g
CleanMetrics. (2020). Food Carbon Emissions Calculator. http://www.foodemissions.com/Calculator.</t>
        </r>
      </text>
    </comment>
    <comment ref="D900" authorId="0" shapeId="0">
      <text>
        <r>
          <rPr>
            <sz val="10"/>
            <color rgb="FF000000"/>
            <rFont val="Arial"/>
          </rPr>
          <t>Palm oil, refined
Mekonnen, M. M., &amp; Hoekstra, A. Y. (2011). The green, blue and grey water footprint of crops and derived crop products.</t>
        </r>
      </text>
    </comment>
    <comment ref="E900" authorId="0" shapeId="0">
      <text>
        <r>
          <rPr>
            <sz val="10"/>
            <color rgb="FF000000"/>
            <rFont val="Arial"/>
          </rPr>
          <t>"Palm Oil, Malaysia"
1 lb = 453.592g
CleanMetrics. (2020). Food Carbon Emissions Calculator. http://www.foodemissions.com/Calculator.</t>
        </r>
      </text>
    </comment>
    <comment ref="D901" authorId="0" shapeId="0">
      <text>
        <r>
          <rPr>
            <sz val="10"/>
            <color rgb="FF000000"/>
            <rFont val="Arial"/>
          </rPr>
          <t>Palm kernel/babassu oil, refined
Mekonnen, M. M., &amp; Hoekstra, A. Y. (2011). The green, blue and grey water footprint of crops and derived crop products.</t>
        </r>
      </text>
    </comment>
    <comment ref="E901" authorId="0" shapeId="0">
      <text>
        <r>
          <rPr>
            <sz val="10"/>
            <color rgb="FF000000"/>
            <rFont val="Arial"/>
          </rPr>
          <t>"Palm Kernel Oil, Malaysia"
1 lb = 453.592g
CleanMetrics. (2020). Food Carbon Emissions Calculator. http://www.foodemissions.com/Calculator.</t>
        </r>
      </text>
    </comment>
    <comment ref="D902" authorId="0" shapeId="0">
      <text>
        <r>
          <rPr>
            <sz val="10"/>
            <color rgb="FF000000"/>
            <rFont val="Arial"/>
          </rPr>
          <t>Palm oil, refined
Mekonnen, M. M., &amp; Hoekstra, A. Y. (2011). The green, blue and grey water footprint of crops and derived crop products.</t>
        </r>
      </text>
    </comment>
    <comment ref="E902" authorId="0" shapeId="0">
      <text>
        <r>
          <rPr>
            <sz val="10"/>
            <color rgb="FF000000"/>
            <rFont val="Arial"/>
          </rPr>
          <t>"Palm Oil, Malaysia"
1 lb = 453.592g
CleanMetrics. (2020). Food Carbon Emissions Calculator. http://www.foodemissions.com/Calculator.</t>
        </r>
      </text>
    </comment>
    <comment ref="D903" authorId="0" shapeId="0">
      <text>
        <r>
          <rPr>
            <sz val="10"/>
            <color rgb="FF000000"/>
            <rFont val="Arial"/>
          </rPr>
          <t>Palm oil, refined
Mekonnen, M. M., &amp; Hoekstra, A. Y. (2011). The green, blue and grey water footprint of crops and derived crop products.</t>
        </r>
      </text>
    </comment>
    <comment ref="E903" authorId="0" shapeId="0">
      <text>
        <r>
          <rPr>
            <sz val="10"/>
            <color rgb="FF000000"/>
            <rFont val="Arial"/>
          </rPr>
          <t>"Palm Oil, Malaysia"
1 lb = 453.592g
CleanMetrics. (2020). Food Carbon Emissions Calculator. http://www.foodemissions.com/Calculator.</t>
        </r>
      </text>
    </comment>
    <comment ref="D904" authorId="0" shapeId="0">
      <text>
        <r>
          <rPr>
            <sz val="10"/>
            <color rgb="FF000000"/>
            <rFont val="Arial"/>
          </rPr>
          <t>Palm oil, refined
Mekonnen, M. M., &amp; Hoekstra, A. Y. (2011). The green, blue and grey water footprint of crops and derived crop products.</t>
        </r>
      </text>
    </comment>
    <comment ref="E904" authorId="0" shapeId="0">
      <text>
        <r>
          <rPr>
            <sz val="10"/>
            <color rgb="FF000000"/>
            <rFont val="Arial"/>
          </rPr>
          <t>"Palm Oil, Malaysia"
1 lb = 453.592g
CleanMetrics. (2020). Food Carbon Emissions Calculator. http://www.foodemissions.com/Calculator.</t>
        </r>
      </text>
    </comment>
    <comment ref="B911" authorId="0" shapeId="0">
      <text>
        <r>
          <rPr>
            <sz val="10"/>
            <color rgb="FF000000"/>
            <rFont val="Arial"/>
          </rPr>
          <t>NDB# 16087: PEANUTS ALL TYPES RAW
USDA, (2019). "Peanuts all types raw." FoodData Central. U.S. Department of Agriculture. Available at https://fdc.nal.usda.gov/fdc-app.html#/food-details/172430/nutrients.</t>
        </r>
      </text>
    </comment>
    <comment ref="C911" authorId="0" shapeId="0">
      <text>
        <r>
          <rPr>
            <sz val="10"/>
            <color rgb="FF000000"/>
            <rFont val="Arial"/>
          </rPr>
          <t>NDB# 16087: PEANUTS ALL TYPES RAW
Eshel, Gidon.  "MAD". Gidon_EnvironCalcPaper3_151104AS_poultryconcise (2).xlsx</t>
        </r>
      </text>
    </comment>
    <comment ref="D911" authorId="0" shapeId="0">
      <text>
        <r>
          <rPr>
            <sz val="10"/>
            <color rgb="FF000000"/>
            <rFont val="Arial"/>
          </rPr>
          <t>NDB# NDB# 16087: PEANUTS ALL TYPES RAW
Eshel, Gidon.  "MAD". Gidon_EnvironCalcPaper3_151104AS_poultryconcise (2).xlsx</t>
        </r>
      </text>
    </comment>
    <comment ref="E911" authorId="0" shapeId="0">
      <text>
        <r>
          <rPr>
            <sz val="10"/>
            <color rgb="FF000000"/>
            <rFont val="Arial"/>
          </rPr>
          <t>Mekonnen, M. M., &amp; Hoekstra, A. Y. (2011). "Groundnuts shelled." The green, blue and grey water footprint of crops and derived crop products.</t>
        </r>
      </text>
    </comment>
    <comment ref="F911" authorId="0" shapeId="0">
      <text>
        <r>
          <rPr>
            <sz val="10"/>
            <color rgb="FF000000"/>
            <rFont val="Arial"/>
          </rPr>
          <t>"Peanuts, CA, USA"
1lb = 453.592g
CleanMetrics. (2020). "Peanuts." Food Carbon Emissions Calculator. http://www.foodemissions.com/Calculator.</t>
        </r>
      </text>
    </comment>
    <comment ref="B912" authorId="0" shapeId="0">
      <text>
        <r>
          <rPr>
            <sz val="10"/>
            <color rgb="FF000000"/>
            <rFont val="Arial"/>
          </rPr>
          <t>NDB# 4042: Oil, peanut, salad or cooking
USDA, (2019). "Oil, peanut, salad or cooking." FoodData Central. U.S. Department of Agriculture. Available at https://fdc.nal.usda.gov/fdc-app.html#/food-details/171410/nutrients.</t>
        </r>
      </text>
    </comment>
    <comment ref="F912" authorId="0" shapeId="0">
      <text>
        <r>
          <rPr>
            <sz val="10"/>
            <color rgb="FF000000"/>
            <rFont val="Arial"/>
          </rPr>
          <t>add 10% to GHGE (Gidon Correspondence re: Corn oil)</t>
        </r>
      </text>
    </comment>
    <comment ref="E920" authorId="0" shapeId="0">
      <text>
        <r>
          <rPr>
            <sz val="10"/>
            <color rgb="FF000000"/>
            <rFont val="Arial"/>
          </rPr>
          <t>Rapeseeds
Mekonnen, M. M., &amp; Hoekstra, A. Y. (2011). The green, blue and grey water footprint of crops and derived crop products.</t>
        </r>
      </text>
    </comment>
    <comment ref="B921" authorId="0" shapeId="0">
      <text>
        <r>
          <rPr>
            <sz val="10"/>
            <color rgb="FF000000"/>
            <rFont val="Arial"/>
          </rPr>
          <t>INRAE, CIRAD, AFZ, and FAO. (n.d.). Rapeseeds: Nutritional Tables. Feedipedia, Animal feed resources information system. Available at https://www.feedipedia.org/node/15617</t>
        </r>
      </text>
    </comment>
    <comment ref="C921" authorId="0" shapeId="0">
      <text>
        <r>
          <rPr>
            <sz val="10"/>
            <color rgb="FF000000"/>
            <rFont val="Arial"/>
          </rPr>
          <t>INRAE, CIRAD, AFZ, and FAO. (n.d.). Rapeseeds: Nutritional Tables. Feedipedia, Animal feed resources information system. Available at https://www.feedipedia.org/node/15617</t>
        </r>
      </text>
    </comment>
    <comment ref="B923" authorId="0" shapeId="0">
      <text>
        <r>
          <rPr>
            <sz val="10"/>
            <color rgb="FF000000"/>
            <rFont val="Arial"/>
          </rPr>
          <t>"OIL CANOLA"
Eshel, Gidon.  "MAD". Gidon_EnvironCalcPaper3_151104AS_poultryconcise (2).xlsx</t>
        </r>
      </text>
    </comment>
    <comment ref="C923" authorId="0" shapeId="0">
      <text>
        <r>
          <rPr>
            <sz val="10"/>
            <color rgb="FF000000"/>
            <rFont val="Arial"/>
          </rPr>
          <t>"OIL CANOLA"
Eshel, Gidon.  "MAD". Gidon_EnvironCalcPaper3_151104AS_poultryconcise (2).xlsx</t>
        </r>
      </text>
    </comment>
    <comment ref="E923" authorId="0" shapeId="0">
      <text>
        <r>
          <rPr>
            <sz val="10"/>
            <color rgb="FF000000"/>
            <rFont val="Arial"/>
          </rPr>
          <t>"Rapeseed/Canola Oil, Europe"
1lb = 453.592g
CleanMetrics. (2020). "Rapeseed/Canola Oil." Food Carbon Emissions Calculator. http://www.foodemissions.com/Calculator.</t>
        </r>
      </text>
    </comment>
    <comment ref="E931" authorId="0" shapeId="0">
      <text>
        <r>
          <rPr>
            <sz val="10"/>
            <color rgb="FF000000"/>
            <rFont val="Arial"/>
          </rPr>
          <t>Mekonnen, M. M., &amp; Hoekstra, A. Y. (2011). "Soya beans." The green, blue and grey water footprint of crops and derived crop products.</t>
        </r>
      </text>
    </comment>
    <comment ref="B932" authorId="0" shapeId="0">
      <text>
        <r>
          <rPr>
            <sz val="10"/>
            <color rgb="FF000000"/>
            <rFont val="Arial"/>
          </rPr>
          <t>INRAE, CIRAD, AFZ, and FAO. (n.d.). Soybean seeds: Nutritional Tables. Feedipedia, Animal feed resources information system. Available at https://www.feedipedia.org/node/42</t>
        </r>
      </text>
    </comment>
    <comment ref="C932" authorId="0" shapeId="0">
      <text>
        <r>
          <rPr>
            <sz val="10"/>
            <color rgb="FF000000"/>
            <rFont val="Arial"/>
          </rPr>
          <t>INRAE, CIRAD, AFZ, and FAO. (n.d.). Soybean seeds: Nutritional Tables. Feedipedia, Animal feed resources information system. Available at https://www.feedipedia.org/node/42</t>
        </r>
      </text>
    </comment>
    <comment ref="B934" authorId="0" shapeId="0">
      <text>
        <r>
          <rPr>
            <sz val="10"/>
            <color rgb="FF000000"/>
            <rFont val="Arial"/>
          </rPr>
          <t>NDB# 16111: SOYBEANS MATURE SEEDS DRY RSTD
Eshel, Gidon.  "MAD". Gidon_EnvironCalcPaper3_151104AS_poultryconcise (2).xlsx</t>
        </r>
      </text>
    </comment>
    <comment ref="C934" authorId="0" shapeId="0">
      <text>
        <r>
          <rPr>
            <sz val="10"/>
            <color rgb="FF000000"/>
            <rFont val="Arial"/>
          </rPr>
          <t>NDB# 16111: SOYBEANS MATURE SEEDS DRY RSTD
Eshel, Gidon.  "MAD". Gidon_EnvironCalcPaper3_151104AS_poultryconcise (2).xlsx</t>
        </r>
      </text>
    </comment>
    <comment ref="D934" authorId="0" shapeId="0">
      <text>
        <r>
          <rPr>
            <sz val="10"/>
            <color rgb="FF000000"/>
            <rFont val="Arial"/>
          </rPr>
          <t>Mekonnen, M. M., &amp; Hoekstra, A. Y. (2011). "Soya beans." The green, blue and grey water footprint of crops and derived crop products.</t>
        </r>
      </text>
    </comment>
    <comment ref="E934" authorId="0" shapeId="0">
      <text>
        <r>
          <rPr>
            <sz val="10"/>
            <color rgb="FF000000"/>
            <rFont val="Arial"/>
          </rPr>
          <t>"Soybeans, OH, USA"
1lb = 453.592g
CleanMetrics. (2020). "Soybeans." Food Carbon Emissions Calculator. http://www.foodemissions.com/Calculator.</t>
        </r>
      </text>
    </comment>
    <comment ref="B935" authorId="0" shapeId="0">
      <text>
        <r>
          <rPr>
            <sz val="10"/>
            <color rgb="FF000000"/>
            <rFont val="Arial"/>
          </rPr>
          <t>NDB# 04044: OIL SOYBN SALAD OR COOKING
Eshel, Gidon.  "MAD". Gidon_EnvironCalcPaper3_151104AS_poultryconcise (2).xlsx</t>
        </r>
      </text>
    </comment>
    <comment ref="C935" authorId="0" shapeId="0">
      <text>
        <r>
          <rPr>
            <sz val="10"/>
            <color rgb="FF000000"/>
            <rFont val="Arial"/>
          </rPr>
          <t>NDB# 04044: OIL SOYBN SALAD OR COOKING
Eshel, Gidon.  "MAD". Gidon_EnvironCalcPaper3_151104AS_poultryconcise (2).xlsx</t>
        </r>
      </text>
    </comment>
    <comment ref="E935" authorId="0" shapeId="0">
      <text>
        <r>
          <rPr>
            <sz val="10"/>
            <color rgb="FF000000"/>
            <rFont val="Arial"/>
          </rPr>
          <t>"Soybean Oil, USA"
1lb = 453.592g
CleanMetrics. (2020). "Soybean Oil." Food Carbon Emissions Calculator. http://www.foodemissions.com/Calculator.</t>
        </r>
      </text>
    </comment>
    <comment ref="B936" authorId="0" shapeId="0">
      <text>
        <r>
          <rPr>
            <sz val="10"/>
            <color rgb="FF000000"/>
            <rFont val="Arial"/>
          </rPr>
          <t>NDB# 04044: OIL SOYBN SALAD OR COOKING
Eshel, Gidon.  "MAD". Gidon_EnvironCalcPaper3_151104AS_poultryconcise (2).xlsx</t>
        </r>
      </text>
    </comment>
    <comment ref="C936" authorId="0" shapeId="0">
      <text>
        <r>
          <rPr>
            <sz val="10"/>
            <color rgb="FF000000"/>
            <rFont val="Arial"/>
          </rPr>
          <t>NDB# 04044: OIL SOYBN SALAD OR COOKING
Eshel, Gidon.  "MAD". Gidon_EnvironCalcPaper3_151104AS_poultryconcise (2).xlsx</t>
        </r>
      </text>
    </comment>
    <comment ref="E936" authorId="0" shapeId="0">
      <text>
        <r>
          <rPr>
            <sz val="10"/>
            <color rgb="FF000000"/>
            <rFont val="Arial"/>
          </rPr>
          <t>"Soybean Oil, USA"
1lb = 453.592g
CleanMetrics. (2020). "Soybean Oil." Food Carbon Emissions Calculator. http://www.foodemissions.com/Calculator.</t>
        </r>
      </text>
    </comment>
    <comment ref="E944" authorId="0" shapeId="0">
      <text>
        <r>
          <rPr>
            <sz val="10"/>
            <color rgb="FF000000"/>
            <rFont val="Arial"/>
          </rPr>
          <t>Mekonnen, M. M., &amp; Hoekstra, A. Y. (2011). "Sunflower seeds." The green, blue and grey water footprint of crops and derived crop products.</t>
        </r>
      </text>
    </comment>
    <comment ref="B945" authorId="0" shapeId="0">
      <text>
        <r>
          <rPr>
            <sz val="10"/>
            <color rgb="FF000000"/>
            <rFont val="Arial"/>
          </rPr>
          <t>INRAE, CIRAD, AFZ, and FAO. (n.d.). Sunflower seeds: Nutritional Tables. Feedipedia, Animal feed resources information system. Available at https://www.feedipedia.org/node/40</t>
        </r>
      </text>
    </comment>
    <comment ref="C945" authorId="0" shapeId="0">
      <text>
        <r>
          <rPr>
            <sz val="10"/>
            <color rgb="FF000000"/>
            <rFont val="Arial"/>
          </rPr>
          <t>INRAE, CIRAD, AFZ, and FAO. (n.d.). Sunflower seeds: Nutritional Tables. Feedipedia, Animal feed resources information system. Available at https://www.feedipedia.org/node/40</t>
        </r>
      </text>
    </comment>
    <comment ref="B947" authorId="0" shapeId="0">
      <text>
        <r>
          <rPr>
            <sz val="10"/>
            <color rgb="FF000000"/>
            <rFont val="Arial"/>
          </rPr>
          <t>Land Use= 1.3t/ha
 1g = 1,000,000 metric tons
10,000 m^2 = 1 ha
Dumelin, Erich E. (2009). "Life Cycle Assessments of Palm Oil and Vegetable Oils." SCI’s Oils &amp; Fats Group International lecture. pp. 16.  Available at https://www.soci.org/news/lipids/lipids-palm-oil-papers.</t>
        </r>
      </text>
    </comment>
    <comment ref="C947" authorId="0" shapeId="0">
      <text>
        <r>
          <rPr>
            <sz val="10"/>
            <color rgb="FF000000"/>
            <rFont val="Arial"/>
          </rPr>
          <t>Fertilizer Input:
183kgN/ton oil
Dumelin, Erich E. (2009). "Life Cycle Assessments of Palm Oil and Vegetable Oils." SCI’s Oils &amp; Fats Group International lecture. pp. 13.  Available at https://www.soci.org/news/lipids/lipids-palm-oil-papers.
1000g = 1kg
1 metric ton = 1,000,000g</t>
        </r>
      </text>
    </comment>
    <comment ref="E947" authorId="0" shapeId="0">
      <text>
        <r>
          <rPr>
            <sz val="10"/>
            <color rgb="FF000000"/>
            <rFont val="Arial"/>
          </rPr>
          <t>"Sunflower Oil, Europe"
1lb = 453.592g
CleanMetrics. (2020). Food Carbon Emissions Calculator. http://www.foodemissions.com/Calculator.</t>
        </r>
      </text>
    </comment>
    <comment ref="A958" authorId="0" shapeId="0">
      <text>
        <r>
          <rPr>
            <sz val="10"/>
            <color rgb="FF000000"/>
            <rFont val="Arial"/>
          </rPr>
          <t xml:space="preserve">https://downloads.usda.library.cornell.edu/usda-esmis/files/bg257f046/w3763899g/d504rn59q/CatfProd-07-20-2018.pdf
</t>
        </r>
      </text>
    </comment>
    <comment ref="A959" authorId="0" shapeId="0">
      <text>
        <r>
          <rPr>
            <sz val="10"/>
            <color rgb="FF000000"/>
            <rFont val="Arial"/>
          </rPr>
          <t>VIMS. (2017, May 24). Virginia continues to lead in clam and oyster aquaculture. Available at https://www.vims.edu/newsandevents/topstories/2017/shellfish_aquaculture_report_16.php.</t>
        </r>
      </text>
    </comment>
    <comment ref="A960" authorId="0" shapeId="0">
      <text>
        <r>
          <rPr>
            <sz val="10"/>
            <color rgb="FF000000"/>
            <rFont val="Arial"/>
          </rPr>
          <t>Otterå, Håkon. (2004, January 1). Gadus morhua. FAO Fisheries Division [online]. Available at http://www.fao.org/fishery/culturedspecies/Gadus_morhua/en.
Wikipedia. (2021, January 20). Cod. Available at https://en.wikipedia.org/wiki/Cod.</t>
        </r>
      </text>
    </comment>
    <comment ref="A961" authorId="0" shapeId="0">
      <text>
        <r>
          <rPr>
            <sz val="10"/>
            <color rgb="FF000000"/>
            <rFont val="Arial"/>
          </rPr>
          <t>Wikipedia. (2021, January 23). Flatfish. Available at https://en.wikipedia.org/wiki/Flatfish.
Alaskan Seafood Cooperative. (2011). Background Information About The Alaska Seafood Cooperative. Available at http://alaskaseafoodcooperative.org/background-information-about-the-alaska-flatfish-fishery/.</t>
        </r>
      </text>
    </comment>
    <comment ref="A963" authorId="0" shapeId="0">
      <text>
        <r>
          <rPr>
            <sz val="10"/>
            <color rgb="FF000000"/>
            <rFont val="Arial"/>
          </rPr>
          <t>Wikipedia. (2021, January 23). Flatfish. Available at https://en.wikipedia.org/wiki/Flatfish.</t>
        </r>
      </text>
    </comment>
    <comment ref="A965" authorId="0" shapeId="0">
      <text>
        <r>
          <rPr>
            <sz val="10"/>
            <color rgb="FF000000"/>
            <rFont val="Arial"/>
          </rPr>
          <t>Alaska pollock. (2021 January 1).  In Wikipedia. Available at https://en.wikipedia.org/wiki/Alaska_pollock.</t>
        </r>
      </text>
    </comment>
    <comment ref="A969" authorId="0" shapeId="0">
      <text>
        <r>
          <rPr>
            <sz val="10"/>
            <color rgb="FF000000"/>
            <rFont val="Arial"/>
          </rPr>
          <t>Tilapia. (2021, January 12).  In Wikipedia. Available at https://en.wikipedia.org/wiki/Tilapia.
Banrie. (2012, April 8). Tilapia Aquaculture in China. The Fish Site. Available at https://thefishsite.com/articles/tilapia-aquaculture-in-china.
Aquatic Network. (2021). U.S. Tilapia Imports. Available at https://www.aquanet.com/us-tilapia-imports.</t>
        </r>
      </text>
    </comment>
    <comment ref="A1003" authorId="0" shapeId="0">
      <text>
        <r>
          <rPr>
            <sz val="10"/>
            <color rgb="FF000000"/>
            <rFont val="Arial"/>
          </rPr>
          <t>Pucylowski 2017</t>
        </r>
      </text>
    </comment>
    <comment ref="E1003" authorId="0" shapeId="0">
      <text>
        <r>
          <rPr>
            <sz val="10"/>
            <color rgb="FF000000"/>
            <rFont val="Arial"/>
          </rPr>
          <t>Pucylowski: Impact Assessment Results of the LCA of One Dozen Single Live Classic Pacific Oysters on the Half Shell
Unit: kg N eq
This number is the total of : 2mm oyster seed (Hatchery), 6-12mm oyster seed (FLUPSY), 
adult oysters (Grow-out), and live oysters on
the halfshell (Processing)</t>
        </r>
      </text>
    </comment>
    <comment ref="F1003" authorId="0" shapeId="0">
      <text>
        <r>
          <rPr>
            <sz val="10"/>
            <color rgb="FF000000"/>
            <rFont val="Arial"/>
          </rPr>
          <t>1 medium oyster = 50g
1dozen*50g=600g
.0000258gNr/600g * 1/6//1/6 to make the denominator 100g
USDA. (2019). Mollusks, oyster, Pacific, raw.  FoodData Central. U.S. Department of Agriculture. Available at https://fdc.nal.usda.gov/fdc-app.html#/food-details/174219/nutrients.</t>
        </r>
      </text>
    </comment>
    <comment ref="K1003" authorId="0" shapeId="0">
      <text>
        <r>
          <rPr>
            <sz val="10"/>
            <color rgb="FF000000"/>
            <rFont val="Arial"/>
          </rPr>
          <t>Pucylowski: Impact Assessment Results of the LCA of One Dozen Single Live Classic Pacific Oysters on the Half Shell
Unit: kg CO2 eq
This number is the total of : 2mm oyster seed (Hatchery), 6-12mm oyster seed (FLUPSY), 
adult oysters (Grow-out), and live oysters on
the halfshell (Processing)</t>
        </r>
      </text>
    </comment>
    <comment ref="L1003" authorId="0" shapeId="0">
      <text>
        <r>
          <rPr>
            <sz val="10"/>
            <color rgb="FF000000"/>
            <rFont val="Arial"/>
          </rPr>
          <t>1 medium oyster = 50g
1dozen*50g=600g
.170gCO2eq/600g* 1/6//1/6 to make the denominator 100g
USDA. (2019). Mollusks, oyster, Pacific, raw.  FoodData Central. U.S. Department of Agriculture. Available at https://fdc.nal.usda.gov/fdc-app.html#/food-details/174219/nutrients.</t>
        </r>
      </text>
    </comment>
    <comment ref="A1004" authorId="0" shapeId="0">
      <text>
        <r>
          <rPr>
            <sz val="10"/>
            <color rgb="FF000000"/>
            <rFont val="Arial"/>
          </rPr>
          <t>Pucylowski 2017</t>
        </r>
      </text>
    </comment>
    <comment ref="E1004" authorId="0" shapeId="0">
      <text>
        <r>
          <rPr>
            <sz val="10"/>
            <color rgb="FF000000"/>
            <rFont val="Arial"/>
          </rPr>
          <t>Pucylowski: Table 2. Impact Assessment Results of the LCA of One Dozen Single Live Shigokus Oysters on the Half Shell
Unit: kg N eq
This number is the total of : 2mm oyster seed (Hatchery), 6-12mm oyster seed (FLUPSY), 
adult oysters (Grow-out), and live oysters on
the halfshell (Processing)</t>
        </r>
      </text>
    </comment>
    <comment ref="F1004" authorId="0" shapeId="0">
      <text>
        <r>
          <rPr>
            <sz val="10"/>
            <color rgb="FF000000"/>
            <rFont val="Arial"/>
          </rPr>
          <t>1 medium oyster = 50g
1dozen*50g=600g
.0000349gN/600g* 1/6//1/6 to make the denominator 100g
USDA. (2019). Mollusks, oyster, Pacific, raw.  FoodData Central. U.S. Department of Agriculture. Available at https://fdc.nal.usda.gov/fdc-app.html#/food-details/174219/nutrients.</t>
        </r>
      </text>
    </comment>
    <comment ref="K1004" authorId="0" shapeId="0">
      <text>
        <r>
          <rPr>
            <sz val="10"/>
            <color rgb="FF000000"/>
            <rFont val="Arial"/>
          </rPr>
          <t>Pucylowski: Table 2. Impact Assessment Results of the LCA of One Dozen Single Live Shigokus Oysters on the Half Shell
Unit: gCO2eq
This number is the total of : 2mm oyster seed (Hatchery), 6-12mm oyster seed (FLUPSY), 
adult oysters (Grow-out), and live oysters on
the halfshell (Processing)</t>
        </r>
      </text>
    </comment>
    <comment ref="L1004" authorId="0" shapeId="0">
      <text>
        <r>
          <rPr>
            <sz val="10"/>
            <color rgb="FF000000"/>
            <rFont val="Arial"/>
          </rPr>
          <t>1 medium oyster = 50g
1dozen*50g=600g
.202gCO2eq/600g* 1/6//1/6 to make the denominator 100g
USDA. (2019). Mollusks, oyster, Pacific, raw.  FoodData Central. U.S. Department of Agriculture. Available at https://fdc.nal.usda.gov/fdc-app.html#/food-details/174219/nutrients.</t>
        </r>
      </text>
    </comment>
    <comment ref="M1005" authorId="0" shapeId="0">
      <text>
        <r>
          <rPr>
            <sz val="10"/>
            <color rgb="FF000000"/>
            <rFont val="Arial"/>
          </rPr>
          <t>Average from Pucylowski paper; Gidon: "the order of magnitude diff above gives me pause. The Puc.. paper is likely an underestimate. Let's use the average of 0.24 and 0.31."</t>
        </r>
      </text>
    </comment>
    <comment ref="A1006" authorId="0" shapeId="0">
      <text>
        <r>
          <rPr>
            <sz val="10"/>
            <color rgb="FF000000"/>
            <rFont val="Arial"/>
          </rPr>
          <t>Heller 2018 Greenhouse Gas Emissions and energy use associated with production of individual self-selected diets</t>
        </r>
      </text>
    </comment>
    <comment ref="A1007" authorId="0" shapeId="0">
      <text>
        <r>
          <rPr>
            <sz val="10"/>
            <color rgb="FF000000"/>
            <rFont val="Arial"/>
          </rPr>
          <t>Parker 2018 Greenhouse Gas Emissions of World Fisheries</t>
        </r>
      </text>
    </comment>
    <comment ref="E1018" authorId="0" shapeId="0">
      <text>
        <r>
          <rPr>
            <sz val="10"/>
            <color rgb="FF000000"/>
            <rFont val="Arial"/>
          </rPr>
          <t>"Seafood - confidential" Sheet</t>
        </r>
      </text>
    </comment>
    <comment ref="B1030" authorId="0" shapeId="0">
      <text>
        <r>
          <rPr>
            <sz val="10"/>
            <color rgb="FF000000"/>
            <rFont val="Arial"/>
          </rPr>
          <t>Fish, tuna, fresh, yellowfin, raw
https://fdc.nal.usda.gov/fdc-app.html#/food-details/175159/nutrients</t>
        </r>
      </text>
    </comment>
    <comment ref="C1030" authorId="0" shapeId="0">
      <text>
        <r>
          <rPr>
            <sz val="10"/>
            <color rgb="FF000000"/>
            <rFont val="Arial"/>
          </rPr>
          <t>Fish, tuna, yellowfin, fresh, cooked, dry heat
https://fdc.nal.usda.gov/fdc-app.html#/food-details/172006/nutrients</t>
        </r>
      </text>
    </comment>
    <comment ref="C1032" authorId="0" shapeId="0">
      <text>
        <r>
          <rPr>
            <sz val="10"/>
            <color rgb="FF000000"/>
            <rFont val="Arial"/>
          </rPr>
          <t>FISH,TUNA,LT,CND IN H2O,DRND SOL
Eshel, Gidon.  "MAD". Gidon_EnvironCalcPaper3_151104AS_poultryconcise (2).xlsx</t>
        </r>
      </text>
    </comment>
    <comment ref="F1032" authorId="0" shapeId="0">
      <text>
        <r>
          <rPr>
            <sz val="10"/>
            <color rgb="FF000000"/>
            <rFont val="Arial"/>
          </rPr>
          <t>"Tuna, cooked, for canning", Europe, canned
CleanMetrics. (2020). Food Carbon Emissions Calculator. http://www.foodemissions.com/Calculator.</t>
        </r>
      </text>
    </comment>
    <comment ref="E1033" authorId="0" shapeId="0">
      <text>
        <r>
          <rPr>
            <sz val="10"/>
            <color rgb="FF000000"/>
            <rFont val="Arial"/>
          </rPr>
          <t>Gephart data</t>
        </r>
      </text>
    </comment>
    <comment ref="F1033" authorId="0" shapeId="0">
      <text>
        <r>
          <rPr>
            <sz val="10"/>
            <color rgb="FF000000"/>
            <rFont val="Arial"/>
          </rPr>
          <t>Tuna, filleted, Europe, frozen
CleanMetrics. (2020). Food Carbon Emissions Calculator. http://www.foodemissions.com/Calculator.</t>
        </r>
      </text>
    </comment>
    <comment ref="B1043" authorId="0" shapeId="0">
      <text>
        <r>
          <rPr>
            <sz val="10"/>
            <color rgb="FF000000"/>
            <rFont val="Arial"/>
          </rPr>
          <t>(Poore et al. 2018, Mean for Brassicas (n=32))</t>
        </r>
      </text>
    </comment>
    <comment ref="G1043" authorId="0" shapeId="0">
      <text>
        <r>
          <rPr>
            <sz val="10"/>
            <color rgb="FF000000"/>
            <rFont val="Arial"/>
          </rPr>
          <t>due to lack of data, the average of similar brassicas was used for Brussels sprouts</t>
        </r>
      </text>
    </comment>
    <comment ref="H1043" authorId="0" shapeId="0">
      <text>
        <r>
          <rPr>
            <sz val="10"/>
            <color rgb="FF000000"/>
            <rFont val="Arial"/>
          </rPr>
          <t>(Mekonnen and Hoekstra 2011)</t>
        </r>
      </text>
    </comment>
    <comment ref="K1043" authorId="0" shapeId="0">
      <text>
        <r>
          <rPr>
            <sz val="10"/>
            <color rgb="FF000000"/>
            <rFont val="Arial"/>
          </rPr>
          <t>(Heller et al. 2018)</t>
        </r>
      </text>
    </comment>
    <comment ref="B1047" authorId="0" shapeId="0">
      <text>
        <r>
          <rPr>
            <sz val="10"/>
            <color rgb="FF000000"/>
            <rFont val="Arial"/>
          </rPr>
          <t>BROCCOLI RAW
Eshel, Gidon.  "MAD". Gidon_EnvironCalcPaper3_151104AS_poultryconcise (2).xlsx</t>
        </r>
      </text>
    </comment>
    <comment ref="C1047" authorId="0" shapeId="0">
      <text>
        <r>
          <rPr>
            <sz val="10"/>
            <color rgb="FF000000"/>
            <rFont val="Arial"/>
          </rPr>
          <t>BROCCOLI RAW
Eshel, Gidon.  "MAD". Gidon_EnvironCalcPaper3_151104AS_poultryconcise (2).xlsx</t>
        </r>
      </text>
    </comment>
    <comment ref="D1047" authorId="0" shapeId="0">
      <text>
        <r>
          <rPr>
            <sz val="10"/>
            <color rgb="FF000000"/>
            <rFont val="Arial"/>
          </rPr>
          <t>Cauliflowers and Broccoli
Mekonnen, M. M., &amp; Hoekstra, A. Y. (2011). The green, blue and grey water footprint of crops and derived crop products. Hydrology and Earth System Sciences, 15(5), 1577-1600.
The edible yield of "broccoli" is 61%.
The Culinary Institute of America. "Educator Lesson Plan “ʻKitchen Calculations.ʻ"  Available at https://www.ciachef.edu/uploadedFiles/Pages/Admissions_and_Financial_Aid/Educators/Educational_Materials/Technique_of_the_Quarter/techniques-calculations.pdf.</t>
        </r>
      </text>
    </comment>
    <comment ref="E1047" authorId="0" shapeId="0">
      <text>
        <r>
          <rPr>
            <sz val="10"/>
            <color rgb="FF000000"/>
            <rFont val="Arial"/>
          </rPr>
          <t>Broccoli; CA, USA
CleanMetrics. (2020). Food Carbon Emissions Calculator. http://www.foodemissions.com/Calculator.
The edible yield of "broccoli" is 61%.
The Culinary Institute of America. "Educator Lesson Plan “ʻKitchen Calculations.ʻ"  Available at https://www.ciachef.edu/uploadedFiles/Pages/Admissions_and_Financial_Aid/Educators/Educational_Materials/Technique_of_the_Quarter/techniques-calculations.pdf.</t>
        </r>
      </text>
    </comment>
    <comment ref="B1048" authorId="0" shapeId="0">
      <text>
        <r>
          <rPr>
            <sz val="10"/>
            <color rgb="FF000000"/>
            <rFont val="Arial"/>
          </rPr>
          <t>Value for Brassicas (mean) (m2/kg)
Poore, J., &amp; Nemecek, T. (2018). Reducing food’s environmental impacts through producers and consumers. Science, 360(6392), 987-992.
The edible yield of "Brussels sprouts" is 74%.
The Culinary Institute of America. "Educator Lesson Plan “ʻKitchen Calculations.ʻ"  Available at https://www.ciachef.edu/uploadedFiles/Pages/Admissions_and_Financial_Aid/Educators/Educational_Materials/Technique_of_the_Quarter/techniques-calculations.pdf.</t>
        </r>
      </text>
    </comment>
    <comment ref="C1048" authorId="0" shapeId="0">
      <text>
        <r>
          <rPr>
            <sz val="10"/>
            <color rgb="FF000000"/>
            <rFont val="Arial"/>
          </rPr>
          <t>The edible yield of "Brussels sprouts" is 74%.
The Culinary Institute of America. "Educator Lesson Plan “ʻKitchen Calculations.ʻ"  Available at https://www.ciachef.edu/uploadedFiles/Pages/Admissions_and_Financial_Aid/Educators/Educational_Materials/Technique_of_the_Quarter/techniques-calculations.pdf.</t>
        </r>
      </text>
    </comment>
    <comment ref="D1048" authorId="0" shapeId="0">
      <text>
        <r>
          <rPr>
            <sz val="10"/>
            <color rgb="FF000000"/>
            <rFont val="Arial"/>
          </rPr>
          <t>Brussels Sprouts
Mekonnen, M. M., &amp; Hoekstra, A. Y. (2011). The green, blue and grey water footprint of crops and derived crop products. Hydrology and Earth System Sciences, 15(5), 1577-1600.
The edible yield of "Brussels sprouts" is 74%.
The Culinary Institute of America. "Educator Lesson Plan “ʻKitchen Calculations.ʻ"  Available at https://www.ciachef.edu/uploadedFiles/Pages/Admissions_and_Financial_Aid/Educators/Educational_Materials/Technique_of_the_Quarter/techniques-calculations.pdf.</t>
        </r>
      </text>
    </comment>
    <comment ref="E1048" authorId="0" shapeId="0">
      <text>
        <r>
          <rPr>
            <sz val="10"/>
            <color rgb="FF000000"/>
            <rFont val="Arial"/>
          </rPr>
          <t>Brussels Sprouts, USA
CleanMetrics. (2020). Food Carbon Emissions Calculator. http://www.foodemissions.com/Calculator.
The edible yield of "Brussels sprouts" is 74%.
The Culinary Institute of America. "Educator Lesson Plan “ʻKitchen Calculations.ʻ"  Available at https://www.ciachef.edu/uploadedFiles/Pages/Admissions_and_Financial_Aid/Educators/Educational_Materials/Technique_of_the_Quarter/techniques-calculations.pdf.</t>
        </r>
      </text>
    </comment>
    <comment ref="B1049" authorId="0" shapeId="0">
      <text>
        <r>
          <rPr>
            <sz val="10"/>
            <color rgb="FF000000"/>
            <rFont val="Arial"/>
          </rPr>
          <t>CABBAGE RAW
Eshel, Gidon.  "MAD". Gidon_EnvironCalcPaper3_151104AS_poultryconcise (2).xlsx</t>
        </r>
      </text>
    </comment>
    <comment ref="C1049" authorId="0" shapeId="0">
      <text>
        <r>
          <rPr>
            <sz val="10"/>
            <color rgb="FF000000"/>
            <rFont val="Arial"/>
          </rPr>
          <t>CABBAGE RAW
Eshel, Gidon.  "MAD". Gidon_EnvironCalcPaper3_151104AS_poultryconcise (2).xlsx</t>
        </r>
      </text>
    </comment>
    <comment ref="D1049" authorId="0" shapeId="0">
      <text>
        <r>
          <rPr>
            <sz val="10"/>
            <color rgb="FF000000"/>
            <rFont val="Arial"/>
          </rPr>
          <t>Cabbages and other brassicas
Mekonnen, M. M., &amp; Hoekstra, A. Y. (2011). The green, blue and grey water footprint of crops and derived crop products. Hydrology and Earth System Sciences, 15(5), 1577-1600.
The edible yield of "Cabbage, green" is 79%.
The Culinary Institute of America. "Educator Lesson Plan “ʻKitchen Calculations.ʻ"  Available at https://www.ciachef.edu/uploadedFiles/Pages/Admissions_and_Financial_Aid/Educators/Educational_Materials/Technique_of_the_Quarter/techniques-calculations.pdf.</t>
        </r>
      </text>
    </comment>
    <comment ref="E1049" authorId="0" shapeId="0">
      <text>
        <r>
          <rPr>
            <sz val="10"/>
            <color rgb="FF000000"/>
            <rFont val="Arial"/>
          </rPr>
          <t>Cabbage; CA, USA
CleanMetrics. (2020). Food Carbon Emissions Calculator. http://www.foodemissions.com/Calculator.
The edible yield of "Cabbage, green" is 79%.
The Culinary Institute of America. "Educator Lesson Plan “ʻKitchen Calculations.ʻ"  Available at https://www.ciachef.edu/uploadedFiles/Pages/Admissions_and_Financial_Aid/Educators/Educational_Materials/Technique_of_the_Quarter/techniques-calculations.pdf.</t>
        </r>
      </text>
    </comment>
    <comment ref="B1050" authorId="0" shapeId="0">
      <text>
        <r>
          <rPr>
            <sz val="10"/>
            <color rgb="FF000000"/>
            <rFont val="Arial"/>
          </rPr>
          <t>CAULIFLOWER RAW
Eshel, Gidon.  "MAD". Gidon_EnvironCalcPaper3_151104AS_poultryconcise (2).xlsx</t>
        </r>
      </text>
    </comment>
    <comment ref="C1050" authorId="0" shapeId="0">
      <text>
        <r>
          <rPr>
            <sz val="10"/>
            <color rgb="FF000000"/>
            <rFont val="Arial"/>
          </rPr>
          <t>CAULIFLOWER RAW
Eshel, Gidon.  "MAD". Gidon_EnvironCalcPaper3_151104AS_poultryconcise (2).xlsx</t>
        </r>
      </text>
    </comment>
    <comment ref="D1050" authorId="0" shapeId="0">
      <text>
        <r>
          <rPr>
            <sz val="10"/>
            <color rgb="FF000000"/>
            <rFont val="Arial"/>
          </rPr>
          <t>Cauliflowers and Broccoli
Mekonnen, M. M., &amp; Hoekstra, A. Y. (2011). The green, blue and grey water footprint of crops and derived crop products. Hydrology and Earth System Sciences, 15(5), 1577-1600.
The edible yield of "Cauliflower" is 45%.
The Culinary Institute of America. "Educator Lesson Plan “ʻKitchen Calculations.ʻ"  Available at https://www.ciachef.edu/uploadedFiles/Pages/Admissions_and_Financial_Aid/Educators/Educational_Materials/Technique_of_the_Quarter/techniques-calculations.pdf.</t>
        </r>
      </text>
    </comment>
    <comment ref="E1050" authorId="0" shapeId="0">
      <text>
        <r>
          <rPr>
            <sz val="10"/>
            <color rgb="FF000000"/>
            <rFont val="Arial"/>
          </rPr>
          <t>Cauliflower; CA, USA
CleanMetrics. (2020). Food Carbon Emissions Calculator. http://www.foodemissions.com/Calculator.
The edible yield of "Cauliflower" is 45%.
The Culinary Institute of America. "Educator Lesson Plan “ʻKitchen Calculations.ʻ"  Available at https://www.ciachef.edu/uploadedFiles/Pages/Admissions_and_Financial_Aid/Educators/Educational_Materials/Technique_of_the_Quarter/techniques-calculations.pdf.</t>
        </r>
      </text>
    </comment>
    <comment ref="B1059" authorId="0" shapeId="0">
      <text>
        <r>
          <rPr>
            <sz val="10"/>
            <color rgb="FF000000"/>
            <rFont val="Arial"/>
          </rPr>
          <t>Eshel, Gidon.  "MAD". Gidon_EnvironCalcPaper3_151104AS_poultryconcise (2).xlsx</t>
        </r>
      </text>
    </comment>
    <comment ref="C1059" authorId="0" shapeId="0">
      <text>
        <r>
          <rPr>
            <sz val="10"/>
            <color rgb="FF000000"/>
            <rFont val="Arial"/>
          </rPr>
          <t>Eshel, Gidon.  "MAD". Gidon_EnvironCalcPaper3_151104AS_poultryconcise (2).xlsx</t>
        </r>
      </text>
    </comment>
    <comment ref="D1059" authorId="0" shapeId="0">
      <text>
        <r>
          <rPr>
            <sz val="10"/>
            <color rgb="FF000000"/>
            <rFont val="Arial"/>
          </rPr>
          <t>Mekonnen, M. M., &amp; Hoekstra, A. Y. (2011). "Carrots and turnips." The green, blue and grey water footprint of crops and derived crop products.
The edible yield of carrots, no tops is 82%.
The Culinary Institute of America. "Educator Lesson Plan “ʻKitchen Calculations.ʻ"  Available at https://www.ciachef.edu/uploadedFiles/Pages/Admissions_and_Financial_Aid/Educators/Educational_Materials/Technique_of_the_Quarter/techniques-calculations.pdf.</t>
        </r>
      </text>
    </comment>
    <comment ref="E1059" authorId="0" shapeId="0">
      <text>
        <r>
          <rPr>
            <sz val="10"/>
            <color rgb="FF000000"/>
            <rFont val="Arial"/>
          </rPr>
          <t>CleanMetrics. (2020). Food Carbon Emissions Calculator. http://www.foodemissions.com/Calculator.
The edible yield of carrots, no tops is 82%.
The Culinary Institute of America. "Educator Lesson Plan “ʻKitchen Calculations.ʻ"  Available at https://www.ciachef.edu/uploadedFiles/Pages/Admissions_and_Financial_Aid/Educators/Educational_Materials/Technique_of_the_Quarter/techniques-calculations.pdf.</t>
        </r>
      </text>
    </comment>
    <comment ref="B1067" authorId="0" shapeId="0">
      <text>
        <r>
          <rPr>
            <sz val="10"/>
            <color rgb="FF000000"/>
            <rFont val="Arial"/>
          </rPr>
          <t>https://fdc.nal.usda.gov/fdc-app.html#/food-details/1103193/nutrients</t>
        </r>
      </text>
    </comment>
    <comment ref="C1067" authorId="0" shapeId="0">
      <text>
        <r>
          <rPr>
            <sz val="10"/>
            <color rgb="FF000000"/>
            <rFont val="Arial"/>
          </rPr>
          <t>https://nutritiondata.self.com/facts/vegetables-and-vegetable-products/2383/2</t>
        </r>
      </text>
    </comment>
    <comment ref="B1068" authorId="0" shapeId="0">
      <text>
        <r>
          <rPr>
            <sz val="10"/>
            <color rgb="FF000000"/>
            <rFont val="Arial"/>
          </rPr>
          <t>35 kcal/100g
https://nutritiondata.self.com/facts/vegetables-and-vegetable-products/2384/2</t>
        </r>
      </text>
    </comment>
    <comment ref="C1068" authorId="0" shapeId="0">
      <text>
        <r>
          <rPr>
            <sz val="10"/>
            <color rgb="FF000000"/>
            <rFont val="Arial"/>
          </rPr>
          <t>35 kcal/100g
https://nutritiondata.self.com/facts/vegetables-and-vegetable-products/2384/2</t>
        </r>
      </text>
    </comment>
    <comment ref="B1074" authorId="0" shapeId="0">
      <text>
        <r>
          <rPr>
            <sz val="10"/>
            <color rgb="FF000000"/>
            <rFont val="Arial"/>
          </rPr>
          <t>"Corn, Sweet Corn; CA, USA"
CleanMetrics. (2020). "Corn, Sweet Corn." Food Carbon Emissions Calculator. http://www.foodemissions.com/Calculator.</t>
        </r>
      </text>
    </comment>
    <comment ref="C1074" authorId="0" shapeId="0">
      <text>
        <r>
          <rPr>
            <sz val="10"/>
            <color rgb="FF000000"/>
            <rFont val="Arial"/>
          </rPr>
          <t>1lb = 453.592g</t>
        </r>
      </text>
    </comment>
    <comment ref="D1074" authorId="0" shapeId="0">
      <text>
        <r>
          <rPr>
            <sz val="10"/>
            <color rgb="FF000000"/>
            <rFont val="Arial"/>
          </rPr>
          <t>"Sweet corn is considered a high-quality vegetable when used in the milk stage at 70-80% seed moisture, depending on the endosperm type." ~75% water ≈ ~25% corn
Stall, W. M., Waters Jr, L., Davis, D. W., Rosen, C., &amp; Clough, G. H. (2014). Sweet corn production. National Corn Handbook-43. Purdue University Cooperative Extension Service. Available online at https://www.extension.purdue.edu/extmedia/NCH/NCH-43.html.</t>
        </r>
      </text>
    </comment>
    <comment ref="G1074" authorId="0" shapeId="0">
      <text>
        <r>
          <rPr>
            <sz val="10"/>
            <color rgb="FF000000"/>
            <rFont val="Arial"/>
          </rPr>
          <t>"For satisfactory growth and high yields, sweet corn requires a continuous supply of moisture. In most oases this is the equivalent of 18 to 28 in. or water to produce a crop."
Stall, W. M., Waters Jr, L., Davis, D. W., Rosen, C., &amp; Clough, G. H. (2014). Sweet corn production. National Corn Handbook-43. Purdue University Cooperative Extension Service. Available online at https://www.extension.purdue.edu/extmedia/NCH/NCH-43. html.</t>
        </r>
      </text>
    </comment>
    <comment ref="G1075" authorId="0" shapeId="0">
      <text>
        <r>
          <rPr>
            <sz val="10"/>
            <color rgb="FF000000"/>
            <rFont val="Arial"/>
          </rPr>
          <t>Sweet corn in central Washington will require from 20 to 25 inches of irrigation water for the production of a satisfactory crop.
Van Denburgh, R. W. (2001). Sweet Corn. Cooperative Extension, Washington State University. Available at http://pubs.cahnrs.wsu.edu/publications/pubs/em4815/</t>
        </r>
      </text>
    </comment>
    <comment ref="H1077" authorId="0" shapeId="0">
      <text>
        <r>
          <rPr>
            <sz val="10"/>
            <color rgb="FF000000"/>
            <rFont val="Arial"/>
          </rPr>
          <t>1acre-inch (ac-in)= 27,154 gallons (gal)
Smajstrla, A. G. (1993). Measuring irrigation water. University of Florida, Florida Cooperative Extension Service. Available at http://irrigationtoolbox.com/ReferenceDocuments/Extension/Florida/AE04100.pdf</t>
        </r>
      </text>
    </comment>
    <comment ref="D1079" authorId="0" shapeId="0">
      <text>
        <r>
          <rPr>
            <sz val="10"/>
            <color rgb="FF000000"/>
            <rFont val="Arial"/>
          </rPr>
          <t>"CORN SWT YEL RAW" (per 100g)
Eshel, Gidon.  "MAD". Gidon_EnvironCalcPaper3_151104AS_poultryconcise (2).xlsx</t>
        </r>
      </text>
    </comment>
    <comment ref="E1079" authorId="0" shapeId="0">
      <text>
        <r>
          <rPr>
            <sz val="10"/>
            <color rgb="FF000000"/>
            <rFont val="Arial"/>
          </rPr>
          <t>"CORN SWT YEL RAW" (per 100g)
Eshel, Gidon.  "MAD". Gidon_EnvironCalcPaper3_151104AS_poultryconcise (2).xlsx</t>
        </r>
      </text>
    </comment>
    <comment ref="G1079" authorId="0" shapeId="0">
      <text>
        <r>
          <rPr>
            <sz val="10"/>
            <color rgb="FF000000"/>
            <rFont val="Arial"/>
          </rPr>
          <t xml:space="preserve">"Corn, Sweet Corn; CA, USA"
dry product form -- converted to fresh
CleanMetrics. (2020). "Corn, Sweet Corn." Food Carbon Emissions Calculator. http://www.foodemissions.com/Calculator.
Stall, W. M., Waters Jr, L., Davis, D. W., Rosen, C., &amp; Clough, G. H. (2014). Sweet corn production. National Corn Handbook-43. Purdue University Cooperative Extension Service. Available online at https://www. extension. purdue. edu/extmedia/NCH/NCH-43. html. </t>
        </r>
      </text>
    </comment>
    <comment ref="B1089" authorId="0" shapeId="0">
      <text>
        <r>
          <rPr>
            <sz val="10"/>
            <color rgb="FF000000"/>
            <rFont val="Arial"/>
          </rPr>
          <t>Daugovish, O., et al. (2008) "Celery Production in California." University of California Division of Agriculture and Natural Resources. Available at https://anrcatalog.ucanr.edu/pdf/7220.pdf</t>
        </r>
      </text>
    </comment>
    <comment ref="C1089" authorId="0" shapeId="0">
      <text>
        <r>
          <rPr>
            <sz val="10"/>
            <color rgb="FF000000"/>
            <rFont val="Arial"/>
          </rPr>
          <t>1acre-inch (ac-in)= 27,154 gal
Smajstrla, A. G. (1993). Measuring irrigation water. University of Florida, Florida Cooperative Extension Service. Available at http://irrigationtoolbox.com/ReferenceDocuments/Extension/Florida/AE04100.pdf</t>
        </r>
      </text>
    </comment>
    <comment ref="F1089" authorId="0" shapeId="0">
      <text>
        <r>
          <rPr>
            <sz val="10"/>
            <color rgb="FF000000"/>
            <rFont val="Arial"/>
          </rPr>
          <t>Daugovish, O., et al. (2008) "Celery Production in California." University of California Division of Agriculture and Natural Resources. Available at https://anrcatalog.ucanr.edu/pdf/7220.pdf</t>
        </r>
      </text>
    </comment>
    <comment ref="B1091" authorId="0" shapeId="0">
      <text>
        <r>
          <rPr>
            <sz val="10"/>
            <color rgb="FF000000"/>
            <rFont val="Arial"/>
          </rPr>
          <t>CELERY RAW
Eshel, Gidon.  "MAD". Gidon_EnvironCalcPaper3_151104AS_poultryconcise (2).xlsx</t>
        </r>
      </text>
    </comment>
    <comment ref="C1091" authorId="0" shapeId="0">
      <text>
        <r>
          <rPr>
            <sz val="10"/>
            <color rgb="FF000000"/>
            <rFont val="Arial"/>
          </rPr>
          <t>CELERY RAW
Eshel, Gidon.  "MAD". Gidon_EnvironCalcPaper3_151104AS_poultryconcise (2).xlsx</t>
        </r>
      </text>
    </comment>
    <comment ref="D1091" authorId="0" shapeId="0">
      <text>
        <r>
          <rPr>
            <sz val="10"/>
            <color rgb="FF000000"/>
            <rFont val="Arial"/>
          </rPr>
          <t>The edible yield of "Celery" is 75%.
The Culinary Institute of America. "Educator Lesson Plan “ʻKitchen Calculations.ʻ"  Available at https://www.ciachef.edu/uploadedFiles/Pages/Admissions_and_Financial_Aid/Educators/Educational_Materials/Technique_of_the_Quarter/techniques-calculations.pdf</t>
        </r>
      </text>
    </comment>
    <comment ref="E1091" authorId="0" shapeId="0">
      <text>
        <r>
          <rPr>
            <sz val="10"/>
            <color rgb="FF000000"/>
            <rFont val="Arial"/>
          </rPr>
          <t>Celery; CA, USA
CleanMetrics. (2020). Food Carbon Emissions Calculator. http://www.foodemissions.com/Calculator.
The edible yield of "Celery" is 75%.
The Culinary Institute of America. "Educator Lesson Plan “ʻKitchen Calculations.ʻ"  Available at https://www.ciachef.edu/uploadedFiles/Pages/Admissions_and_Financial_Aid/Educators/Educational_Materials/Technique_of_the_Quarter/techniques-calculations.pdf</t>
        </r>
      </text>
    </comment>
    <comment ref="B1099" authorId="0" shapeId="0">
      <text>
        <r>
          <rPr>
            <sz val="10"/>
            <color rgb="FF000000"/>
            <rFont val="Arial"/>
          </rPr>
          <t>CUCUMBER WITH PEEL RAW
Eshel, Gidon.  "MAD". Gidon_EnvironCalcPaper3_151104AS_poultryconcise (2).xlsx</t>
        </r>
      </text>
    </comment>
    <comment ref="C1099" authorId="0" shapeId="0">
      <text>
        <r>
          <rPr>
            <sz val="10"/>
            <color rgb="FF000000"/>
            <rFont val="Arial"/>
          </rPr>
          <t>CUCUMBER WITH PEEL RAW
Eshel, Gidon.  "MAD". Gidon_EnvironCalcPaper3_151104AS_poultryconcise (2).xlsx</t>
        </r>
      </text>
    </comment>
    <comment ref="D1099" authorId="0" shapeId="0">
      <text>
        <r>
          <rPr>
            <sz val="10"/>
            <color rgb="FF000000"/>
            <rFont val="Arial"/>
          </rPr>
          <t>Cucumbers and gherkins
Mekonnen, M. M., &amp; Hoekstra, A. Y. (2011). The green, blue and grey water footprint of crops and derived crop products. Hydrology and Earth System Sciences, 15(5), 1577-1600.</t>
        </r>
      </text>
    </comment>
    <comment ref="E1099" authorId="0" shapeId="0">
      <text>
        <r>
          <rPr>
            <sz val="10"/>
            <color rgb="FF000000"/>
            <rFont val="Arial"/>
          </rPr>
          <t>Cucumbers; CA, USA
CleanMetrics. (2020). Food Carbon Emissions Calculator. http://www.foodemissions.com/Calculator.</t>
        </r>
      </text>
    </comment>
    <comment ref="B1106" authorId="0" shapeId="0">
      <text>
        <r>
          <rPr>
            <sz val="10"/>
            <color rgb="FF000000"/>
            <rFont val="Arial"/>
          </rPr>
          <t>NDB # 2020 Spices, garlic powder
https://fdc.nal.usda.gov/fdc-app.html#/food-details/171325/nutrients</t>
        </r>
      </text>
    </comment>
    <comment ref="B1107" authorId="0" shapeId="0">
      <text>
        <r>
          <rPr>
            <sz val="10"/>
            <color rgb="FF000000"/>
            <rFont val="Arial"/>
          </rPr>
          <t>NDB# 11215
Garlic, raw
https://fdc.nal.usda.gov/fdc-app.html#/food-details/169230/nutrients</t>
        </r>
      </text>
    </comment>
    <comment ref="C1107" authorId="0" shapeId="0">
      <text>
        <r>
          <rPr>
            <sz val="10"/>
            <color rgb="FF000000"/>
            <rFont val="Arial"/>
          </rPr>
          <t>GARLIC RAW
Eshel, Gidon.  "MAD". Gidon_EnvironCalcPaper3_151104AS_poultryconcise (2).xlsx</t>
        </r>
      </text>
    </comment>
    <comment ref="D1107" authorId="0" shapeId="0">
      <text>
        <r>
          <rPr>
            <sz val="10"/>
            <color rgb="FF000000"/>
            <rFont val="Arial"/>
          </rPr>
          <t>GARLIC RAW
Eshel, Gidon.  "MAD". Gidon_EnvironCalcPaper3_151104AS_poultryconcise (2).xlsx</t>
        </r>
      </text>
    </comment>
    <comment ref="E1107" authorId="0" shapeId="0">
      <text>
        <r>
          <rPr>
            <sz val="10"/>
            <color rgb="FF000000"/>
            <rFont val="Arial"/>
          </rPr>
          <t>Garlic
Mekonnen, M. M., &amp; Hoekstra, A. Y. (2011). The green, blue and grey water footprint of crops and derived crop products. Hydrology and Earth System Sciences, 15(5), 1577-1600.
The edible yield of "Garlic bulb (10-12 cloves)" is 87%.
The Culinary Institute of America. "Educator Lesson Plan “ʻKitchen Calculations.ʻ"  Available at https://www.ciachef.edu/uploadedFiles/Pages/Admissions_and_Financial_Aid/Educators/Educational_Materials/Technique_of_the_Quarter/techniques-calculations.pdf</t>
        </r>
      </text>
    </comment>
    <comment ref="F1107" authorId="0" shapeId="0">
      <text>
        <r>
          <rPr>
            <sz val="10"/>
            <color rgb="FF000000"/>
            <rFont val="Arial"/>
          </rPr>
          <t>Garlic; CA, USA
CleanMetrics. (2020). Food Carbon Emissions Calculator. http://www.foodemissions.com/Calculator.
The edible yield of "Garlic bulb (10-12 cloves)" is 87%.
The Culinary Institute of America. "Educator Lesson Plan “ʻKitchen Calculations.ʻ"  Available at https://www.ciachef.edu/uploadedFiles/Pages/Admissions_and_Financial_Aid/Educators/Educational_Materials/Technique_of_the_Quarter/techniques-calculations.pdf</t>
        </r>
      </text>
    </comment>
    <comment ref="A1116" authorId="0" shapeId="0">
      <text>
        <r>
          <rPr>
            <sz val="10"/>
            <color rgb="FF000000"/>
            <rFont val="Arial"/>
          </rPr>
          <t>same as spinach: Gidon Correspondence</t>
        </r>
      </text>
    </comment>
    <comment ref="B1116" authorId="0" shapeId="0">
      <text>
        <r>
          <rPr>
            <sz val="10"/>
            <color rgb="FF000000"/>
            <rFont val="Arial"/>
          </rPr>
          <t>SPINACH RAW
Eshel, Gidon.  "MAD". Gidon_EnvironCalcPaper3_151104AS_poultryconcise (2).xlsx
The edible yield of "kale" is 74%.
The Culinary Institute of America. "Educator Lesson Plan “ʻKitchen Calculations.ʻ"  Available at https://www.ciachef.edu/uploadedFiles/Pages/Admissions_and_Financial_Aid/Educators/Educational_Materials/Technique_of_the_Quarter/techniques-calculations.pdf</t>
        </r>
      </text>
    </comment>
    <comment ref="C1116" authorId="0" shapeId="0">
      <text>
        <r>
          <rPr>
            <sz val="10"/>
            <color rgb="FF000000"/>
            <rFont val="Arial"/>
          </rPr>
          <t>SPINACH RAW
Eshel, Gidon.  "MAD". Gidon_EnvironCalcPaper3_151104AS_poultryconcise (2).xlsx
The edible yield of "kale" is 74%.
The Culinary Institute of America. "Educator Lesson Plan “ʻKitchen Calculations.ʻ"  Available at https://www.ciachef.edu/uploadedFiles/Pages/Admissions_and_Financial_Aid/Educators/Educational_Materials/Technique_of_the_Quarter/techniques-calculations.pdf</t>
        </r>
      </text>
    </comment>
    <comment ref="D1116" authorId="0" shapeId="0">
      <text>
        <r>
          <rPr>
            <sz val="10"/>
            <color rgb="FF000000"/>
            <rFont val="Arial"/>
          </rPr>
          <t>Spinach
Mekonnen, M. M., &amp; Hoekstra, A. Y. (2011). The green, blue and grey water footprint of crops and derived crop products. Hydrology and Earth System Sciences, 15(5), 1577-1600.
The edible yield of "kale" is 74%.
The Culinary Institute of America. "Educator Lesson Plan “ʻKitchen Calculations.ʻ"  Available at https://www.ciachef.edu/uploadedFiles/Pages/Admissions_and_Financial_Aid/Educators/Educational_Materials/Technique_of_the_Quarter/techniques-calculations.pdf</t>
        </r>
      </text>
    </comment>
    <comment ref="E1116" authorId="0" shapeId="0">
      <text>
        <r>
          <rPr>
            <sz val="10"/>
            <color rgb="FF000000"/>
            <rFont val="Arial"/>
          </rPr>
          <t>Spinach, CA, USA
CleanMetrics. (2020). Food Carbon Emissions Calculator. http://www.foodemissions.com/Calculator.
The edible yield of "kale" is 74%.
The Culinary Institute of America. "Educator Lesson Plan “ʻKitchen Calculations.ʻ"  Available at https://www.ciachef.edu/uploadedFiles/Pages/Admissions_and_Financial_Aid/Educators/Educational_Materials/Technique_of_the_Quarter/techniques-calculations.pdf</t>
        </r>
      </text>
    </comment>
    <comment ref="A1117" authorId="0" shapeId="0">
      <text>
        <r>
          <rPr>
            <sz val="10"/>
            <color rgb="FF000000"/>
            <rFont val="Arial"/>
          </rPr>
          <t>same as spinach: Gidon Correspondence</t>
        </r>
      </text>
    </comment>
    <comment ref="B1117" authorId="0" shapeId="0">
      <text>
        <r>
          <rPr>
            <sz val="10"/>
            <color rgb="FF000000"/>
            <rFont val="Arial"/>
          </rPr>
          <t>SPINACH RAW
Eshel, Gidon.  "MAD". Gidon_EnvironCalcPaper3_151104AS_poultryconcise (2).xlsx
The edible yield of "mustard greens" is 68%.
The Culinary Institute of America. "Educator Lesson Plan “ʻKitchen Calculations.ʻ"  Available at https://www.ciachef.edu/uploadedFiles/Pages/Admissions_and_Financial_Aid/Educators/Educational_Materials/Technique_of_the_Quarter/techniques-calculations.pdf</t>
        </r>
      </text>
    </comment>
    <comment ref="C1117" authorId="0" shapeId="0">
      <text>
        <r>
          <rPr>
            <sz val="10"/>
            <color rgb="FF000000"/>
            <rFont val="Arial"/>
          </rPr>
          <t>SPINACH RAW
Eshel, Gidon.  "MAD". Gidon_EnvironCalcPaper3_151104AS_poultryconcise (2).xlsx
The edible yield of "mustard greens" is 68%.
The Culinary Institute of America. "Educator Lesson Plan “ʻKitchen Calculations.ʻ"  Available at https://www.ciachef.edu/uploadedFiles/Pages/Admissions_and_Financial_Aid/Educators/Educational_Materials/Technique_of_the_Quarter/techniques-calculations.pdf</t>
        </r>
      </text>
    </comment>
    <comment ref="D1117" authorId="0" shapeId="0">
      <text>
        <r>
          <rPr>
            <sz val="10"/>
            <color rgb="FF000000"/>
            <rFont val="Arial"/>
          </rPr>
          <t>Spinach
Mekonnen, M. M., &amp; Hoekstra, A. Y. (2011). The green, blue and grey water footprint of crops and derived crop products. Hydrology and Earth System Sciences, 15(5), 1577-1600.
The edible yield of "mustard greens" is 68%.
The Culinary Institute of America. "Educator Lesson Plan “ʻKitchen Calculations.ʻ"  Available at https://www.ciachef.edu/uploadedFiles/Pages/Admissions_and_Financial_Aid/Educators/Educational_Materials/Technique_of_the_Quarter/techniques-calculations.pdf</t>
        </r>
      </text>
    </comment>
    <comment ref="E1117" authorId="0" shapeId="0">
      <text>
        <r>
          <rPr>
            <sz val="10"/>
            <color rgb="FF000000"/>
            <rFont val="Arial"/>
          </rPr>
          <t>Spinach, CA, USA
CleanMetrics. (2020). Food Carbon Emissions Calculator. http://www.foodemissions.com/Calculator.
The edible yield of "mustard greens" is 68%.
The Culinary Institute of America. "Educator Lesson Plan “ʻKitchen Calculations.ʻ"  Available at https://www.ciachef.edu/uploadedFiles/Pages/Admissions_and_Financial_Aid/Educators/Educational_Materials/Technique_of_the_Quarter/techniques-calculations.pdf</t>
        </r>
      </text>
    </comment>
    <comment ref="B1126"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t>
        </r>
      </text>
    </comment>
    <comment ref="E1126"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t>
        </r>
      </text>
    </comment>
    <comment ref="I1126"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t>
        </r>
      </text>
    </comment>
    <comment ref="J1126" authorId="0" shapeId="0">
      <text>
        <r>
          <rPr>
            <sz val="10"/>
            <color rgb="FF000000"/>
            <rFont val="Arial"/>
          </rPr>
          <t>1acre-inch (ac-in)= 27,154 gal
Smajstrla, A. G. (1993). Measuring irrigation water. University of Florida, Florida Cooperative Extension Service. Available at http://irrigationtoolbox.com/ReferenceDocuments/Extension/Florida/AE04100.pdf</t>
        </r>
      </text>
    </comment>
    <comment ref="E1127"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t>
        </r>
      </text>
    </comment>
    <comment ref="B1129"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
The edible yield of "lettuce, iceberg" is 74%.
The Culinary Institute of America. "Educator Lesson Plan “ʻKitchen Calculations.ʻ"  Available at https://www.ciachef.edu/uploadedFiles/Pages/Admissions_and_Financial_Aid/Educators/Educational_Materials/Technique_of_the_Quarter/techniques-calculations.pdf</t>
        </r>
      </text>
    </comment>
    <comment ref="C1129"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
The edible yield of "lettuce, iceberg" is 74%.
The Culinary Institute of America. "Educator Lesson Plan “ʻKitchen Calculations.ʻ"  Available at https://www.ciachef.edu/uploadedFiles/Pages/Admissions_and_Financial_Aid/Educators/Educational_Materials/Technique_of_the_Quarter/techniques-calculations.pdf</t>
        </r>
      </text>
    </comment>
    <comment ref="D1129" authorId="0" shapeId="0">
      <text>
        <r>
          <rPr>
            <sz val="10"/>
            <color rgb="FF000000"/>
            <rFont val="Arial"/>
          </rPr>
          <t>Smith, R.F., Klonsky, K.M., &amp; De Moura, R.L. (2009). Sample Costs to Produce Iceberg Lettuce. University of California Cooperative Extension. Available at https://coststudyfiles.ucdavis.edu/uploads/cs_public/92/af/92af15bd-a003-4e2e-a796-fc33e253edb8/lettuceicecc09.pdf
The edible yield of "lettuce, iceberg" is 74%.
The Culinary Institute of America. "Educator Lesson Plan “ʻKitchen Calculations.ʻ"  Available at https://www.ciachef.edu/uploadedFiles/Pages/Admissions_and_Financial_Aid/Educators/Educational_Materials/Technique_of_the_Quarter/techniques-calculations.pdf</t>
        </r>
      </text>
    </comment>
    <comment ref="E1129" authorId="0" shapeId="0">
      <text>
        <r>
          <rPr>
            <sz val="10"/>
            <color rgb="FF000000"/>
            <rFont val="Arial"/>
          </rPr>
          <t>Lettuce, Iceberg, CA, USA
CleanMetrics. (2020). Food Carbon Emissions Calculator. http://www.foodemissions.com/Calculator.
The edible yield of "lettuce, iceberg" is 74%.
The Culinary Institute of America. "Educator Lesson Plan “ʻKitchen Calculations.ʻ"  Available at https://www.ciachef.edu/uploadedFiles/Pages/Admissions_and_Financial_Aid/Educators/Educational_Materials/Technique_of_the_Quarter/techniques-calculations.pdf</t>
        </r>
      </text>
    </comment>
    <comment ref="B1130" authorId="0" shapeId="0">
      <text>
        <r>
          <rPr>
            <sz val="10"/>
            <color rgb="FF000000"/>
            <rFont val="Arial"/>
          </rPr>
          <t>Eshel, Gidon.  "MAD". Gidon_EnvironCalcPaper3_151104AS_poultryconcise (2).xlsx</t>
        </r>
      </text>
    </comment>
    <comment ref="C1130" authorId="0" shapeId="0">
      <text>
        <r>
          <rPr>
            <sz val="10"/>
            <color rgb="FF000000"/>
            <rFont val="Arial"/>
          </rPr>
          <t>Eshel, Gidon.  "MAD". Gidon_EnvironCalcPaper3_151104AS_poultryconcise (2).xlsx</t>
        </r>
      </text>
    </comment>
    <comment ref="D1130" authorId="0" shapeId="0">
      <text>
        <r>
          <rPr>
            <sz val="10"/>
            <color rgb="FF000000"/>
            <rFont val="Arial"/>
          </rPr>
          <t>Mekonnen, M. M., &amp; Hoekstra, A. Y. (2011). The green, blue and grey water footprint of crops and derived crop products. Hydrology and Earth System Sciences, 15(5), 1577-1600.
The edible yield of "lettuce, leaf" is 67%.
The Culinary Institute of America. "Educator Lesson Plan “ʻKitchen Calculations.ʻ"  Available at https://www.ciachef.edu/uploadedFiles/Pages/Admissions_and_Financial_Aid/Educators/Educational_Materials/Technique_of_the_Quarter/techniques-calculations.pdf</t>
        </r>
      </text>
    </comment>
    <comment ref="E1130" authorId="0" shapeId="0">
      <text>
        <r>
          <rPr>
            <sz val="10"/>
            <color rgb="FF000000"/>
            <rFont val="Arial"/>
          </rPr>
          <t>Lettuce, Romaine Hearts, CA, USA
CleanMetrics. (2020). Food Carbon Emissions Calculator. http://www.foodemissions.com/Calculator.
The edible yield of "lettuce, leaf" is 67%.
The Culinary Institute of America. "Educator Lesson Plan “ʻKitchen Calculations.ʻ"  Available at https://www.ciachef.edu/uploadedFiles/Pages/Admissions_and_Financial_Aid/Educators/Educational_Materials/Technique_of_the_Quarter/techniques-calculations.pdf</t>
        </r>
      </text>
    </comment>
    <comment ref="B1139" authorId="0" shapeId="0">
      <text>
        <r>
          <rPr>
            <sz val="10"/>
            <color rgb="FF000000"/>
            <rFont val="Arial"/>
          </rPr>
          <t>"Land Occupation [Occupation]"
Electronic supplementary material: ESM 2
Spreadsheet
"U.S. Mushroom -- weighted average based on regional production volumes"
Robinson, B., Winans, K., Kendall, A., Dlott, J., Dlott, F. (2017) A Life Cycle Assessment of Agaricus Bisporus Mushroom Production in the United States. International Journal of Life Cycle Assessment.</t>
        </r>
      </text>
    </comment>
    <comment ref="C1139" authorId="0" shapeId="0">
      <text>
        <r>
          <rPr>
            <sz val="10"/>
            <color rgb="FF000000"/>
            <rFont val="Arial"/>
          </rPr>
          <t>kg/1000g
The edible yield of "mushrooms" is 97%.
The Culinary Institute of America. "Educator Lesson Plan “ʻKitchen Calculations.ʻ"  Available at https://www.ciachef.edu/uploadedFiles/Pages/Admissions_and_Financial_Aid/Educators/Educational_Materials/Technique_of_the_Quarter/techniques-calculations.pdf</t>
        </r>
      </text>
    </comment>
    <comment ref="E1139" authorId="0" shapeId="0">
      <text>
        <r>
          <rPr>
            <sz val="10"/>
            <color rgb="FF000000"/>
            <rFont val="Arial"/>
          </rPr>
          <t>"Nitrogen sources; Compost Materials; Weighted average"
Table S1. Inputs per kg of mushroom product
Supplementary Material for Robinson, B., Winans, K., Kendall, A., Dlott, J., Dlott, F. (2017) A Life Cycle Assessment of Agaricus Bisporus Mushroom Production in the United States. International Journal of Life Cycle Assessment.
The edible yield of "mushrooms" is 97%.
The Culinary Institute of America. "Educator Lesson Plan “ʻKitchen Calculations.ʻ"  Available at https://www.ciachef.edu/uploadedFiles/Pages/Admissions_and_Financial_Aid/Educators/Educational_Materials/Technique_of_the_Quarter/techniques-calculations.pdf</t>
        </r>
      </text>
    </comment>
    <comment ref="G1139" authorId="0" shapeId="0">
      <text>
        <r>
          <rPr>
            <sz val="10"/>
            <color rgb="FF000000"/>
            <rFont val="Arial"/>
          </rPr>
          <t>"Water-freshwater; On-Site Water Use; Weighted average"
Table S1. Inputs per kg of mushroom product
Supplementary Material for Robinson, B., Winans, K., Kendall, A., Dlott, J., Dlott, F. (2017) A Life Cycle Assessment of Agaricus Bisporus Mushroom Production in the United States. International Journal of Life Cycle Assessment.</t>
        </r>
      </text>
    </comment>
    <comment ref="H1139" authorId="0" shapeId="0">
      <text>
        <r>
          <rPr>
            <sz val="10"/>
            <color rgb="FF000000"/>
            <rFont val="Arial"/>
          </rPr>
          <t>0.00378541m3/gal
kg/1000g
The edible yield of "mushrooms" is 97%.
The Culinary Institute of America. "Educator Lesson Plan “ʻKitchen Calculations.ʻ"  Available at https://www.ciachef.edu/uploadedFiles/Pages/Admissions_and_Financial_Aid/Educators/Educational_Materials/Technique_of_the_Quarter/techniques-calculations.pdf</t>
        </r>
      </text>
    </comment>
    <comment ref="J1139" authorId="0" shapeId="0">
      <text>
        <r>
          <rPr>
            <sz val="10"/>
            <color rgb="FF000000"/>
            <rFont val="Arial"/>
          </rPr>
          <t>Table 1 Global warming potential in kilograms CO2e per kilogram of mushroom product by input or process
"GWP100 Total" to stay consistent with PAS 2050 Guidelines used in food emissions.com/Calculator
Robinson, B., Winans, K., Kendall, A., Dlott, J., Dlott, F. (2017) A Life Cycle Assessment of Agaricus Bisporus Mushroom Production in the United States. International Journal of Life Cycle Assessment.
BIS. (2011). "Specification for the assessment of the life cycle greenhouse gas emissions of goods and services." Publicly Available Specification 2050. Available at https://shop.bsigroup.com/upload/shop/download/pas/pas2050.pdf</t>
        </r>
      </text>
    </comment>
    <comment ref="K1139" authorId="0" shapeId="0">
      <text>
        <r>
          <rPr>
            <sz val="10"/>
            <color rgb="FF000000"/>
            <rFont val="Arial"/>
          </rPr>
          <t>kg/1000g
The edible yield of "mushrooms" is 97%.
The Culinary Institute of America. "Educator Lesson Plan “ʻKitchen Calculations.ʻ"  Available at https://www.ciachef.edu/uploadedFiles/Pages/Admissions_and_Financial_Aid/Educators/Educational_Materials/Technique_of_the_Quarter/techniques-calculations.pdf</t>
        </r>
      </text>
    </comment>
    <comment ref="B1148" authorId="0" shapeId="0">
      <text>
        <r>
          <rPr>
            <sz val="10"/>
            <color rgb="FF000000"/>
            <rFont val="Arial"/>
          </rPr>
          <t>NDB # 2026 Spices, onion powder
https://fdc.nal.usda.gov/fdc-app.html#/food-details/171327/nutrients</t>
        </r>
      </text>
    </comment>
    <comment ref="E1148" authorId="0" shapeId="0">
      <text>
        <r>
          <rPr>
            <sz val="10"/>
            <color rgb="FF000000"/>
            <rFont val="Arial"/>
          </rPr>
          <t>Onions, dry
Mekonnen, M. M., &amp; Hoekstra, A. Y. (2011). The green, blue and grey water footprint of crops and derived crop products. Hydrology and Earth System Sciences, 15(5), 1577-1600.</t>
        </r>
      </text>
    </comment>
    <comment ref="B1149" authorId="0" shapeId="0">
      <text>
        <r>
          <rPr>
            <sz val="10"/>
            <color rgb="FF000000"/>
            <rFont val="Arial"/>
          </rPr>
          <t>NDB# 11282
Onions, raw</t>
        </r>
      </text>
    </comment>
    <comment ref="C1149" authorId="0" shapeId="0">
      <text>
        <r>
          <rPr>
            <sz val="10"/>
            <color rgb="FF000000"/>
            <rFont val="Arial"/>
          </rPr>
          <t>ONIONS RAW
Eshel, Gidon.  "MAD". Gidon_EnvironCalcPaper3_151104AS_poultryconcise (2).xlsx</t>
        </r>
      </text>
    </comment>
    <comment ref="D1149" authorId="0" shapeId="0">
      <text>
        <r>
          <rPr>
            <sz val="10"/>
            <color rgb="FF000000"/>
            <rFont val="Arial"/>
          </rPr>
          <t>ONIONS RAW
Eshel, Gidon.  "MAD". Gidon_EnvironCalcPaper3_151104AS_poultryconcise (2).xlsx</t>
        </r>
      </text>
    </comment>
    <comment ref="E1149" authorId="0" shapeId="0">
      <text>
        <r>
          <rPr>
            <sz val="10"/>
            <color rgb="FF000000"/>
            <rFont val="Arial"/>
          </rPr>
          <t>The edible yield of "onions, large" is 89%.
The Culinary Institute of America. "Educator Lesson Plan “ʻKitchen Calculations.ʻ"  Available at https://www.ciachef.edu/uploadedFiles/Pages/Admissions_and_Financial_Aid/Educators/Educational_Materials/Technique_of_the_Quarter/techniques-calculations.pdf</t>
        </r>
      </text>
    </comment>
    <comment ref="F1149" authorId="0" shapeId="0">
      <text>
        <r>
          <rPr>
            <sz val="10"/>
            <color rgb="FF000000"/>
            <rFont val="Arial"/>
          </rPr>
          <t>Onions; CA, USA
CleanMetrics. (2020). Food Carbon Emissions Calculator. http://www.foodemissions.com/Calculator.
The edible yield of "onions, large" is 89%.
The Culinary Institute of America. "Educator Lesson Plan “ʻKitchen Calculations.ʻ"  Available at https://www.ciachef.edu/uploadedFiles/Pages/Admissions_and_Financial_Aid/Educators/Educational_Materials/Technique_of_the_Quarter/techniques-calculations.pdf</t>
        </r>
      </text>
    </comment>
    <comment ref="B1158" authorId="0" shapeId="0">
      <text>
        <r>
          <rPr>
            <sz val="10"/>
            <color rgb="FF000000"/>
            <rFont val="Arial"/>
          </rPr>
          <t>"Parsley, fresh"
https://fdc.nal.usda.gov/fdc-app.html#/food-details/170416/nutrients</t>
        </r>
      </text>
    </comment>
    <comment ref="D1158" authorId="0" shapeId="0">
      <text>
        <r>
          <rPr>
            <sz val="10"/>
            <color rgb="FF000000"/>
            <rFont val="Arial"/>
          </rPr>
          <t>SPINACH RAW
Eshel, Gidon.  "MAD". Gidon_EnvironCalcPaper3_151104AS_poultryconcise (2).xlsx</t>
        </r>
      </text>
    </comment>
    <comment ref="E1158" authorId="0" shapeId="0">
      <text>
        <r>
          <rPr>
            <sz val="10"/>
            <color rgb="FF000000"/>
            <rFont val="Arial"/>
          </rPr>
          <t>SPINACH RAW
Eshel, Gidon.  "MAD". Gidon_EnvironCalcPaper3_151104AS_poultryconcise (2).xlsx</t>
        </r>
      </text>
    </comment>
    <comment ref="F1158" authorId="0" shapeId="0">
      <text>
        <r>
          <rPr>
            <sz val="10"/>
            <color rgb="FF000000"/>
            <rFont val="Arial"/>
          </rPr>
          <t>Spinach
Mekonnen, M. M., &amp; Hoekstra, A. Y. (2011). The green, blue and grey water footprint of crops and derived crop products. Hydrology and Earth System Sciences, 15(5), 1577-1600.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G1158" authorId="0" shapeId="0">
      <text>
        <r>
          <rPr>
            <sz val="10"/>
            <color rgb="FF000000"/>
            <rFont val="Arial"/>
          </rPr>
          <t>Spinach, CA, USA
CleanMetrics. (2020). Food Carbon Emissions Calculator. http://www.foodemissions.com/Calculator.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B1159" authorId="0" shapeId="0">
      <text>
        <r>
          <rPr>
            <sz val="10"/>
            <color rgb="FF000000"/>
            <rFont val="Arial"/>
          </rPr>
          <t>"Spices, parsley, dried"
https://fdc.nal.usda.gov/fdc-app.html#/food-details/170930/nutrients</t>
        </r>
      </text>
    </comment>
    <comment ref="B1169" authorId="0" shapeId="0">
      <text>
        <r>
          <rPr>
            <sz val="10"/>
            <color rgb="FF000000"/>
            <rFont val="Arial"/>
          </rPr>
          <t>PEPPERS SWT GRN RAW
Eshel, Gidon.  "MAD". Gidon_EnvironCalcPaper3_151104AS_poultryconcise (2).xlsx</t>
        </r>
      </text>
    </comment>
    <comment ref="C1169" authorId="0" shapeId="0">
      <text>
        <r>
          <rPr>
            <sz val="10"/>
            <color rgb="FF000000"/>
            <rFont val="Arial"/>
          </rPr>
          <t>PEPPERS SWT GRN RAW
Eshel, Gidon.  "MAD". Gidon_EnvironCalcPaper3_151104AS_poultryconcise (2).xlsx</t>
        </r>
      </text>
    </comment>
    <comment ref="D1169" authorId="0" shapeId="0">
      <text>
        <r>
          <rPr>
            <sz val="10"/>
            <color rgb="FF000000"/>
            <rFont val="Arial"/>
          </rPr>
          <t>Chillies and peppers, green
Mekonnen, M. M., &amp; Hoekstra, A. Y. (2011). The green, blue and grey water footprint of crops and derived crop products. Hydrology and Earth System Sciences, 15(5), 1577-1600.
The edible yield of "peppers, bell" is 82%.
The Culinary Institute of America. "Educator Lesson Plan “ʻKitchen Calculations.ʻ"  Available at https://www.ciachef.edu/uploadedFiles/Pages/Admissions_and_Financial_Aid/Educators/Educational_Materials/Technique_of_the_Quarter/techniques-calculations.pdf.</t>
        </r>
      </text>
    </comment>
    <comment ref="E1169" authorId="0" shapeId="0">
      <text>
        <r>
          <rPr>
            <sz val="10"/>
            <color rgb="FF000000"/>
            <rFont val="Arial"/>
          </rPr>
          <t>Peppers, Bell; CA, USA
CleanMetrics. (2020). Food Carbon Emissions Calculator. http://www.foodemissions.com/Calculator.
The edible yield of "peppers, bell" is 82%.
The Culinary Institute of America. "Educator Lesson Plan “ʻKitchen Calculations.ʻ"  Available at https://www.ciachef.edu/uploadedFiles/Pages/Admissions_and_Financial_Aid/Educators/Educational_Materials/Technique_of_the_Quarter/techniques-calculations.pdf.</t>
        </r>
      </text>
    </comment>
    <comment ref="B1170" authorId="0" shapeId="0">
      <text>
        <r>
          <rPr>
            <sz val="10"/>
            <color rgb="FF000000"/>
            <rFont val="Arial"/>
          </rPr>
          <t>PEPPERS SWT GRN RAW
Eshel, Gidon.  "MAD". Gidon_EnvironCalcPaper3_151104AS_poultryconcise (2).xlsx
The edible yield of "peppers, bell" is 82%, whereas the edible yield of "peppers, fryers" is 85%.
The Culinary Institute of America. "Educator Lesson Plan “ʻKitchen Calculations.ʻ"  Available at https://www.ciachef.edu/uploadedFiles/Pages/Admissions_and_Financial_Aid/Educators/Educational_Materials/Technique_of_the_Quarter/techniques-calculations.pdf.</t>
        </r>
      </text>
    </comment>
    <comment ref="C1170" authorId="0" shapeId="0">
      <text>
        <r>
          <rPr>
            <sz val="10"/>
            <color rgb="FF000000"/>
            <rFont val="Arial"/>
          </rPr>
          <t>PEPPERS SWT GRN RAW
Eshel, Gidon.  "MAD". Gidon_EnvironCalcPaper3_151104AS_poultryconcise (2).xlsx
The edible yield of "peppers, bell" is 82%, whereas the edible yield of "peppers, fryers" is 85%.
The Culinary Institute of America. "Educator Lesson Plan “ʻKitchen Calculations.ʻ"  Available at https://www.ciachef.edu/uploadedFiles/Pages/Admissions_and_Financial_Aid/Educators/Educational_Materials/Technique_of_the_Quarter/techniques-calculations.pdf.</t>
        </r>
      </text>
    </comment>
    <comment ref="D1170" authorId="0" shapeId="0">
      <text>
        <r>
          <rPr>
            <sz val="10"/>
            <color rgb="FF000000"/>
            <rFont val="Arial"/>
          </rPr>
          <t>Chillies and peppers, green
Mekonnen, M. M., &amp; Hoekstra, A. Y. (2011). The green, blue and grey water footprint of crops and derived crop products. Hydrology and Earth System Sciences, 15(5), 1577-1600.
The edible yield of "peppers, fryers" is 85%.
The Culinary Institute of America. "Educator Lesson Plan “ʻKitchen Calculations.ʻ"  Available at https://www.ciachef.edu/uploadedFiles/Pages/Admissions_and_Financial_Aid/Educators/Educational_Materials/Technique_of_the_Quarter/techniques-calculations.pdf.</t>
        </r>
      </text>
    </comment>
    <comment ref="E1170" authorId="0" shapeId="0">
      <text>
        <r>
          <rPr>
            <sz val="10"/>
            <color rgb="FF000000"/>
            <rFont val="Arial"/>
          </rPr>
          <t>Peppers, Bell; CA, USA
CleanMetrics. (2020). Food Carbon Emissions Calculator. http://www.foodemissions.com/Calculator.
The edible yield of "peppers, fryers" is 85%.
The Culinary Institute of America. "Educator Lesson Plan “ʻKitchen Calculations.ʻ"  Available at https://www.ciachef.edu/uploadedFiles/Pages/Admissions_and_Financial_Aid/Educators/Educational_Materials/Technique_of_the_Quarter/techniques-calculations.pdf.</t>
        </r>
      </text>
    </comment>
    <comment ref="B1178" authorId="0" shapeId="0">
      <text>
        <r>
          <rPr>
            <sz val="10"/>
            <color rgb="FF000000"/>
            <rFont val="Arial"/>
          </rPr>
          <t>Potatoes, raw, skin
11362</t>
        </r>
      </text>
    </comment>
    <comment ref="C1178" authorId="0" shapeId="0">
      <text>
        <r>
          <rPr>
            <sz val="10"/>
            <color rgb="FF000000"/>
            <rFont val="Arial"/>
          </rPr>
          <t>POTATO FLESH &amp; SKN RAW
Eshel, Gidon.  "MAD". Gidon_EnvironCalcPaper3_151104AS_poultryconcise (2).xlsx</t>
        </r>
      </text>
    </comment>
    <comment ref="D1178" authorId="0" shapeId="0">
      <text>
        <r>
          <rPr>
            <sz val="10"/>
            <color rgb="FF000000"/>
            <rFont val="Arial"/>
          </rPr>
          <t>POTATO FLESH &amp; SKN RAW
Eshel, Gidon.  "MAD". Gidon_EnvironCalcPaper3_151104AS_poultryconcise (2).xlsx</t>
        </r>
      </text>
    </comment>
    <comment ref="E1178" authorId="0" shapeId="0">
      <text>
        <r>
          <rPr>
            <sz val="10"/>
            <color rgb="FF000000"/>
            <rFont val="Arial"/>
          </rPr>
          <t>Potatoes
Mekonnen, M. M., &amp; Hoekstra, A. Y. (2011). The green, blue and grey water footprint of crops and derived crop products. Hydrology and Earth System Sciences, 15(5), 1577-1600.
The edible yield of "potatoes, chef" is 85%.
The Culinary Institute of America. "Educator Lesson Plan “ʻKitchen Calculations.ʻ"  Available at https://www.ciachef.edu/uploadedFiles/Pages/Admissions_and_Financial_Aid/Educators/Educational_Materials/Technique_of_the_Quarter/techniques-calculations.pdf.</t>
        </r>
      </text>
    </comment>
    <comment ref="F1178" authorId="0" shapeId="0">
      <text>
        <r>
          <rPr>
            <sz val="10"/>
            <color rgb="FF000000"/>
            <rFont val="Arial"/>
          </rPr>
          <t>Potatoes, CA, USA
http://www.foodemissions.com/Calculator
The edible yield of "potatoes, chef" is 85%.
The Culinary Institute of America. "Educator Lesson Plan “ʻKitchen Calculations.ʻ"  Available at https://www.ciachef.edu/uploadedFiles/Pages/Admissions_and_Financial_Aid/Educators/Educational_Materials/Technique_of_the_Quarter/techniques-calculations.pdf.</t>
        </r>
      </text>
    </comment>
    <comment ref="B1179" authorId="0" shapeId="0">
      <text>
        <r>
          <rPr>
            <sz val="10"/>
            <color rgb="FF000000"/>
            <rFont val="Arial"/>
          </rPr>
          <t>Potatoes, microwaved, cooked in skin, flesh and skin, without salt
NDB#: 11675</t>
        </r>
      </text>
    </comment>
    <comment ref="B1188" authorId="0" shapeId="0">
      <text>
        <r>
          <rPr>
            <sz val="10"/>
            <color rgb="FF000000"/>
            <rFont val="Arial"/>
          </rPr>
          <t>Spinach, raw; NDB#: 11457
USDA, (2019). FoodData Central. U.S. Department of Agriculture. Available at https://fdc.nal.usda.gov/fdc-app.html#/food-details/168462/nutrients</t>
        </r>
      </text>
    </comment>
    <comment ref="C1188" authorId="0" shapeId="0">
      <text>
        <r>
          <rPr>
            <sz val="10"/>
            <color rgb="FF000000"/>
            <rFont val="Arial"/>
          </rPr>
          <t>SPINACH RAW
Eshel, Gidon.  "MAD". Gidon_EnvironCalcPaper3_151104AS_poultryconcise (2).xlsx</t>
        </r>
      </text>
    </comment>
    <comment ref="D1188" authorId="0" shapeId="0">
      <text>
        <r>
          <rPr>
            <sz val="10"/>
            <color rgb="FF000000"/>
            <rFont val="Arial"/>
          </rPr>
          <t>SPINACH RAW
Eshel, Gidon.  "MAD". Gidon_EnvironCalcPaper3_151104AS_poultryconcise (2).xlsx</t>
        </r>
      </text>
    </comment>
    <comment ref="E1188" authorId="0" shapeId="0">
      <text>
        <r>
          <rPr>
            <sz val="10"/>
            <color rgb="FF000000"/>
            <rFont val="Arial"/>
          </rPr>
          <t>Spinach
Mekonnen, M. M., &amp; Hoekstra, A. Y. (2011). The green, blue and grey water footprint of crops and derived crop products. Hydrology and Earth System Sciences, 15(5), 1577-1600.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F1188" authorId="0" shapeId="0">
      <text>
        <r>
          <rPr>
            <sz val="10"/>
            <color rgb="FF000000"/>
            <rFont val="Arial"/>
          </rPr>
          <t>Spinach, CA, USA
CleanMetrics. (2020). Food Carbon Emissions Calculator. http://www.foodemissions.com/Calculator.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B1189" authorId="0" shapeId="0">
      <text>
        <r>
          <rPr>
            <sz val="10"/>
            <color rgb="FF000000"/>
            <rFont val="Arial"/>
          </rPr>
          <t>Spinach, cooked, boiled, drained, without salt; NDB#: 11458</t>
        </r>
      </text>
    </comment>
    <comment ref="C1189" authorId="0" shapeId="0">
      <text>
        <r>
          <rPr>
            <sz val="10"/>
            <color rgb="FF000000"/>
            <rFont val="Arial"/>
          </rPr>
          <t>SPINACH RAW
Eshel, Gidon.  "MAD". Gidon_EnvironCalcPaper3_151104AS_poultryconcise (2).xlsx</t>
        </r>
      </text>
    </comment>
    <comment ref="D1189" authorId="0" shapeId="0">
      <text>
        <r>
          <rPr>
            <sz val="10"/>
            <color rgb="FF000000"/>
            <rFont val="Arial"/>
          </rPr>
          <t>SPINACH RAW
Eshel, Gidon.  "MAD". Gidon_EnvironCalcPaper3_151104AS_poultryconcise (2).xlsx</t>
        </r>
      </text>
    </comment>
    <comment ref="E1189" authorId="0" shapeId="0">
      <text>
        <r>
          <rPr>
            <sz val="10"/>
            <color rgb="FF000000"/>
            <rFont val="Arial"/>
          </rPr>
          <t>Spinach
Mekonnen, M. M., &amp; Hoekstra, A. Y. (2011). The green, blue and grey water footprint of crops and derived crop products. Hydrology and Earth System Sciences, 15(5), 1577-1600.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F1189" authorId="0" shapeId="0">
      <text>
        <r>
          <rPr>
            <sz val="10"/>
            <color rgb="FF000000"/>
            <rFont val="Arial"/>
          </rPr>
          <t>Spinach, CA, USA
CleanMetrics. (2020). Food Carbon Emissions Calculator. http://www.foodemissions.com/Calculator.
The edible yield of "spinach" is 74%.
The Culinary Institute of America. "Educator Lesson Plan “ʻKitchen Calculations.ʻ"  Available at https://www.ciachef.edu/uploadedFiles/Pages/Admissions_and_Financial_Aid/Educators/Educational_Materials/Technique_of_the_Quarter/techniques-calculations.pdf.</t>
        </r>
      </text>
    </comment>
    <comment ref="B1198" authorId="0" shapeId="0">
      <text>
        <r>
          <rPr>
            <sz val="10"/>
            <color rgb="FF000000"/>
            <rFont val="Arial"/>
          </rPr>
          <t>Squash, summer, all varieties, raw
NDB# 11641</t>
        </r>
      </text>
    </comment>
    <comment ref="C1198" authorId="0" shapeId="0">
      <text>
        <r>
          <rPr>
            <sz val="10"/>
            <color rgb="FF000000"/>
            <rFont val="Arial"/>
          </rPr>
          <t>SQUASH SMMR ALL VAR RAW
Eshel, Gidon.  "MAD". Gidon_EnvironCalcPaper3_151104AS_poultryconcise (2).xlsx</t>
        </r>
      </text>
    </comment>
    <comment ref="D1198" authorId="0" shapeId="0">
      <text>
        <r>
          <rPr>
            <sz val="10"/>
            <color rgb="FF000000"/>
            <rFont val="Arial"/>
          </rPr>
          <t>SQUASH SMMR ALL VAR RAW
Eshel, Gidon.  "MAD". Gidon_EnvironCalcPaper3_151104AS_poultryconcise (2).xlsx</t>
        </r>
      </text>
    </comment>
    <comment ref="E1198" authorId="0" shapeId="0">
      <text>
        <r>
          <rPr>
            <sz val="10"/>
            <color rgb="FF000000"/>
            <rFont val="Arial"/>
          </rPr>
          <t>Pumpkins, squash and gourds
The edible yield of "yellow squash" and "zucchini" is 95%.
The Culinary Institute of America. "Educator Lesson Plan “ʻKitchen Calculations.ʻ"  Available at https://www.ciachef.edu/uploadedFiles/Pages/Admissions_and_Financial_Aid/Educators/Educational_Materials/Technique_of_the_Quarter/techniques-calculations.pdf.</t>
        </r>
      </text>
    </comment>
    <comment ref="F1198" authorId="0" shapeId="0">
      <text>
        <r>
          <rPr>
            <sz val="10"/>
            <color rgb="FF000000"/>
            <rFont val="Arial"/>
          </rPr>
          <t>Squash, Summer squash, CA, USA
CleanMetrics. (2020). Food Carbon Emissions Calculator. http://www.foodemissions.com/Calculator.
The edible yield of "yellow squash" and "zucchini" is 95%.
The Culinary Institute of America. "Educator Lesson Plan “ʻKitchen Calculations.ʻ"  Available at https://www.ciachef.edu/uploadedFiles/Pages/Admissions_and_Financial_Aid/Educators/Educational_Materials/Technique_of_the_Quarter/techniques-calculations.pdf.</t>
        </r>
      </text>
    </comment>
    <comment ref="B1199" authorId="0" shapeId="0">
      <text>
        <r>
          <rPr>
            <sz val="10"/>
            <color rgb="FF000000"/>
            <rFont val="Arial"/>
          </rPr>
          <t>Squash, summer, all varieties, cooked, boiled, drained, without salt
NDB# 11642</t>
        </r>
      </text>
    </comment>
    <comment ref="B1200" authorId="0" shapeId="0">
      <text>
        <r>
          <rPr>
            <sz val="10"/>
            <color rgb="FF000000"/>
            <rFont val="Arial"/>
          </rPr>
          <t>Squash, winter, all varieties, raw
NDB# 11643
https://fdc.nal.usda.gov/fdc-app.html#/food-details/170489/nutrients</t>
        </r>
      </text>
    </comment>
    <comment ref="C1200" authorId="0" shapeId="0">
      <text>
        <r>
          <rPr>
            <sz val="10"/>
            <color rgb="FF000000"/>
            <rFont val="Arial"/>
          </rPr>
          <t>PUMPKIN RAW
Eshel, Gidon.  "MAD". Gidon_EnvironCalcPaper3_151104AS_poultryconcise (2).xlsx</t>
        </r>
      </text>
    </comment>
    <comment ref="D1200" authorId="0" shapeId="0">
      <text>
        <r>
          <rPr>
            <sz val="10"/>
            <color rgb="FF000000"/>
            <rFont val="Arial"/>
          </rPr>
          <t>PUMPKIN RAW
Eshel, Gidon.  "MAD". Gidon_EnvironCalcPaper3_151104AS_poultryconcise (2).xlsx</t>
        </r>
      </text>
    </comment>
    <comment ref="E1200" authorId="0" shapeId="0">
      <text>
        <r>
          <rPr>
            <sz val="10"/>
            <color rgb="FF000000"/>
            <rFont val="Arial"/>
          </rPr>
          <t>Pumpkins, squash and gourds
The edible yield of "Acorn squash" is 78%, "Butternut" is 52%, and "Hubbard" is 66%.
The Culinary Institute of America. "Educator Lesson Plan “ʻKitchen Calculations.ʻ"  Available at https://www.ciachef.edu/uploadedFiles/Pages/Admissions_and_Financial_Aid/Educators/Educational_Materials/Technique_of_the_Quarter/techniques-calculations.pdf.</t>
        </r>
      </text>
    </comment>
    <comment ref="F1200" authorId="0" shapeId="0">
      <text>
        <r>
          <rPr>
            <sz val="10"/>
            <color rgb="FF000000"/>
            <rFont val="Arial"/>
          </rPr>
          <t>Squash, winter Squash, CA, USA
CleanMetrics. (2020). Food Carbon Emissions Calculator. http://www.foodemissions.com/Calculator.
The edible yield of "Acorn squash" is 78%, "Butternut" is 52%, and "Hubbard" is 66%.
The Culinary Institute of America. "Educator Lesson Plan “ʻKitchen Calculations.ʻ"  Available at https://www.ciachef.edu/uploadedFiles/Pages/Admissions_and_Financial_Aid/Educators/Educational_Materials/Technique_of_the_Quarter/techniques-calculations.pdf.</t>
        </r>
      </text>
    </comment>
    <comment ref="B1201" authorId="0" shapeId="0">
      <text>
        <r>
          <rPr>
            <sz val="10"/>
            <color rgb="FF000000"/>
            <rFont val="Arial"/>
          </rPr>
          <t>Squash, winter, all varieties, cooked, baked, without salt
NDB# 11644
https://fdc.nal.usda.gov/fdc-app.html#/food-details/170490/nutrients</t>
        </r>
      </text>
    </comment>
    <comment ref="B1210" authorId="0" shapeId="0">
      <text>
        <r>
          <rPr>
            <sz val="10"/>
            <color rgb="FF000000"/>
            <rFont val="Arial"/>
          </rPr>
          <t>Sweet potato, raw, unprepared (Includes foods for USDA's Food Distribution Program)
NDB# 11507</t>
        </r>
      </text>
    </comment>
    <comment ref="D1210" authorId="0" shapeId="0">
      <text>
        <r>
          <rPr>
            <sz val="10"/>
            <color rgb="FF000000"/>
            <rFont val="Arial"/>
          </rPr>
          <t>Sweet Potato</t>
        </r>
      </text>
    </comment>
    <comment ref="F1210" authorId="0" shapeId="0">
      <text>
        <r>
          <rPr>
            <sz val="10"/>
            <color rgb="FF000000"/>
            <rFont val="Arial"/>
          </rPr>
          <t>Sweet Potato, CA, USA
CleanMetrics. (2020). Food Carbon Emissions Calculator. http://www.foodemissions.com/Calculator.</t>
        </r>
      </text>
    </comment>
    <comment ref="B1211" authorId="0" shapeId="0">
      <text>
        <r>
          <rPr>
            <sz val="10"/>
            <color rgb="FF000000"/>
            <rFont val="Arial"/>
          </rPr>
          <t>Sweet potato, cooked, baked in skin, flesh, without salt
NDB# 11508</t>
        </r>
      </text>
    </comment>
    <comment ref="B1212" authorId="0" shapeId="0">
      <text>
        <r>
          <rPr>
            <sz val="10"/>
            <color rgb="FF000000"/>
            <rFont val="Arial"/>
          </rPr>
          <t>Sweet potato, canned, syrup pack, drained solids
NDB# 11647</t>
        </r>
      </text>
    </comment>
    <comment ref="B1214" authorId="0" shapeId="0">
      <text>
        <r>
          <rPr>
            <sz val="10"/>
            <color rgb="FF000000"/>
            <rFont val="Arial"/>
          </rPr>
          <t>Sweet potato, raw, unprepared (Includes foods for USDA's Food Distribution Program)
NDB# 11507</t>
        </r>
      </text>
    </comment>
    <comment ref="C1214" authorId="0" shapeId="0">
      <text>
        <r>
          <rPr>
            <sz val="10"/>
            <color rgb="FF000000"/>
            <rFont val="Arial"/>
          </rPr>
          <t>SWEET POTATO RAW UNPREP
Eshel, Gidon.  "MAD". Gidon_EnvironCalcPaper3_151104AS_poultryconcise (2).xlsx</t>
        </r>
      </text>
    </comment>
    <comment ref="D1214" authorId="0" shapeId="0">
      <text>
        <r>
          <rPr>
            <sz val="10"/>
            <color rgb="FF000000"/>
            <rFont val="Arial"/>
          </rPr>
          <t>SWEET POTATO RAW UNPREP
Eshel, Gidon.  "MAD". Gidon_EnvironCalcPaper3_151104AS_poultryconcise (2).xlsx</t>
        </r>
      </text>
    </comment>
    <comment ref="E1214" authorId="0" shapeId="0">
      <text>
        <r>
          <rPr>
            <sz val="10"/>
            <color rgb="FF000000"/>
            <rFont val="Arial"/>
          </rPr>
          <t>Sweet Potato</t>
        </r>
      </text>
    </comment>
    <comment ref="F1214" authorId="0" shapeId="0">
      <text>
        <r>
          <rPr>
            <sz val="10"/>
            <color rgb="FF000000"/>
            <rFont val="Arial"/>
          </rPr>
          <t>Sweet Potato, CA, USA
CleanMetrics. (2020). Food Carbon Emissions Calculator. http://www.foodemissions.com/Calculator.</t>
        </r>
      </text>
    </comment>
    <comment ref="B1215" authorId="0" shapeId="0">
      <text>
        <r>
          <rPr>
            <sz val="10"/>
            <color rgb="FF000000"/>
            <rFont val="Arial"/>
          </rPr>
          <t>Sweet potato, cooked, baked in skin, flesh, without salt
NDB# 11508</t>
        </r>
      </text>
    </comment>
    <comment ref="B1223" authorId="0" shapeId="0">
      <text>
        <r>
          <rPr>
            <sz val="10"/>
            <color rgb="FF000000"/>
            <rFont val="Arial"/>
          </rPr>
          <t>"TOMATOES RED RIPE RAW YEAR RND AVERAGE"
Eshel, Gidon.  "MAD". Gidon_EnvironCalcPaper3_151104AS_poultryconcise (2).xlsx</t>
        </r>
      </text>
    </comment>
    <comment ref="C1223" authorId="0" shapeId="0">
      <text>
        <r>
          <rPr>
            <sz val="10"/>
            <color rgb="FF000000"/>
            <rFont val="Arial"/>
          </rPr>
          <t>"TOMATOES RED RIPE RAW YEAR RND AVERAGE"
Eshel, Gidon.  "MAD". Gidon_EnvironCalcPaper3_151104AS_poultryconcise (2).xlsx</t>
        </r>
      </text>
    </comment>
    <comment ref="D1223" authorId="0" shapeId="0">
      <text>
        <r>
          <rPr>
            <sz val="10"/>
            <color rgb="FF000000"/>
            <rFont val="Arial"/>
          </rPr>
          <t>Tomatoes
Mekonnen, M. M., &amp; Hoekstra, A. Y. (2011). The green, blue and grey water footprint of crops and derived crop products. Hydrology and Earth System Sciences, 15(5), 1577-1600.</t>
        </r>
      </text>
    </comment>
    <comment ref="E1223" authorId="0" shapeId="0">
      <text>
        <r>
          <rPr>
            <sz val="10"/>
            <color rgb="FF000000"/>
            <rFont val="Arial"/>
          </rPr>
          <t>Tomatoes, CA, USA
.11kgCO2eq/lb
CleanMetrics. (2020). Food Carbon Emissions Calculator. http://www.foodemissions.com/Calculator.</t>
        </r>
      </text>
    </comment>
    <comment ref="B1230" authorId="0" shapeId="0">
      <text>
        <r>
          <rPr>
            <sz val="10"/>
            <color rgb="FF000000"/>
            <rFont val="Arial"/>
          </rPr>
          <t>"3 to 3.5 pounds tomatoes per quart"
https://franklin.ca.uky.edu/files/fcs3-580_-_home_canning_tomato_products.pdf</t>
        </r>
      </text>
    </comment>
    <comment ref="D1230" authorId="0" shapeId="0">
      <text>
        <r>
          <rPr>
            <sz val="10"/>
            <color rgb="FF000000"/>
            <rFont val="Arial"/>
          </rPr>
          <t>"TOMATOES RED RIPE RAW YEAR RND AVERAGE"
Eshel, Gidon.  "MAD". Gidon_EnvironCalcPaper3_151104AS_poultryconcise (2).xlsx</t>
        </r>
      </text>
    </comment>
    <comment ref="E1230" authorId="0" shapeId="0">
      <text>
        <r>
          <rPr>
            <sz val="10"/>
            <color rgb="FF000000"/>
            <rFont val="Arial"/>
          </rPr>
          <t>"TOMATOES RED RIPE RAW YEAR RND AVERAGE"
Eshel, Gidon.  "MAD". Gidon_EnvironCalcPaper3_151104AS_poultryconcise (2).xlsx</t>
        </r>
      </text>
    </comment>
    <comment ref="F1230" authorId="0" shapeId="0">
      <text>
        <r>
          <rPr>
            <sz val="10"/>
            <color rgb="FF000000"/>
            <rFont val="Arial"/>
          </rPr>
          <t>Mekonnen, M. M., &amp; Hoekstra, A. Y. (2011). "Tomatoes." The green, blue and grey water footprint of crops and derived crop products.</t>
        </r>
      </text>
    </comment>
    <comment ref="G1230" authorId="0" shapeId="0">
      <text>
        <r>
          <rPr>
            <sz val="10"/>
            <color rgb="FF000000"/>
            <rFont val="Arial"/>
          </rPr>
          <t>Tomatoes, CA, USA
.11kgCO2eq/lb
CleanMetrics. (2020). Food Carbon Emissions Calculator. http://www.foodemissions.com/Calculator.</t>
        </r>
      </text>
    </comment>
    <comment ref="B1231" authorId="0" shapeId="0">
      <text>
        <r>
          <rPr>
            <sz val="10"/>
            <color rgb="FF000000"/>
            <rFont val="Arial"/>
          </rPr>
          <t xml:space="preserve">https://nutritiondata.self.com/facts/vegetables-and-vegetable-products/2689/2
</t>
        </r>
      </text>
    </comment>
    <comment ref="C1231" authorId="0" shapeId="0">
      <text>
        <r>
          <rPr>
            <sz val="10"/>
            <color rgb="FF000000"/>
            <rFont val="Arial"/>
          </rPr>
          <t>The relationship between the fresh tomato and the tomato paste is the following: 6 kg of fresh tomato are needed to produce 1 kg of tomato paste.
Rodríguez-Azúa, R., Treuer, A., Moore-Carrasco, R., Cortacáns, D., Gutiérrez, M., Astudillo, L., ... &amp; Palomo, I. (2014). Effect of tomato industrial processing (different hybrids, paste, and pomace) on inhibition of platelet function in vitro, ex vivo, and in vivo. Journal of medicinal food, 17(4), 505-511.</t>
        </r>
      </text>
    </comment>
    <comment ref="D1231" authorId="0" shapeId="0">
      <text>
        <r>
          <rPr>
            <sz val="10"/>
            <color rgb="FF000000"/>
            <rFont val="Arial"/>
          </rPr>
          <t>The relationship between the fresh tomato and the tomato paste is the following: 6 kg of fresh tomato are needed to produce 1 kg of tomato paste.
Rodríguez-Azúa, R., Treuer, A., Moore-Carrasco, R., Cortacáns, D., Gutiérrez, M., Astudillo, L., ... &amp; Palomo, I. (2014). Effect of tomato industrial processing (different hybrids, paste, and pomace) on inhibition of platelet function in vitro, ex vivo, and in vivo. Journal of medicinal food, 17(4), 505-511.</t>
        </r>
      </text>
    </comment>
    <comment ref="E1231" authorId="0" shapeId="0">
      <text>
        <r>
          <rPr>
            <sz val="10"/>
            <color rgb="FF000000"/>
            <rFont val="Arial"/>
          </rPr>
          <t>The relationship between the fresh tomato and the tomato paste is the following: 6 kg of fresh tomato are needed to produce 1 kg of tomato paste.
Rodríguez-Azúa, R., Treuer, A., Moore-Carrasco, R., Cortacáns, D., Gutiérrez, M., Astudillo, L., ... &amp; Palomo, I. (2014). Effect of tomato industrial processing (different hybrids, paste, and pomace) on inhibition of platelet function in vitro, ex vivo, and in vivo. Journal of medicinal food, 17(4), 505-511.</t>
        </r>
      </text>
    </comment>
    <comment ref="F1231" authorId="0" shapeId="0">
      <text>
        <r>
          <rPr>
            <sz val="10"/>
            <color rgb="FF000000"/>
            <rFont val="Arial"/>
          </rPr>
          <t>The relationship between the fresh tomato and the tomato paste is the following: 6 kg of fresh tomato are needed to produce 1 kg of tomato paste.
Rodríguez-Azúa, R., Treuer, A., Moore-Carrasco, R., Cortacáns, D., Gutiérrez, M., Astudillo, L., ... &amp; Palomo, I. (2014). Effect of tomato industrial processing (different hybrids, paste, and pomace) on inhibition of platelet function in vitro, ex vivo, and in vivo. Journal of medicinal food, 17(4), 505-511.</t>
        </r>
      </text>
    </comment>
    <comment ref="G1231" authorId="0" shapeId="0">
      <text>
        <r>
          <rPr>
            <sz val="10"/>
            <color rgb="FF000000"/>
            <rFont val="Arial"/>
          </rPr>
          <t>The relationship between the fresh tomato and the tomato paste is the following: 6 kg of fresh tomato are needed to produce 1 kg of tomato paste.
Rodríguez-Azúa, R., Treuer, A., Moore-Carrasco, R., Cortacáns, D., Gutiérrez, M., Astudillo, L., ... &amp; Palomo, I. (2014). Effect of tomato industrial processing (different hybrids, paste, and pomace) on inhibition of platelet function in vitro, ex vivo, and in vivo. Journal of medicinal food, 17(4), 505-511.</t>
        </r>
      </text>
    </comment>
    <comment ref="A1240" authorId="0" shapeId="0">
      <text>
        <r>
          <rPr>
            <sz val="10"/>
            <color rgb="FF000000"/>
            <rFont val="Arial"/>
          </rPr>
          <t>In "Grains" section; Additional Calculations sheet</t>
        </r>
      </text>
    </comment>
    <comment ref="B1240" authorId="0" shapeId="0">
      <text>
        <r>
          <rPr>
            <sz val="10"/>
            <color rgb="FF000000"/>
            <rFont val="Arial"/>
          </rPr>
          <t>1 bushel of corn = 33.3 lb glucose syrup
Gray, F. (1991). Trends in US production and use of glucose syrup and dextrose, 1965-1990, and prospects for the future. Tech. rep., US Department of Agriculture, Economic Research Service.</t>
        </r>
      </text>
    </comment>
    <comment ref="B1241" authorId="0" shapeId="0">
      <text>
        <r>
          <rPr>
            <sz val="10"/>
            <color rgb="FF000000"/>
            <rFont val="Arial"/>
          </rPr>
          <t>1 bushel of corn = 33.3 lb glucose syrup
Gray, F. (1991). Trends in US production and use of glucose syrup and dextrose, 1965-1990, and prospects for the future. Tech. rep., US Department of Agriculture, Economic Research Service.</t>
        </r>
      </text>
    </comment>
    <comment ref="C1241" authorId="0" shapeId="0">
      <text>
        <r>
          <rPr>
            <sz val="10"/>
            <color rgb="FF000000"/>
            <rFont val="Arial"/>
          </rPr>
          <t>56 lb dry corn = 1 bushel of corn
1 g dry corn = 0.00220462 lb dry corn
0.00220462 lb glucose syrup = 1 g glucose syrup
*Bushels of corn come in the form of shelled maize.  Shelled maize is dried to under 25% and off the cob
Amare, D., Endalew, W., Yayu, N., Endeblihatu, A., &amp; Biweta, W. (2017). Evaluation and demonstration of maize shellers for small-scale farmers. MOJ App Bio Biomech, 1(3), 00014.</t>
        </r>
      </text>
    </comment>
    <comment ref="D1241" authorId="0" shapeId="0">
      <text>
        <r>
          <rPr>
            <sz val="10"/>
            <color rgb="FF000000"/>
            <rFont val="Arial"/>
          </rPr>
          <t>Gray, F. (1991). Trends in US production and use of glucose syrup and dextrose, 1965-1990, and prospects for the future. Tech. rep., US Department of Agriculture, Economic Research Service.</t>
        </r>
      </text>
    </comment>
    <comment ref="E124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F124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G124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H124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B1247" authorId="0" shapeId="0">
      <text>
        <r>
          <rPr>
            <sz val="10"/>
            <color rgb="FF000000"/>
            <rFont val="Arial"/>
          </rPr>
          <t>1.25-1.5kgN/ton cane
https://www.haifa-group.com/using-right-fertilizers-order-provide-sugar-cane-necessities</t>
        </r>
      </text>
    </comment>
    <comment ref="E1247" authorId="0" shapeId="0">
      <text>
        <r>
          <rPr>
            <sz val="10"/>
            <color rgb="FF000000"/>
            <rFont val="Arial"/>
          </rPr>
          <t>50kg juice from 100kg cane https://www.appropedia.org/Sugar_Production_from_Cane_Sugar_(Practical_Action_Technical_Brief)</t>
        </r>
      </text>
    </comment>
    <comment ref="F1247" authorId="0" shapeId="0">
      <text>
        <r>
          <rPr>
            <sz val="10"/>
            <color rgb="FF000000"/>
            <rFont val="Arial"/>
          </rPr>
          <t>22% sugar in juice
https://www.appropedia.org/Sugar_Production_from_Cane_Sugar_(Practical_Action_Technical_Brief)</t>
        </r>
      </text>
    </comment>
    <comment ref="H1247" authorId="0" shapeId="0">
      <text>
        <r>
          <rPr>
            <sz val="10"/>
            <color rgb="FF000000"/>
            <rFont val="Arial"/>
          </rPr>
          <t>*1000gN/1kgN * 0.1kgSugar/100gSugar
or *100</t>
        </r>
      </text>
    </comment>
    <comment ref="A1249" authorId="0" shapeId="0">
      <text>
        <r>
          <rPr>
            <sz val="10"/>
            <color rgb="FF000000"/>
            <rFont val="Arial"/>
          </rPr>
          <t>primary crop: "Sugar cane"
Mekonnen, M. M., &amp; Hoekstra, A. Y. (2011). The green, blue and grey water footprint of crops and derived crop products. Hydrology and Earth System Sciences, 15(5), 1577-1600.</t>
        </r>
      </text>
    </comment>
    <comment ref="E1249" authorId="0" shapeId="0">
      <text>
        <r>
          <rPr>
            <sz val="10"/>
            <color rgb="FF000000"/>
            <rFont val="Arial"/>
          </rPr>
          <t>50kg juice from 100kg cane https://www.appropedia.org/Sugar_Production_from_Cane_Sugar_(Practical_Action_Technical_Brief)</t>
        </r>
      </text>
    </comment>
    <comment ref="F1249" authorId="0" shapeId="0">
      <text>
        <r>
          <rPr>
            <sz val="10"/>
            <color rgb="FF000000"/>
            <rFont val="Arial"/>
          </rPr>
          <t>22% sugar in juice
https://www.appropedia.org/Sugar_Production_from_Cane_Sugar_(Practical_Action_Technical_Brief)</t>
        </r>
      </text>
    </comment>
    <comment ref="H1249" authorId="0" shapeId="0">
      <text>
        <r>
          <rPr>
            <sz val="10"/>
            <color rgb="FF000000"/>
            <rFont val="Arial"/>
          </rPr>
          <t>*1000gN/1kgN * 0.1kgSugar/100gSugar
or *100</t>
        </r>
      </text>
    </comment>
    <comment ref="E1251" authorId="0" shapeId="0">
      <text>
        <r>
          <rPr>
            <sz val="10"/>
            <color rgb="FF000000"/>
            <rFont val="Arial"/>
          </rPr>
          <t>50kg juice from 100kg cane https://www.appropedia.org/Sugar_Production_from_Cane_Sugar_(Practical_Action_Technical_Brief)</t>
        </r>
      </text>
    </comment>
    <comment ref="F1251" authorId="0" shapeId="0">
      <text>
        <r>
          <rPr>
            <sz val="10"/>
            <color rgb="FF000000"/>
            <rFont val="Arial"/>
          </rPr>
          <t>22% sugar in juice
https://www.appropedia.org/Sugar_Production_from_Cane_Sugar_(Practical_Action_Technical_Brief)</t>
        </r>
      </text>
    </comment>
    <comment ref="A1253" authorId="0" shapeId="0">
      <text>
        <r>
          <rPr>
            <sz val="10"/>
            <color rgb="FF000000"/>
            <rFont val="Arial"/>
          </rPr>
          <t>https://ndb.nal.usda.gov/ndb/foods/show/90480?fgcd=&amp;manu=&amp;format=&amp;count=&amp;max=25&amp;offset=&amp;sort=default&amp;order=asc&amp;qlookup=cane+syrup&amp;ds=SR&amp;qt=&amp;qp=&amp;qa=&amp;qn=&amp;q=&amp;ing=</t>
        </r>
      </text>
    </comment>
    <comment ref="B1253" authorId="0" shapeId="0">
      <text>
        <r>
          <rPr>
            <sz val="10"/>
            <color rgb="FF000000"/>
            <rFont val="Arial"/>
          </rPr>
          <t>https://ndb.nal.usda.gov/ndb/foods/show/90480?fgcd=&amp;manu=&amp;format=&amp;count=&amp;max=25&amp;offset=&amp;sort=default&amp;order=asc&amp;qlookup=cane+syrup&amp;ds=SR&amp;qt=&amp;qp=&amp;qa=&amp;qn=&amp;q=&amp;ing=</t>
        </r>
      </text>
    </comment>
    <comment ref="B1254" authorId="0" shapeId="0">
      <text>
        <r>
          <rPr>
            <sz val="10"/>
            <color rgb="FF000000"/>
            <rFont val="Arial"/>
          </rPr>
          <t>Sugars, brown
https://fdc.nal.usda.gov/fdc-app.html#/food-details/168833/nutrients</t>
        </r>
      </text>
    </comment>
    <comment ref="A1255" authorId="0" shapeId="0">
      <text>
        <r>
          <rPr>
            <sz val="10"/>
            <color rgb="FF000000"/>
            <rFont val="Arial"/>
          </rPr>
          <t>https://ndb.nal.usda.gov/ndb/foods/show/19335?fgcd=&amp;manu=&amp;format=&amp;count=&amp;max=25&amp;offset=50&amp;sort=ndb_s&amp;order=asc&amp;qlookup=sugar&amp;ds=SR&amp;qt=&amp;qp=&amp;qa=&amp;qn=&amp;q=&amp;ing=</t>
        </r>
      </text>
    </comment>
    <comment ref="B1255" authorId="0" shapeId="0">
      <text>
        <r>
          <rPr>
            <sz val="10"/>
            <color rgb="FF000000"/>
            <rFont val="Arial"/>
          </rPr>
          <t>https://ndb.nal.usda.gov/ndb/foods/show/19335?fgcd=&amp;manu=&amp;format=&amp;count=&amp;max=25&amp;offset=50&amp;sort=ndb_s&amp;order=asc&amp;qlookup=sugar&amp;ds=SR&amp;qt=&amp;qp=&amp;qa=&amp;qn=&amp;q=&amp;ing=</t>
        </r>
      </text>
    </comment>
    <comment ref="B1256" authorId="0" shapeId="0">
      <text>
        <r>
          <rPr>
            <sz val="10"/>
            <color rgb="FF000000"/>
            <rFont val="Arial"/>
          </rPr>
          <t>"molasses"
https://fdc.nal.usda.gov/fdc-app.html#/food-details/168820/nutrients</t>
        </r>
      </text>
    </comment>
    <comment ref="B1258" authorId="0" shapeId="0">
      <text>
        <r>
          <rPr>
            <sz val="10"/>
            <color rgb="FF000000"/>
            <rFont val="Arial"/>
          </rPr>
          <t>Eshel, Gidon.  "MAD". Gidon_EnvironCalcPaper3_151104AS_poultryconcise (2).xlsx</t>
        </r>
      </text>
    </comment>
    <comment ref="C1258" authorId="0" shapeId="0">
      <text>
        <r>
          <rPr>
            <sz val="10"/>
            <color rgb="FF000000"/>
            <rFont val="Arial"/>
          </rPr>
          <t>Different from Gidon Correspondence between cane syrup is a stronger concentrate than cane juice, so the conversion calculation was used</t>
        </r>
      </text>
    </comment>
    <comment ref="C1269"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E1269" authorId="0" shapeId="0">
      <text>
        <r>
          <rPr>
            <sz val="10"/>
            <color rgb="FF000000"/>
            <rFont val="Arial"/>
          </rPr>
          <t>Ntiamoah, A., &amp; Afrane, G. (2008). Environmental impacts of cocoa production and processing in Ghana: life cycle assessment approach. Journal of Cleaner Production, 16(16), 1735-1740.</t>
        </r>
      </text>
    </comment>
    <comment ref="L1269" authorId="0" shapeId="0">
      <text>
        <r>
          <rPr>
            <sz val="10"/>
            <color rgb="FF000000"/>
            <rFont val="Arial"/>
          </rPr>
          <t>Gidon correspondence : "I think you should ignore Akshay's source, because the no eutrophication is just another name for "no data"."</t>
        </r>
      </text>
    </comment>
    <comment ref="U1269" authorId="0" shapeId="0">
      <text>
        <r>
          <rPr>
            <sz val="10"/>
            <color rgb="FF000000"/>
            <rFont val="Arial"/>
          </rPr>
          <t>Gidon correspondence : "I think you should ignore Akshay's source, because the no eutrophication is just another name for "no data"."</t>
        </r>
      </text>
    </comment>
    <comment ref="AB1269" authorId="0" shapeId="0">
      <text>
        <r>
          <rPr>
            <sz val="10"/>
            <color rgb="FF000000"/>
            <rFont val="Arial"/>
          </rPr>
          <t>Gidon correspondence : "I think you should ignore Akshay's source, because the no eutrophication is just another name for "no data"."</t>
        </r>
      </text>
    </comment>
    <comment ref="H1270"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J1270" authorId="0" shapeId="0">
      <text>
        <r>
          <rPr>
            <sz val="10"/>
            <color rgb="FF000000"/>
            <rFont val="Arial"/>
          </rPr>
          <t>Neira_2015_Energy sustainability of Ecuadorian cacao export and its contribution to climate change. A case study through product life cycle assessment</t>
        </r>
      </text>
    </comment>
    <comment ref="M1270"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O1270" authorId="0" shapeId="0">
      <text>
        <r>
          <rPr>
            <sz val="10"/>
            <color rgb="FF000000"/>
            <rFont val="Arial"/>
          </rPr>
          <t>N-P-K 10-30-10 
Neira_2015_Energy sustainability of Ecuadorian cacao export and its contribution to climate change. A case study through product life cycle assessment</t>
        </r>
      </text>
    </comment>
    <comment ref="P1270" authorId="0" shapeId="0">
      <text>
        <r>
          <rPr>
            <sz val="10"/>
            <color rgb="FF000000"/>
            <rFont val="Arial"/>
          </rPr>
          <t>175kgNPK / 300kg cacao
* 1000gN/1kgN
* 0.1kg cacao/ (100g cacao)</t>
        </r>
      </text>
    </comment>
    <comment ref="V1270"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Z1270" authorId="0" shapeId="0">
      <text>
        <r>
          <rPr>
            <sz val="10"/>
            <color rgb="FF000000"/>
            <rFont val="Arial"/>
          </rPr>
          <t>Table 4a: 1.63 kgCO2eq/kg
*.1kg/100g
Neira_2015_Energy sustainability of Ecuadorian cacao export and its contribution to climate change. A case study through product life cycle assessment</t>
        </r>
      </text>
    </comment>
    <comment ref="H1271"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J1271" authorId="0" shapeId="0">
      <text>
        <r>
          <rPr>
            <sz val="10"/>
            <color rgb="FF000000"/>
            <rFont val="Arial"/>
          </rPr>
          <t>N-P-K 10-30-10 
Neira_2015_Energy sustainability of Ecuadorian cacao export and its contribution to climate change. A case study through product life cycle assessment</t>
        </r>
      </text>
    </comment>
    <comment ref="M1271"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O1271" authorId="0" shapeId="0">
      <text>
        <r>
          <rPr>
            <sz val="10"/>
            <color rgb="FF000000"/>
            <rFont val="Arial"/>
          </rPr>
          <t>N-P-K 10-30-10 
Neira_2015_Energy sustainability of Ecuadorian cacao export and its contribution to climate change. A case study through product life cycle assessment</t>
        </r>
      </text>
    </comment>
    <comment ref="P1271" authorId="0" shapeId="0">
      <text>
        <r>
          <rPr>
            <sz val="10"/>
            <color rgb="FF000000"/>
            <rFont val="Arial"/>
          </rPr>
          <t>300kg NPK/1400kg cacao per year
* 1000gN/1kgN
* 0.1kg cacao/ (100g cacao)</t>
        </r>
      </text>
    </comment>
    <comment ref="V1271" authorId="0" shapeId="0">
      <text>
        <r>
          <rPr>
            <sz val="10"/>
            <color rgb="FF000000"/>
            <rFont val="Arial"/>
          </rPr>
          <t>Neira, D. P. (2016). Energy sustainability of Ecuadorian cacao export and its contribution to climate change. A case study through product life cycle assessment. Journal of Cleaner Production, 112, 2560-2568.</t>
        </r>
      </text>
    </comment>
    <comment ref="Z1271" authorId="0" shapeId="0">
      <text>
        <r>
          <rPr>
            <sz val="10"/>
            <color rgb="FF000000"/>
            <rFont val="Arial"/>
          </rPr>
          <t>Table 4a: 1.96 kgCO2eq/kg
*.1kg/100g
Neira_2015_Energy sustainability of Ecuadorian cacao export and its contribution to climate change. A case study through product life cycle assessment</t>
        </r>
      </text>
    </comment>
    <comment ref="H1272" authorId="0" shapeId="0">
      <text>
        <r>
          <rPr>
            <sz val="10"/>
            <color rgb="FF000000"/>
            <rFont val="Arial"/>
          </rPr>
          <t>Ortiz-R, O. O., Villamizar Gallardo, R. A., &amp; Rangel, J. M. (2014). Applying life cycle management of colombian cocoa production. Food Science and Technology, 34(1), 62-68.</t>
        </r>
      </text>
    </comment>
    <comment ref="J1272" authorId="0" shapeId="0">
      <text>
        <r>
          <rPr>
            <sz val="10"/>
            <color rgb="FF000000"/>
            <rFont val="Arial"/>
          </rPr>
          <t>Orlando_2014_Applying life cycle management of colombian cocoa production.pdf
Table 1</t>
        </r>
      </text>
    </comment>
    <comment ref="M1272" authorId="0" shapeId="0">
      <text>
        <r>
          <rPr>
            <sz val="10"/>
            <color rgb="FF000000"/>
            <rFont val="Arial"/>
          </rPr>
          <t>Ortiz-R, O. O., Villamizar Gallardo, R. A., &amp; Rangel, J. M. (2014). Applying life cycle management of colombian cocoa production. Food Science and Technology, 34(1), 62-68.</t>
        </r>
      </text>
    </comment>
    <comment ref="O1272" authorId="0" shapeId="0">
      <text>
        <r>
          <rPr>
            <sz val="10"/>
            <color rgb="FF000000"/>
            <rFont val="Arial"/>
          </rPr>
          <t>Orlando_2014_Applying life cycle management of colombian cocoa production.pdf
Table 1</t>
        </r>
      </text>
    </comment>
    <comment ref="V1272" authorId="0" shapeId="0">
      <text>
        <r>
          <rPr>
            <sz val="10"/>
            <color rgb="FF000000"/>
            <rFont val="Arial"/>
          </rPr>
          <t>Ortiz-R, O. O., Villamizar Gallardo, R. A., &amp; Rangel, J. M. (2014). Applying life cycle management of colombian cocoa production. Food Science and Technology, 34(1), 62-68.</t>
        </r>
      </text>
    </comment>
    <comment ref="X1272" authorId="0" shapeId="0">
      <text>
        <r>
          <rPr>
            <sz val="10"/>
            <color rgb="FF000000"/>
            <rFont val="Arial"/>
          </rPr>
          <t>Table 4
*.0001ha/m2</t>
        </r>
      </text>
    </comment>
    <comment ref="Y1272" authorId="0" shapeId="0">
      <text>
        <r>
          <rPr>
            <sz val="10"/>
            <color rgb="FF000000"/>
            <rFont val="Arial"/>
          </rPr>
          <t>Orlando_2014_Applying life cycle management of colombian cocoa production.pdf
Table 1</t>
        </r>
      </text>
    </comment>
    <comment ref="B1273" authorId="0" shapeId="0">
      <text>
        <r>
          <rPr>
            <sz val="10"/>
            <color rgb="FF000000"/>
            <rFont val="Arial"/>
          </rPr>
          <t>Primary products:
Liquor (60%), Butter (40%)</t>
        </r>
      </text>
    </comment>
    <comment ref="J1273" authorId="0" shapeId="0">
      <text>
        <r>
          <rPr>
            <sz val="10"/>
            <color rgb="FF000000"/>
            <rFont val="Arial"/>
          </rPr>
          <t>Orlando_2014_Applying life cycle management of colombian cocoa production.pdf
Table 1</t>
        </r>
      </text>
    </comment>
    <comment ref="O1273" authorId="0" shapeId="0">
      <text>
        <r>
          <rPr>
            <sz val="10"/>
            <color rgb="FF000000"/>
            <rFont val="Arial"/>
          </rPr>
          <t>Orlando_2014_Applying life cycle management of colombian cocoa production.pdf
Table 1</t>
        </r>
      </text>
    </comment>
    <comment ref="Y1273" authorId="0" shapeId="0">
      <text>
        <r>
          <rPr>
            <sz val="10"/>
            <color rgb="FF000000"/>
            <rFont val="Arial"/>
          </rPr>
          <t>Orlando_2014_Applying life cycle management of colombian cocoa production.pdf
Table 1</t>
        </r>
      </text>
    </comment>
    <comment ref="B1274" authorId="0" shapeId="0">
      <text>
        <r>
          <rPr>
            <sz val="10"/>
            <color rgb="FF000000"/>
            <rFont val="Arial"/>
          </rPr>
          <t>Primary products:
Liquor (60%), Butter (40%)</t>
        </r>
      </text>
    </comment>
    <comment ref="J1274" authorId="0" shapeId="0">
      <text>
        <r>
          <rPr>
            <sz val="10"/>
            <color rgb="FF000000"/>
            <rFont val="Arial"/>
          </rPr>
          <t>N-P-K 15-15-15
Orlando_2014_Applying life cycle management of colombian cocoa production.pdf
Table 1</t>
        </r>
      </text>
    </comment>
    <comment ref="O1274" authorId="0" shapeId="0">
      <text>
        <r>
          <rPr>
            <sz val="10"/>
            <color rgb="FF000000"/>
            <rFont val="Arial"/>
          </rPr>
          <t>N-P-K 15-15-15
Orlando_2014_Applying life cycle management of colombian cocoa production.pdf
Table 1</t>
        </r>
      </text>
    </comment>
    <comment ref="P1274" authorId="0" shapeId="0">
      <text>
        <r>
          <rPr>
            <sz val="10"/>
            <color rgb="FF000000"/>
            <rFont val="Arial"/>
          </rPr>
          <t>2.5E+02 kg NPK/ 2.00E+2 kg cocoa = 250 kg NPK/ 200kg cocoa
* 1000gN/1kgN
* 0.1kg cacao/ (100g cacao)</t>
        </r>
      </text>
    </comment>
    <comment ref="Y1274" authorId="0" shapeId="0">
      <text>
        <r>
          <rPr>
            <sz val="10"/>
            <color rgb="FF000000"/>
            <rFont val="Arial"/>
          </rPr>
          <t>N-P-K 15-15-15
Orlando_2014_Applying life cycle management of colombian cocoa production.pdf
Table 1</t>
        </r>
      </text>
    </comment>
    <comment ref="J1275" authorId="0" shapeId="0">
      <text>
        <r>
          <rPr>
            <sz val="10"/>
            <color rgb="FF000000"/>
            <rFont val="Arial"/>
          </rPr>
          <t>Orlando_2014_Applying life cycle management of colombian cocoa production.pdf</t>
        </r>
      </text>
    </comment>
    <comment ref="O1275" authorId="0" shapeId="0">
      <text>
        <r>
          <rPr>
            <sz val="10"/>
            <color rgb="FF000000"/>
            <rFont val="Arial"/>
          </rPr>
          <t>Orlando_2014_Applying life cycle management of colombian cocoa production.pdf</t>
        </r>
      </text>
    </comment>
    <comment ref="Y1275" authorId="0" shapeId="0">
      <text>
        <r>
          <rPr>
            <sz val="10"/>
            <color rgb="FF000000"/>
            <rFont val="Arial"/>
          </rPr>
          <t>Orlando_2014_Applying life cycle management of colombian cocoa production.pdf</t>
        </r>
      </text>
    </comment>
    <comment ref="B1276" authorId="0" shapeId="0">
      <text>
        <r>
          <rPr>
            <sz val="10"/>
            <color rgb="FF000000"/>
            <rFont val="Arial"/>
          </rPr>
          <t>By-products: 
Cocoa press cake (61%), Cocoa powder (17%), Cacao shells (22%)</t>
        </r>
      </text>
    </comment>
    <comment ref="J1276" authorId="0" shapeId="0">
      <text>
        <r>
          <rPr>
            <sz val="10"/>
            <color rgb="FF000000"/>
            <rFont val="Arial"/>
          </rPr>
          <t>Orlando_2014_Applying life cycle management of colombian cocoa production.pdf
Table 1</t>
        </r>
      </text>
    </comment>
    <comment ref="O1276" authorId="0" shapeId="0">
      <text>
        <r>
          <rPr>
            <sz val="10"/>
            <color rgb="FF000000"/>
            <rFont val="Arial"/>
          </rPr>
          <t>Orlando_2014_Applying life cycle management of colombian cocoa production.pdf
Table 1</t>
        </r>
      </text>
    </comment>
    <comment ref="Y1276" authorId="0" shapeId="0">
      <text>
        <r>
          <rPr>
            <sz val="10"/>
            <color rgb="FF000000"/>
            <rFont val="Arial"/>
          </rPr>
          <t>Orlando_2014_Applying life cycle management of colombian cocoa production.pdf
Table 1</t>
        </r>
      </text>
    </comment>
    <comment ref="B1277" authorId="0" shapeId="0">
      <text>
        <r>
          <rPr>
            <sz val="10"/>
            <color rgb="FF000000"/>
            <rFont val="Arial"/>
          </rPr>
          <t>By-products: 
Cocoa press cake (61%), Cocoa powder (17%), Cacao shells (22%)</t>
        </r>
      </text>
    </comment>
    <comment ref="J1277" authorId="0" shapeId="0">
      <text>
        <r>
          <rPr>
            <sz val="10"/>
            <color rgb="FF000000"/>
            <rFont val="Arial"/>
          </rPr>
          <t>N-P-K 15-15-15
Orlando_2014_Applying life cycle management of colombian cocoa production.pdf
Table 1</t>
        </r>
      </text>
    </comment>
    <comment ref="O1277" authorId="0" shapeId="0">
      <text>
        <r>
          <rPr>
            <sz val="10"/>
            <color rgb="FF000000"/>
            <rFont val="Arial"/>
          </rPr>
          <t>N-P-K 15-15-15
Orlando_2014_Applying life cycle management of colombian cocoa production.pdf
Table 1</t>
        </r>
      </text>
    </comment>
    <comment ref="P1277" authorId="0" shapeId="0">
      <text>
        <r>
          <rPr>
            <sz val="10"/>
            <color rgb="FF000000"/>
            <rFont val="Arial"/>
          </rPr>
          <t>1.00E+02kg NPK/1.33E+02 kg cocoa
100kg NPK/133kg cocoa
* 1000gN/1kgN
* 0.1kg cacao/ (100g cacao)</t>
        </r>
      </text>
    </comment>
    <comment ref="Y1277" authorId="0" shapeId="0">
      <text>
        <r>
          <rPr>
            <sz val="10"/>
            <color rgb="FF000000"/>
            <rFont val="Arial"/>
          </rPr>
          <t>N-P-K 15-15-15
Orlando_2014_Applying life cycle management of colombian cocoa production.pdf
Table 1</t>
        </r>
      </text>
    </comment>
    <comment ref="B1278" authorId="0" shapeId="0">
      <text>
        <r>
          <rPr>
            <sz val="10"/>
            <color rgb="FF000000"/>
            <rFont val="Arial"/>
          </rPr>
          <t>By-products: 
Cocoa press cake (61%), Cocoa powder (17%), Cacao shells (22%)</t>
        </r>
      </text>
    </comment>
    <comment ref="J1278" authorId="0" shapeId="0">
      <text>
        <r>
          <rPr>
            <sz val="10"/>
            <color rgb="FF000000"/>
            <rFont val="Arial"/>
          </rPr>
          <t>N-P-K 18-18-18
Orlando_2014_Applying life cycle management of colombian cocoa production.pdf
Table 1</t>
        </r>
      </text>
    </comment>
    <comment ref="O1278" authorId="0" shapeId="0">
      <text>
        <r>
          <rPr>
            <sz val="10"/>
            <color rgb="FF000000"/>
            <rFont val="Arial"/>
          </rPr>
          <t>N-P-K 18-18-18
Orlando_2014_Applying life cycle management of colombian cocoa production.pdf
Table 1</t>
        </r>
      </text>
    </comment>
    <comment ref="P1278" authorId="0" shapeId="0">
      <text>
        <r>
          <rPr>
            <sz val="10"/>
            <color rgb="FF000000"/>
            <rFont val="Arial"/>
          </rPr>
          <t>* 1000gN/1kgN
* 0.1kg cacao/ (100g cacao)</t>
        </r>
      </text>
    </comment>
    <comment ref="Y1278" authorId="0" shapeId="0">
      <text>
        <r>
          <rPr>
            <sz val="10"/>
            <color rgb="FF000000"/>
            <rFont val="Arial"/>
          </rPr>
          <t>N-P-K 18-18-18
Orlando_2014_Applying life cycle management of colombian cocoa production.pdf
Table 1</t>
        </r>
      </text>
    </comment>
    <comment ref="J1279" authorId="0" shapeId="0">
      <text>
        <r>
          <rPr>
            <sz val="10"/>
            <color rgb="FF000000"/>
            <rFont val="Arial"/>
          </rPr>
          <t>N-P-K 15-15-15
Orlando_2014_Applying life cycle management of colombian cocoa production.pdf
Table 1</t>
        </r>
      </text>
    </comment>
    <comment ref="O1279" authorId="0" shapeId="0">
      <text>
        <r>
          <rPr>
            <sz val="10"/>
            <color rgb="FF000000"/>
            <rFont val="Arial"/>
          </rPr>
          <t>N-P-K 15-15-15
Orlando_2014_Applying life cycle management of colombian cocoa production.pdf
Table 1</t>
        </r>
      </text>
    </comment>
    <comment ref="P1279" authorId="0" shapeId="0">
      <text>
        <r>
          <rPr>
            <sz val="10"/>
            <color rgb="FF000000"/>
            <rFont val="Arial"/>
          </rPr>
          <t>* 1000gN/1kgN
* 0.1kg cacao/ (100g cacao)</t>
        </r>
      </text>
    </comment>
    <comment ref="Y1279" authorId="0" shapeId="0">
      <text>
        <r>
          <rPr>
            <sz val="10"/>
            <color rgb="FF000000"/>
            <rFont val="Arial"/>
          </rPr>
          <t>N-P-K 15-15-15
Orlando_2014_Applying life cycle management of colombian cocoa production.pdf
Table 1</t>
        </r>
      </text>
    </comment>
    <comment ref="J1280" authorId="0" shapeId="0">
      <text>
        <r>
          <rPr>
            <sz val="10"/>
            <color rgb="FF000000"/>
            <rFont val="Arial"/>
          </rPr>
          <t>N-P-K 15-15-15
Orlando_2014_Applying life cycle management of colombian cocoa production.pdf
Table 1</t>
        </r>
      </text>
    </comment>
    <comment ref="O1280" authorId="0" shapeId="0">
      <text>
        <r>
          <rPr>
            <sz val="10"/>
            <color rgb="FF000000"/>
            <rFont val="Arial"/>
          </rPr>
          <t>N-P-K 15-15-15
Orlando_2014_Applying life cycle management of colombian cocoa production.pdf
Table 1</t>
        </r>
      </text>
    </comment>
    <comment ref="P1280" authorId="0" shapeId="0">
      <text>
        <r>
          <rPr>
            <sz val="10"/>
            <color rgb="FF000000"/>
            <rFont val="Arial"/>
          </rPr>
          <t>* 1000gN/1kgN
* 0.1kg cacao/ (100g cacao)</t>
        </r>
      </text>
    </comment>
    <comment ref="Y1280" authorId="0" shapeId="0">
      <text>
        <r>
          <rPr>
            <sz val="10"/>
            <color rgb="FF000000"/>
            <rFont val="Arial"/>
          </rPr>
          <t>N-P-K 15-15-15
Orlando_2014_Applying life cycle management of colombian cocoa production.pdf
Table 1</t>
        </r>
      </text>
    </comment>
    <comment ref="J1281" authorId="0" shapeId="0">
      <text>
        <r>
          <rPr>
            <sz val="10"/>
            <color rgb="FF000000"/>
            <rFont val="Arial"/>
          </rPr>
          <t>N-P-K 15-15-15
Orlando_2014_Applying life cycle management of colombian cocoa production.pdf
Table 1</t>
        </r>
      </text>
    </comment>
    <comment ref="O1281" authorId="0" shapeId="0">
      <text>
        <r>
          <rPr>
            <sz val="10"/>
            <color rgb="FF000000"/>
            <rFont val="Arial"/>
          </rPr>
          <t>N-P-K 15-15-15
Orlando_2014_Applying life cycle management of colombian cocoa production.pdf
Table 1</t>
        </r>
      </text>
    </comment>
    <comment ref="P1281" authorId="0" shapeId="0">
      <text>
        <r>
          <rPr>
            <sz val="10"/>
            <color rgb="FF000000"/>
            <rFont val="Arial"/>
          </rPr>
          <t>* 1000gN/1kgN
* 0.1kg cacao/ (100g cacao)</t>
        </r>
      </text>
    </comment>
    <comment ref="Y1281" authorId="0" shapeId="0">
      <text>
        <r>
          <rPr>
            <sz val="10"/>
            <color rgb="FF000000"/>
            <rFont val="Arial"/>
          </rPr>
          <t>N-P-K 15-15-15
Orlando_2014_Applying life cycle management of colombian cocoa production.pdf
Table 1</t>
        </r>
      </text>
    </comment>
    <comment ref="J1282" authorId="0" shapeId="0">
      <text>
        <r>
          <rPr>
            <sz val="10"/>
            <color rgb="FF000000"/>
            <rFont val="Arial"/>
          </rPr>
          <t>"Urea and DAP" 
*Janiszewski assumes 50:50 ratio because no additional information exists
Urea = 28/60
(Gidon: "urea is CH4N2O = 12+4+28+16 = 60 so N:urea = 28/60 = 47% N" &lt;https://pubchem.ncbi.nlm.nih.gov/#query=CH4N2O&gt;)
DAP = 21/132 
(Gidon: "DAP has 2 Ns per 132 so 28/132 = 21%")
Orlando_2014_Applying life cycle management of colombian cocoa production.pdf
Table 1</t>
        </r>
      </text>
    </comment>
    <comment ref="O1282" authorId="0" shapeId="0">
      <text>
        <r>
          <rPr>
            <sz val="10"/>
            <color rgb="FF000000"/>
            <rFont val="Arial"/>
          </rPr>
          <t>"Urea and DAP" 
*Janiszewski assumes 50:50 ratio because no additional information exists
Urea = 28/60
(Gidon: "urea is CH4N2O = 12+4+28+16 = 60 so N:urea = 28/60 = 47% N" &lt;https://pubchem.ncbi.nlm.nih.gov/#query=CH4N2O&gt;)
DAP = 21/132 
(Gidon: "DAP has 2 Ns per 132 so 28/132 = 21%")
Orlando_2014_Applying life cycle management of colombian cocoa production.pdf
Table 1</t>
        </r>
      </text>
    </comment>
    <comment ref="P1282" authorId="0" shapeId="0">
      <text>
        <r>
          <rPr>
            <sz val="10"/>
            <color rgb="FF000000"/>
            <rFont val="Arial"/>
          </rPr>
          <t>* 1000gN/1kgN
* 0.1kg cacao/ (100g cacao)</t>
        </r>
      </text>
    </comment>
    <comment ref="Y1282" authorId="0" shapeId="0">
      <text>
        <r>
          <rPr>
            <sz val="10"/>
            <color rgb="FF000000"/>
            <rFont val="Arial"/>
          </rPr>
          <t>"Urea and DAP" 
*Janiszewski assumes 50:50 ratio because no additional information exists
Urea = 28/60
(Gidon: "urea is CH4N2O = 12+4+28+16 = 60 so N:urea = 28/60 = 47% N" &lt;https://pubchem.ncbi.nlm.nih.gov/#query=CH4N2O&gt;)
DAP = 21/132 
(Gidon: "DAP has 2 Ns per 132 so 28/132 = 21%")
Orlando_2014_Applying life cycle management of colombian cocoa production.pdf
Table 1</t>
        </r>
      </text>
    </comment>
    <comment ref="J1283" authorId="0" shapeId="0">
      <text>
        <r>
          <rPr>
            <sz val="10"/>
            <color rgb="FF000000"/>
            <rFont val="Arial"/>
          </rPr>
          <t>Urea = 28/60
(Gidon: "urea is CH4N2O = 12+4+28+16 = 60 so N:urea = 28/60 = 47% N" &lt;https://pubchem.ncbi.nlm.nih.gov/#query=CH4N2O&gt;)
Orlando_2014_Applying life cycle management of colombian cocoa production.pdf
Table 1</t>
        </r>
      </text>
    </comment>
    <comment ref="O1283" authorId="0" shapeId="0">
      <text>
        <r>
          <rPr>
            <sz val="10"/>
            <color rgb="FF000000"/>
            <rFont val="Arial"/>
          </rPr>
          <t>Urea = 28/60
(Gidon: "urea is CH4N2O = 12+4+28+16 = 60 so N:urea = 28/60 = 47% N" &lt;https://pubchem.ncbi.nlm.nih.gov/#query=CH4N2O&gt;)
Orlando_2014_Applying life cycle management of colombian cocoa production.pdf
Table 1</t>
        </r>
      </text>
    </comment>
    <comment ref="P1283" authorId="0" shapeId="0">
      <text>
        <r>
          <rPr>
            <sz val="10"/>
            <color rgb="FF000000"/>
            <rFont val="Arial"/>
          </rPr>
          <t>* 1000gN/1kgN
* 0.1kg cacao/ (100g cacao)</t>
        </r>
      </text>
    </comment>
    <comment ref="Y1283" authorId="0" shapeId="0">
      <text>
        <r>
          <rPr>
            <sz val="10"/>
            <color rgb="FF000000"/>
            <rFont val="Arial"/>
          </rPr>
          <t>Urea = 28/60
(Gidon: "urea is CH4N2O = 12+4+28+16 = 60 so N:urea = 28/60 = 47% N" &lt;https://pubchem.ncbi.nlm.nih.gov/#query=CH4N2O&gt;)
Orlando_2014_Applying life cycle management of colombian cocoa production.pdf
Table 1</t>
        </r>
      </text>
    </comment>
    <comment ref="J1284" authorId="0" shapeId="0">
      <text>
        <r>
          <rPr>
            <sz val="10"/>
            <color rgb="FF000000"/>
            <rFont val="Arial"/>
          </rPr>
          <t>"Urea. TSP and KCl" 
*Janiszewski assumes 33:33:33 ratio because no additional information exists
Urea = 28/60
(Gidon: "urea is CH4N2O = 12+4+28+16 = 60 so N:urea = 28/60 = 47% N" &lt;https://pubchem.ncbi.nlm.nih.gov/#query=CH4N2O&gt;)
Orlando_2014_Applying life cycle management of colombian cocoa production.pdf
Table 1</t>
        </r>
      </text>
    </comment>
    <comment ref="O1284" authorId="0" shapeId="0">
      <text>
        <r>
          <rPr>
            <sz val="10"/>
            <color rgb="FF000000"/>
            <rFont val="Arial"/>
          </rPr>
          <t>"Urea. TSP and KCl" 
*Janiszewski assumes 33:33:33 ratio because no additional information exists
Urea = 28/60
(Gidon: "urea is CH4N2O = 12+4+28+16 = 60 so N:urea = 28/60 = 47% N" &lt;https://pubchem.ncbi.nlm.nih.gov/#query=CH4N2O&gt;)
Orlando_2014_Applying life cycle management of colombian cocoa production.pdf
Table 1</t>
        </r>
      </text>
    </comment>
    <comment ref="P1284" authorId="0" shapeId="0">
      <text>
        <r>
          <rPr>
            <sz val="10"/>
            <color rgb="FF000000"/>
            <rFont val="Arial"/>
          </rPr>
          <t>* 1000gN/1kgN
* 0.1kg cacao/ (100g cacao)</t>
        </r>
      </text>
    </comment>
    <comment ref="Y1284" authorId="0" shapeId="0">
      <text>
        <r>
          <rPr>
            <sz val="10"/>
            <color rgb="FF000000"/>
            <rFont val="Arial"/>
          </rPr>
          <t>"Urea. TSP and KCl" 
*Janiszewski assumes 33:33:33 ratio because no additional information exists
Urea = 28/60
(Gidon: "urea is CH4N2O = 12+4+28+16 = 60 so N:urea = 28/60 = 47% N" &lt;https://pubchem.ncbi.nlm.nih.gov/#query=CH4N2O&gt;)
Orlando_2014_Applying life cycle management of colombian cocoa production.pdf
Table 1</t>
        </r>
      </text>
    </comment>
    <comment ref="J1285" authorId="0" shapeId="0">
      <text>
        <r>
          <rPr>
            <sz val="10"/>
            <color rgb="FF000000"/>
            <rFont val="Arial"/>
          </rPr>
          <t>"Organic = 1.10E+03"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85" authorId="0" shapeId="0">
      <text>
        <r>
          <rPr>
            <sz val="10"/>
            <color rgb="FF000000"/>
            <rFont val="Arial"/>
          </rPr>
          <t>"Organic = 1.10E+03"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85" authorId="0" shapeId="0">
      <text>
        <r>
          <rPr>
            <sz val="10"/>
            <color rgb="FF000000"/>
            <rFont val="Arial"/>
          </rPr>
          <t>* 1000gN/1kgN
* 0.1kg cacao/ (100g cacao)</t>
        </r>
      </text>
    </comment>
    <comment ref="Q1285" authorId="0" shapeId="0">
      <text>
        <r>
          <rPr>
            <sz val="10"/>
            <color rgb="FF000000"/>
            <rFont val="Arial"/>
          </rPr>
          <t>weighted average of Nr needs for all farms that use synthetic fertilizer.
(Farms 1-13, 15, 19, 22-23, 27, 29-30)</t>
        </r>
      </text>
    </comment>
    <comment ref="Y1285" authorId="0" shapeId="0">
      <text>
        <r>
          <rPr>
            <sz val="10"/>
            <color rgb="FF000000"/>
            <rFont val="Arial"/>
          </rPr>
          <t>"Organic = 1.10E+03"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86" authorId="0" shapeId="0">
      <text>
        <r>
          <rPr>
            <sz val="10"/>
            <color rgb="FF000000"/>
            <rFont val="Arial"/>
          </rPr>
          <t>N-P-K 10-30-10
Orlando_2014_Applying life cycle management of colombian cocoa production.pdf
Table 1</t>
        </r>
      </text>
    </comment>
    <comment ref="O1286" authorId="0" shapeId="0">
      <text>
        <r>
          <rPr>
            <sz val="10"/>
            <color rgb="FF000000"/>
            <rFont val="Arial"/>
          </rPr>
          <t>N-P-K 10-30-10
Orlando_2014_Applying life cycle management of colombian cocoa production.pdf
Table 1</t>
        </r>
      </text>
    </comment>
    <comment ref="P1286" authorId="0" shapeId="0">
      <text>
        <r>
          <rPr>
            <sz val="10"/>
            <color rgb="FF000000"/>
            <rFont val="Arial"/>
          </rPr>
          <t>* 1000gN/1kgN
* 0.1kg cacao/ (100g cacao)</t>
        </r>
      </text>
    </comment>
    <comment ref="Y1286" authorId="0" shapeId="0">
      <text>
        <r>
          <rPr>
            <sz val="10"/>
            <color rgb="FF000000"/>
            <rFont val="Arial"/>
          </rPr>
          <t>N-P-K 10-30-10
Orlando_2014_Applying life cycle management of colombian cocoa production.pdf
Table 1</t>
        </r>
      </text>
    </comment>
    <comment ref="J1287" authorId="0" shapeId="0">
      <text>
        <r>
          <rPr>
            <sz val="10"/>
            <color rgb="FF000000"/>
            <rFont val="Arial"/>
          </rPr>
          <t>"Organic = 5.00E+02 plus
N-P-K: 15-15-15 = 1.00E+02"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87" authorId="0" shapeId="0">
      <text>
        <r>
          <rPr>
            <sz val="10"/>
            <color rgb="FF000000"/>
            <rFont val="Arial"/>
          </rPr>
          <t>"Organic = 5.00E+02 plus
N-P-K: 15-15-15 = 1.00E+02"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87" authorId="0" shapeId="0">
      <text>
        <r>
          <rPr>
            <sz val="10"/>
            <color rgb="FF000000"/>
            <rFont val="Arial"/>
          </rPr>
          <t>* 1000gN/1kgN
* 0.1kg cacao/ (100g cacao)</t>
        </r>
      </text>
    </comment>
    <comment ref="Q1287" authorId="0" shapeId="0">
      <text>
        <r>
          <rPr>
            <sz val="10"/>
            <color rgb="FF000000"/>
            <rFont val="Arial"/>
          </rPr>
          <t>weighted average of Nr needs for all farms that use synthetic fertilizer.
(Farms 1-13, 15, 19, 22-23, 27, 29-30)</t>
        </r>
      </text>
    </comment>
    <comment ref="Y1287" authorId="0" shapeId="0">
      <text>
        <r>
          <rPr>
            <sz val="10"/>
            <color rgb="FF000000"/>
            <rFont val="Arial"/>
          </rPr>
          <t>"Organic = 5.00E+02 plus
N-P-K: 15-15-15 = 1.00E+02"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88" authorId="0" shapeId="0">
      <text>
        <r>
          <rPr>
            <sz val="10"/>
            <color rgb="FF000000"/>
            <rFont val="Arial"/>
          </rPr>
          <t>"N-P-K: 15-15-15 = 1.00E+02 plus
Organic = 1.20E+03"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88" authorId="0" shapeId="0">
      <text>
        <r>
          <rPr>
            <sz val="10"/>
            <color rgb="FF000000"/>
            <rFont val="Arial"/>
          </rPr>
          <t>"N-P-K: 15-15-15 = 1.00E+02 plus
Organic = 1.20E+03"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88" authorId="0" shapeId="0">
      <text>
        <r>
          <rPr>
            <sz val="10"/>
            <color rgb="FF000000"/>
            <rFont val="Arial"/>
          </rPr>
          <t>* 1000gN/1kgN
* 0.1kg cacao/ (100g cacao)</t>
        </r>
      </text>
    </comment>
    <comment ref="Q1288" authorId="0" shapeId="0">
      <text>
        <r>
          <rPr>
            <sz val="10"/>
            <color rgb="FF000000"/>
            <rFont val="Arial"/>
          </rPr>
          <t>weighted average of Nr needs for all farms that use synthetic fertilizer.
(Farms 1-13, 15, 19, 22-23, 27, 29-30)</t>
        </r>
      </text>
    </comment>
    <comment ref="Y1288" authorId="0" shapeId="0">
      <text>
        <r>
          <rPr>
            <sz val="10"/>
            <color rgb="FF000000"/>
            <rFont val="Arial"/>
          </rPr>
          <t>"N-P-K: 15-15-15 = 1.00E+02 plus
Organic = 1.20E+03"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8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8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89" authorId="0" shapeId="0">
      <text>
        <r>
          <rPr>
            <sz val="10"/>
            <color rgb="FF000000"/>
            <rFont val="Arial"/>
          </rPr>
          <t>* 1000gN/1kgN
* 0.1kg cacao/ (100g cacao)</t>
        </r>
      </text>
    </comment>
    <comment ref="Q1289" authorId="0" shapeId="0">
      <text>
        <r>
          <rPr>
            <sz val="10"/>
            <color rgb="FF000000"/>
            <rFont val="Arial"/>
          </rPr>
          <t>weighted average of Nr needs for all farms that use synthetic fertilizer.
(Farms 1-13, 15, 19, 22-23, 27, 29-30)</t>
        </r>
      </text>
    </comment>
    <comment ref="Y128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90" authorId="0" shapeId="0">
      <text>
        <r>
          <rPr>
            <sz val="10"/>
            <color rgb="FF000000"/>
            <rFont val="Arial"/>
          </rPr>
          <t>N-P-K 20-15-20
Orlando_2014_Applying life cycle management of colombian cocoa production.pdf
Table 1</t>
        </r>
      </text>
    </comment>
    <comment ref="O1290" authorId="0" shapeId="0">
      <text>
        <r>
          <rPr>
            <sz val="10"/>
            <color rgb="FF000000"/>
            <rFont val="Arial"/>
          </rPr>
          <t>N-P-K 20-15-20
Orlando_2014_Applying life cycle management of colombian cocoa production.pdf
Table 1</t>
        </r>
      </text>
    </comment>
    <comment ref="P1290" authorId="0" shapeId="0">
      <text>
        <r>
          <rPr>
            <sz val="10"/>
            <color rgb="FF000000"/>
            <rFont val="Arial"/>
          </rPr>
          <t>* 1000gN/1kgN
* 0.1kg cacao/ (100g cacao)</t>
        </r>
      </text>
    </comment>
    <comment ref="Y1290" authorId="0" shapeId="0">
      <text>
        <r>
          <rPr>
            <sz val="10"/>
            <color rgb="FF000000"/>
            <rFont val="Arial"/>
          </rPr>
          <t>N-P-K 20-15-20
Orlando_2014_Applying life cycle management of colombian cocoa production.pdf
Table 1</t>
        </r>
      </text>
    </comment>
    <comment ref="J129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9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91" authorId="0" shapeId="0">
      <text>
        <r>
          <rPr>
            <sz val="10"/>
            <color rgb="FF000000"/>
            <rFont val="Arial"/>
          </rPr>
          <t>* 1000gN/1kgN
* 0.1kg cacao/ (100g cacao)</t>
        </r>
      </text>
    </comment>
    <comment ref="Q1291" authorId="0" shapeId="0">
      <text>
        <r>
          <rPr>
            <sz val="10"/>
            <color rgb="FF000000"/>
            <rFont val="Arial"/>
          </rPr>
          <t>weighted average of Nr needs for all farms that use synthetic fertilizer.
(Farms 1-13, 15, 19, 22-23, 27, 29-30)</t>
        </r>
      </text>
    </comment>
    <comment ref="Y129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92"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92"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92" authorId="0" shapeId="0">
      <text>
        <r>
          <rPr>
            <sz val="10"/>
            <color rgb="FF000000"/>
            <rFont val="Arial"/>
          </rPr>
          <t>* 1000gN/1kgN
* 0.1kg cacao/ (100g cacao)</t>
        </r>
      </text>
    </comment>
    <comment ref="Q1292" authorId="0" shapeId="0">
      <text>
        <r>
          <rPr>
            <sz val="10"/>
            <color rgb="FF000000"/>
            <rFont val="Arial"/>
          </rPr>
          <t>weighted average of Nr needs for all farms that use synthetic fertilizer.
(Farms 1-13, 15, 19, 22-23, 27, 29-30)</t>
        </r>
      </text>
    </comment>
    <comment ref="Y1292"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B1293" authorId="0" shapeId="0">
      <text>
        <r>
          <rPr>
            <sz val="10"/>
            <color rgb="FF000000"/>
            <rFont val="Arial"/>
          </rPr>
          <t>Average of 2 articles conversion measures:
Neira, D. P. (2016). Energy sustainability of Ecuadorian cacao export and its contribution to climate change. A case study through product life cycle assessment. Journal of Cleaner Production, 112, 2560-2568.
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C1293" authorId="0" shapeId="0">
      <text>
        <r>
          <rPr>
            <sz val="10"/>
            <color rgb="FF000000"/>
            <rFont val="Arial"/>
          </rPr>
          <t>Average of 2 articles conversion measures:
Neira, D. P. (2016). Energy sustainability of Ecuadorian cacao export and its contribution to climate change. A case study through product life cycle assessment. Journal of Cleaner Production, 112, 2560-2568.
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J129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O129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P1293" authorId="0" shapeId="0">
      <text>
        <r>
          <rPr>
            <sz val="10"/>
            <color rgb="FF000000"/>
            <rFont val="Arial"/>
          </rPr>
          <t>* 1000gN/1kgN
* 0.1kg cacao/ (100g cacao)</t>
        </r>
      </text>
    </comment>
    <comment ref="Y129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D1294" authorId="0" shapeId="0">
      <text>
        <r>
          <rPr>
            <sz val="10"/>
            <color rgb="FF000000"/>
            <rFont val="Arial"/>
          </rPr>
          <t>Average of 3 articles
1) Neira, D. P. (2016). Energy sustainability of Ecuadorian cacao export and its contribution to climate change. A case study through product life cycle assessment. Journal of Cleaner Production, 112, 2560-2568.
2) Ortiz-R, O. O., Villamizar Gallardo, R. A., &amp; Rangel, J. M. (2014). Applying life cycle management of colombian cocoa production. Food Science and Technology, 34(1), 62-68.
3) 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E1294" authorId="0" shapeId="0">
      <text>
        <r>
          <rPr>
            <sz val="10"/>
            <color rgb="FF000000"/>
            <rFont val="Arial"/>
          </rPr>
          <t>Average of 3 articles
1) Neira, D. P. (2016). Energy sustainability of Ecuadorian cacao export and its contribution to climate change. A case study through product life cycle assessment. Journal of Cleaner Production, 112, 2560-2568.
2) Ortiz-R, O. O., Villamizar Gallardo, R. A., &amp; Rangel, J. M. (2014). Applying life cycle management of colombian cocoa production. Food Science and Technology, 34(1), 62-68.
3) 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G1294" authorId="0" shapeId="0">
      <text>
        <r>
          <rPr>
            <sz val="10"/>
            <color rgb="FF000000"/>
            <rFont val="Arial"/>
          </rPr>
          <t>Average of 3 articles
1) Neira, D. P. (2016). Energy sustainability of Ecuadorian cacao export and its contribution to climate change. A case study through product life cycle assessment. Journal of Cleaner Production, 112, 2560-2568.
2) Ortiz-R, O. O., Villamizar Gallardo, R. A., &amp; Rangel, J. M. (2014). Applying life cycle management of colombian cocoa production. Food Science and Technology, 34(1), 62-68.
3) Ntiamoah, A., &amp; Afrane, G. (2008). Environmental impacts of cocoa production and processing in Ghana: life cycle assessment approach. Journal of Cleaner Production, 16(16), 1735-1740.  Available at https://www.worldcocoafoundation.org/wp-content/uploads/files_mf/ntiamoah2008.pdf
4) CleanMetrics. (2020). Food Carbon Emissions Calculator. http://www.foodemissions.com/Calculator.</t>
        </r>
      </text>
    </comment>
    <comment ref="F1295" authorId="0" shapeId="0">
      <text>
        <r>
          <rPr>
            <sz val="10"/>
            <color rgb="FF000000"/>
            <rFont val="Arial"/>
          </rPr>
          <t>Mekonnen, M. M., &amp; Hoekstra, A. Y. (2011). The green, blue and grey water footprint of crops and derived crop products. Hydrology and Earth System Sciences, 15(5), 1577-1600.</t>
        </r>
      </text>
    </comment>
    <comment ref="J1295" authorId="0" shapeId="0">
      <text>
        <r>
          <rPr>
            <sz val="10"/>
            <color rgb="FF000000"/>
            <rFont val="Arial"/>
          </rPr>
          <t>N-P-K 15-15-15
Orlando_2014_Applying life cycle management of colombian cocoa production.pdf
Table 1</t>
        </r>
      </text>
    </comment>
    <comment ref="O1295" authorId="0" shapeId="0">
      <text>
        <r>
          <rPr>
            <sz val="10"/>
            <color rgb="FF000000"/>
            <rFont val="Arial"/>
          </rPr>
          <t>N-P-K 15-15-15
Orlando_2014_Applying life cycle management of colombian cocoa production.pdf
Table 1</t>
        </r>
      </text>
    </comment>
    <comment ref="P1295" authorId="0" shapeId="0">
      <text>
        <r>
          <rPr>
            <sz val="10"/>
            <color rgb="FF000000"/>
            <rFont val="Arial"/>
          </rPr>
          <t>* 1000gN/1kgN
* 0.1kg cacao/ (100g cacao)</t>
        </r>
      </text>
    </comment>
    <comment ref="Y1295" authorId="0" shapeId="0">
      <text>
        <r>
          <rPr>
            <sz val="10"/>
            <color rgb="FF000000"/>
            <rFont val="Arial"/>
          </rPr>
          <t>N-P-K 15-15-15
Orlando_2014_Applying life cycle management of colombian cocoa production.pdf
Table 1</t>
        </r>
      </text>
    </comment>
    <comment ref="F1296" authorId="0" shapeId="0">
      <text>
        <r>
          <rPr>
            <sz val="10"/>
            <color rgb="FF000000"/>
            <rFont val="Arial"/>
          </rPr>
          <t>Mekonnen, M. M., &amp; Hoekstra, A. Y. (2011). The green, blue and grey water footprint of crops and derived crop products. Hydrology and Earth System Sciences, 15(5), 1577-1600.</t>
        </r>
      </text>
    </comment>
    <comment ref="J1296"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96"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96" authorId="0" shapeId="0">
      <text>
        <r>
          <rPr>
            <sz val="10"/>
            <color rgb="FF000000"/>
            <rFont val="Arial"/>
          </rPr>
          <t>* 1000gN/1kgN
* 0.1kg cacao/ (100g cacao)</t>
        </r>
      </text>
    </comment>
    <comment ref="Q1296" authorId="0" shapeId="0">
      <text>
        <r>
          <rPr>
            <sz val="10"/>
            <color rgb="FF000000"/>
            <rFont val="Arial"/>
          </rPr>
          <t>weighted average of Nr needs for all farms that use synthetic fertilizer.
(Farms 1-13, 15, 19, 22-23, 27, 29-30)</t>
        </r>
      </text>
    </comment>
    <comment ref="Y1296"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98"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98"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98" authorId="0" shapeId="0">
      <text>
        <r>
          <rPr>
            <sz val="10"/>
            <color rgb="FF000000"/>
            <rFont val="Arial"/>
          </rPr>
          <t>* 1000gN/1kgN
* 0.1kg cacao/ (100g cacao)</t>
        </r>
      </text>
    </comment>
    <comment ref="Q1298" authorId="0" shapeId="0">
      <text>
        <r>
          <rPr>
            <sz val="10"/>
            <color rgb="FF000000"/>
            <rFont val="Arial"/>
          </rPr>
          <t>weighted average of Nr needs for all farms that use synthetic fertilizer.
(Farms 1-13, 15, 19, 22-23, 27, 29-30)</t>
        </r>
      </text>
    </comment>
    <comment ref="Y1298"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29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29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299" authorId="0" shapeId="0">
      <text>
        <r>
          <rPr>
            <sz val="10"/>
            <color rgb="FF000000"/>
            <rFont val="Arial"/>
          </rPr>
          <t>* 1000gN/1kgN
* 0.1kg cacao/ (100g cacao)</t>
        </r>
      </text>
    </comment>
    <comment ref="Q1299" authorId="0" shapeId="0">
      <text>
        <r>
          <rPr>
            <sz val="10"/>
            <color rgb="FF000000"/>
            <rFont val="Arial"/>
          </rPr>
          <t>weighted average of Nr needs for all farms that use synthetic fertilizer.
(Farms 1-13, 15, 19, 22-23, 27, 29-30)</t>
        </r>
      </text>
    </comment>
    <comment ref="Y1299"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J1300"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O1300"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P1300" authorId="0" shapeId="0">
      <text>
        <r>
          <rPr>
            <sz val="10"/>
            <color rgb="FF000000"/>
            <rFont val="Arial"/>
          </rPr>
          <t>* 1000gN/1kgN
* 0.1kg cacao/ (100g cacao)</t>
        </r>
      </text>
    </comment>
    <comment ref="Y1300"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J130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O130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P1301" authorId="0" shapeId="0">
      <text>
        <r>
          <rPr>
            <sz val="10"/>
            <color rgb="FF000000"/>
            <rFont val="Arial"/>
          </rPr>
          <t>* 1000gN/1kgN
* 0.1kg cacao/ (100g cacao)</t>
        </r>
      </text>
    </comment>
    <comment ref="Q1301" authorId="0" shapeId="0">
      <text>
        <r>
          <rPr>
            <sz val="10"/>
            <color rgb="FF000000"/>
            <rFont val="Arial"/>
          </rPr>
          <t>weighted average of Nr needs for all farms that use synthetic fertilizer.
(Farms 1-13, 15, 19, 22-23, 27, 29-30)</t>
        </r>
      </text>
    </comment>
    <comment ref="Y1301" authorId="0" shapeId="0">
      <text>
        <r>
          <rPr>
            <sz val="10"/>
            <color rgb="FF000000"/>
            <rFont val="Arial"/>
          </rPr>
          <t>"Organic" 
*Gidon: "Assuming the synthetic fertilizer application rate reflects the mean needs, one can reasonably assume that the organic guys apply as much manure as is needed to deliver the same N amounts as the chemical counterparts. "
Orlando_2014_Applying life cycle management of colombian cocoa production.pdf
Table 1</t>
        </r>
      </text>
    </comment>
    <comment ref="B1302" authorId="0" shapeId="0">
      <text>
        <r>
          <rPr>
            <sz val="10"/>
            <color rgb="FF000000"/>
            <rFont val="Arial"/>
          </rPr>
          <t xml:space="preserve">Primary products (56%):
Liquor (60%), Butter (40%)
Neira
</t>
        </r>
      </text>
    </comment>
    <comment ref="J1302" authorId="0" shapeId="0">
      <text>
        <r>
          <rPr>
            <sz val="10"/>
            <color rgb="FF000000"/>
            <rFont val="Arial"/>
          </rPr>
          <t>N-P-K 15-15-15
Orlando_2014_Applying life cycle management of colombian cocoa production.pdf
Table 1</t>
        </r>
      </text>
    </comment>
    <comment ref="O1302" authorId="0" shapeId="0">
      <text>
        <r>
          <rPr>
            <sz val="10"/>
            <color rgb="FF000000"/>
            <rFont val="Arial"/>
          </rPr>
          <t>N-P-K 15-15-15
Orlando_2014_Applying life cycle management of colombian cocoa production.pdf
Table 1</t>
        </r>
      </text>
    </comment>
    <comment ref="P1302" authorId="0" shapeId="0">
      <text>
        <r>
          <rPr>
            <sz val="10"/>
            <color rgb="FF000000"/>
            <rFont val="Arial"/>
          </rPr>
          <t>* 1000gN/1kgN
* 0.1kg cacao/ (100g cacao)</t>
        </r>
      </text>
    </comment>
    <comment ref="Y1302" authorId="0" shapeId="0">
      <text>
        <r>
          <rPr>
            <sz val="10"/>
            <color rgb="FF000000"/>
            <rFont val="Arial"/>
          </rPr>
          <t>N-P-K 15-15-15
Orlando_2014_Applying life cycle management of colombian cocoa production.pdf
Table 1</t>
        </r>
      </text>
    </comment>
    <comment ref="B1303" authorId="0" shapeId="0">
      <text>
        <r>
          <rPr>
            <sz val="10"/>
            <color rgb="FF000000"/>
            <rFont val="Arial"/>
          </rPr>
          <t>Cacao by-products (34%):
Cocoa press cake (61%), Cocoa powder (17%), Cacao shells (22%)</t>
        </r>
      </text>
    </comment>
    <comment ref="J130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O130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P1303" authorId="0" shapeId="0">
      <text>
        <r>
          <rPr>
            <sz val="10"/>
            <color rgb="FF000000"/>
            <rFont val="Arial"/>
          </rPr>
          <t>* 1000gN/1kgN
* 0.1kg cacao/ (100g cacao)</t>
        </r>
      </text>
    </comment>
    <comment ref="Y1303" authorId="0" shapeId="0">
      <text>
        <r>
          <rPr>
            <sz val="10"/>
            <color rgb="FF000000"/>
            <rFont val="Arial"/>
          </rPr>
          <t>"Urea. DAP abd KCl = 1.00E+02" 
*Janiszewski assumes 33:33:33 ratio because no additional information exists
Urea = 28/60
(Gidon: "urea is CH4N2O = 12+4+28+16 = 60 so N:urea = 28/60 = 47% N" &lt;https://pubchem.ncbi.nlm.nih.gov/#query=CH4N2O&gt;)
DAP = 21/132 
(Gidon: "DAP has 2 Ns per 132 so 28/132 = 21%")
KCl = Potassium Chloride = 0 Nitrogen
Orlando_2014_Applying life cycle management of colombian cocoa production.pdf
Table 1</t>
        </r>
      </text>
    </comment>
    <comment ref="H1304" authorId="0" shapeId="0">
      <text>
        <r>
          <rPr>
            <sz val="10"/>
            <color rgb="FF000000"/>
            <rFont val="Arial"/>
          </rPr>
          <t>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J1304" authorId="0" shapeId="0">
      <text>
        <r>
          <rPr>
            <sz val="10"/>
            <color rgb="FF000000"/>
            <rFont val="Arial"/>
          </rPr>
          <t>3.9218E-05ha/kg --&gt; m2/100g
0.1kg/100g
m2/0.0001ha</t>
        </r>
      </text>
    </comment>
    <comment ref="M1304" authorId="0" shapeId="0">
      <text>
        <r>
          <rPr>
            <sz val="10"/>
            <color rgb="FF000000"/>
            <rFont val="Arial"/>
          </rPr>
          <t>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N1304" authorId="0" shapeId="0">
      <text>
        <r>
          <rPr>
            <sz val="10"/>
            <color rgb="FF000000"/>
            <rFont val="Arial"/>
          </rPr>
          <t>kgPO4eq</t>
        </r>
      </text>
    </comment>
    <comment ref="O1304" authorId="0" shapeId="0">
      <text>
        <r>
          <rPr>
            <sz val="10"/>
            <color rgb="FF000000"/>
            <rFont val="Arial"/>
          </rPr>
          <t>1kg PO4 = 2.52 kg ammonia-N
Using https://ec.europa.eu/environment/waste/pdf/study/annex5.pdf (Tab. 2) we see that 1 kg NH3 = 0.35 kg eq PO4, so 1/0.35 kg NH3 = 1 kg eq PO4, so
2.86 kg ammonia yields 1 kg of PO4-eq. Since ammonia is 17 g/mol, of which N is 15 or 88.2% by mass 
0.882 kg ammonia-N = 1 kg PO4-eq
Because we express the costs of all other items in N, use the above conversion to get from their PO4-eq value to translate to N (or, more accurately, ammonia-equivalent).</t>
        </r>
      </text>
    </comment>
    <comment ref="T1304" authorId="0" shapeId="0">
      <text>
        <r>
          <rPr>
            <sz val="10"/>
            <color rgb="FF000000"/>
            <rFont val="Arial"/>
          </rPr>
          <t>Gidon Correspondence: "That is much better, yes. The zero value was a place holder, definitely not the final answer. Your mean is far better. Indeed."</t>
        </r>
      </text>
    </comment>
    <comment ref="V1304" authorId="0" shapeId="0">
      <text>
        <r>
          <rPr>
            <sz val="10"/>
            <color rgb="FF000000"/>
            <rFont val="Arial"/>
          </rPr>
          <t>Ntiamoah, A., &amp; Afrane, G. (2008). Environmental impacts of cocoa production and processing in Ghana: life cycle assessment approach. Journal of Cleaner Production, 16(16), 1735-1740.  Available at https://www.worldcocoafoundation.org/wp-content/uploads/files_mf/ntiamoah2008.pdf</t>
        </r>
      </text>
    </comment>
    <comment ref="Y1304" authorId="0" shapeId="0">
      <text>
        <r>
          <rPr>
            <sz val="10"/>
            <color rgb="FF000000"/>
            <rFont val="Arial"/>
          </rPr>
          <t>3.9218E-05ha/kg --&gt; m2/100g
0.1kg/100g
m2/0.0001ha</t>
        </r>
      </text>
    </comment>
    <comment ref="V1305" authorId="0" shapeId="0">
      <text>
        <r>
          <rPr>
            <sz val="10"/>
            <color rgb="FF000000"/>
            <rFont val="Arial"/>
          </rPr>
          <t>http://www.foodemissions.com/foodemissions/Calculator.aspx</t>
        </r>
      </text>
    </comment>
    <comment ref="B1318" authorId="0" shapeId="0">
      <text>
        <r>
          <rPr>
            <sz val="10"/>
            <color rgb="FF000000"/>
            <rFont val="Arial"/>
          </rPr>
          <t>Dept. of Export Agriculture, Sri Lanka. (2021). "Cinnamon." Available at  http://www.dea.gov.lk/cinnamon/</t>
        </r>
      </text>
    </comment>
    <comment ref="C1318" authorId="0" shapeId="0">
      <text>
        <r>
          <rPr>
            <sz val="10"/>
            <color rgb="FF000000"/>
            <rFont val="Arial"/>
          </rPr>
          <t>Dept. of Export Agriculture, Sri Lanka. (2021). "Cinnamon." Available at  http://www.dea.gov.lk/cinnamon/</t>
        </r>
      </text>
    </comment>
    <comment ref="E1318" authorId="0" shapeId="0">
      <text>
        <r>
          <rPr>
            <sz val="10"/>
            <color rgb="FF000000"/>
            <rFont val="Arial"/>
          </rPr>
          <t>1ton/10000(100g)</t>
        </r>
      </text>
    </comment>
    <comment ref="B1320" authorId="0" shapeId="0">
      <text>
        <r>
          <rPr>
            <sz val="10"/>
            <color rgb="FF000000"/>
            <rFont val="Arial"/>
          </rPr>
          <t>Audsley, E., Brander, M., Chatterton, J., Murphy-Bokern, D., Webster, C., and Williams, A. (2009). How low can we go? An assessment of greenhouse gas emissions from the UK food system and the scope to reduce them by 2050. FCRN-WWF-UK. Available at http://assets.wwf.org.uk/downloads/how_low_report_1.pdf</t>
        </r>
      </text>
    </comment>
    <comment ref="C1320" authorId="0" shapeId="0">
      <text>
        <r>
          <rPr>
            <sz val="10"/>
            <color rgb="FF000000"/>
            <rFont val="Arial"/>
          </rPr>
          <t>10000m2/ha
1ton/10000(100g)</t>
        </r>
      </text>
    </comment>
    <comment ref="D1320" authorId="0" shapeId="0">
      <text>
        <r>
          <rPr>
            <sz val="10"/>
            <color rgb="FF000000"/>
            <rFont val="Arial"/>
          </rPr>
          <t>Audsley, E., Brander, M., Chatterton, J., Murphy-Bokern, D., Webster, C., and Williams, A. (2009). How low can we go? An assessment of greenhouse gas emissions from the UK food system and the scope to reduce them by 2050. FCRN-WWF-UK. Available at http://assets.wwf.org.uk/downloads/how_low_report_1.pdf</t>
        </r>
      </text>
    </comment>
    <comment ref="E1320" authorId="0" shapeId="0">
      <text>
        <r>
          <rPr>
            <sz val="10"/>
            <color rgb="FF000000"/>
            <rFont val="Arial"/>
          </rPr>
          <t>1000kg/ton
1ton/10000(100g)</t>
        </r>
      </text>
    </comment>
    <comment ref="G1320" authorId="0" shapeId="0">
      <text>
        <r>
          <rPr>
            <sz val="10"/>
            <color rgb="FF000000"/>
            <rFont val="Arial"/>
          </rPr>
          <t>Dept. of Export Agriculture, Sri Lanka. (2021). "Cinnamon." Available at  http://www.dea.gov.lk/cinnamon/</t>
        </r>
      </text>
    </comment>
    <comment ref="H1320" authorId="0" shapeId="0">
      <text>
        <r>
          <rPr>
            <sz val="10"/>
            <color rgb="FF000000"/>
            <rFont val="Arial"/>
          </rPr>
          <t>Mekonnen, M. M., &amp; Hoekstra, A. Y. (2011). "Cinnamon (canella)." The green, blue and grey water footprint of crops and derived crop products.</t>
        </r>
      </text>
    </comment>
    <comment ref="I1320" authorId="0" shapeId="0">
      <text>
        <r>
          <rPr>
            <sz val="10"/>
            <color rgb="FF000000"/>
            <rFont val="Arial"/>
          </rPr>
          <t>Mekonnen, M. M., &amp; Hoekstra, A. Y. (2011). "Cinnamon (canella)." The green, blue and grey water footprint of crops and derived crop products.</t>
        </r>
      </text>
    </comment>
    <comment ref="A1328" authorId="0" shapeId="0">
      <text>
        <r>
          <rPr>
            <sz val="10"/>
            <color rgb="FF000000"/>
            <rFont val="Arial"/>
          </rPr>
          <t>https://www.agronomy.it/index.php/agro/article/view/ija.2014.565/621#content/figure_reference_3</t>
        </r>
      </text>
    </comment>
    <comment ref="B1329" authorId="0" shapeId="0">
      <text>
        <r>
          <rPr>
            <sz val="10"/>
            <color rgb="FF000000"/>
            <rFont val="Arial"/>
          </rPr>
          <t>https://www.agronomy.it/index.php/agro/article/view/ija.2014.565/621#content/figure_reference_3</t>
        </r>
      </text>
    </comment>
    <comment ref="C1329" authorId="0" shapeId="0">
      <text>
        <r>
          <rPr>
            <sz val="10"/>
            <color rgb="FF000000"/>
            <rFont val="Arial"/>
          </rPr>
          <t>https://www.agronomy.it/index.php/agro/article/view/ija.2014.565/621#content/figure_reference_3</t>
        </r>
      </text>
    </comment>
    <comment ref="D1329" authorId="0" shapeId="0">
      <text>
        <r>
          <rPr>
            <sz val="10"/>
            <color rgb="FF000000"/>
            <rFont val="Arial"/>
          </rPr>
          <t>https://www.agronomy.it/index.php/agro/article/view/ija.2014.565/621#content/figure_reference_3</t>
        </r>
      </text>
    </comment>
    <comment ref="F1329" authorId="0" shapeId="0">
      <text>
        <r>
          <rPr>
            <sz val="10"/>
            <color rgb="FF000000"/>
            <rFont val="Arial"/>
          </rPr>
          <t>10000m2/ha
1ton/10000(100g)</t>
        </r>
      </text>
    </comment>
    <comment ref="G1329" authorId="0" shapeId="0">
      <text>
        <r>
          <rPr>
            <sz val="10"/>
            <color rgb="FF000000"/>
            <rFont val="Arial"/>
          </rPr>
          <t>https://www.agronomy.it/index.php/agro/article/view/ija.2014.565/621#content/figure_reference_3
260kgNPK/ha
11%N of NPK mixture</t>
        </r>
      </text>
    </comment>
    <comment ref="H1329" authorId="0" shapeId="0">
      <text>
        <r>
          <rPr>
            <sz val="10"/>
            <color rgb="FF000000"/>
            <rFont val="Arial"/>
          </rPr>
          <t xml:space="preserve">1000g/kg
t/10000(100g)
</t>
        </r>
      </text>
    </comment>
    <comment ref="I1329" authorId="0" shapeId="0">
      <text>
        <r>
          <rPr>
            <sz val="10"/>
            <color rgb="FF000000"/>
            <rFont val="Arial"/>
          </rPr>
          <t>https://www.agronomy.it/index.php/agro/article/view/ija.2014.565/621#content/figure_reference_3</t>
        </r>
      </text>
    </comment>
    <comment ref="J1329" authorId="0" shapeId="0">
      <text>
        <r>
          <rPr>
            <sz val="10"/>
            <color rgb="FF000000"/>
            <rFont val="Arial"/>
          </rPr>
          <t>https://www.agronomy.it/index.php/agro/article/view/ija.2014.565/621#content/figure_reference_3</t>
        </r>
      </text>
    </comment>
    <comment ref="K1329" authorId="0" shapeId="0">
      <text>
        <r>
          <rPr>
            <sz val="10"/>
            <color rgb="FF000000"/>
            <rFont val="Arial"/>
          </rPr>
          <t>https://www.agronomy.it/index.php/agro/article/view/ija.2014.565/621#figures</t>
        </r>
      </text>
    </comment>
    <comment ref="L1329" authorId="0" shapeId="0">
      <text>
        <r>
          <rPr>
            <sz val="10"/>
            <color rgb="FF000000"/>
            <rFont val="Arial"/>
          </rPr>
          <t>1t/10000(100g)</t>
        </r>
      </text>
    </comment>
    <comment ref="G1336" authorId="0" shapeId="0">
      <text>
        <r>
          <rPr>
            <sz val="10"/>
            <color rgb="FF000000"/>
            <rFont val="Arial"/>
          </rPr>
          <t>Mekonnen-Hoekstra, The green, blue and grey water footprint of crops; 2011; pg 1585; "Maize (corn)"</t>
        </r>
      </text>
    </comment>
    <comment ref="B1337" authorId="0" shapeId="0">
      <text>
        <r>
          <rPr>
            <sz val="10"/>
            <color rgb="FF000000"/>
            <rFont val="Arial"/>
          </rPr>
          <t>9*453.592g corn / 8 gal mash • 8 gal mash/0.89 gal 100proof*1gal 100 proof/3558.4g distilled bev
-----------------------------------------------
9lb corn = 4082.32g corn
4082.328g corn =&gt; 8 gal mash
Clawhammer Supply, (2018). "How to Make Moonshine." Available at https://www.clawhammersupply.com/blogs/moonshine-still-blog/how-to-make-moonshine. 
8 gal mash =&gt; 0.89 gal 100 proof alcohol solution
Clawhammer Supply, (2013). "Alcohol Yields." Available at https://www.clawhammersupply.com/blogs/moonshine-still-blog/7208742-alcohol-yields. 
1 gal 100 proof alcohol solution = 3558.4g 100 proof distilled beverage 
"Alcoholic beverage, distilled, all (gin, rum, vodka, whiskey) 100 proof." Calculate weight of generic and branded foods per volume. Available at https://www.aqua-calc.com/calculate/food-volume-to-weight.</t>
        </r>
      </text>
    </comment>
    <comment ref="C1337" authorId="0" shapeId="0">
      <text>
        <r>
          <rPr>
            <sz val="10"/>
            <color rgb="FF000000"/>
            <rFont val="Arial"/>
          </rPr>
          <t>100 proof = 50% alcohol 
scaled to
5% white distilled vinegar
"White Distilled Vinegar is the most common type of vinegar in American households and is made from grain-based ethanol which is converted to acetic acid and diluted to preferred acidity with water. This type of vinegar is commonly found at supermarkets and hardware stores with 5% acidity (grain strength) in gallon (128 oz) and half gallon sizes (64 oz)."
Mizkan America, Inc. (2021). "How It's Made," VinegarTips.com. Available at https://vinegartips.com/vinegar-101/how-its-made</t>
        </r>
      </text>
    </comment>
  </commentList>
</comments>
</file>

<file path=xl/comments3.xml><?xml version="1.0" encoding="utf-8"?>
<comments xmlns="http://schemas.openxmlformats.org/spreadsheetml/2006/main">
  <authors>
    <author/>
  </authors>
  <commentList>
    <comment ref="C4" authorId="0" shapeId="0">
      <text>
        <r>
          <rPr>
            <sz val="10"/>
            <color rgb="FF000000"/>
            <rFont val="Arial"/>
          </rPr>
          <t>Eshel, Gidon.  "MAD". Gidon_EnvironCalcPaper3_151104AS_poultryconcise (2).xlsx</t>
        </r>
      </text>
    </comment>
    <comment ref="D4" authorId="0" shapeId="0">
      <text>
        <r>
          <rPr>
            <sz val="10"/>
            <color rgb="FF000000"/>
            <rFont val="Arial"/>
          </rPr>
          <t>Eshel, Gidon.  "MAD". Gidon_EnvironCalcPaper3_151104AS_poultryconcise (2).xlsx</t>
        </r>
      </text>
    </comment>
    <comment ref="E4" authorId="0" shapeId="0">
      <text>
        <r>
          <rPr>
            <sz val="10"/>
            <color rgb="FF000000"/>
            <rFont val="Arial"/>
          </rPr>
          <t>Mekonnen, M. M., &amp; Hoekstra, A. Y. (2011). "Pineapples." The green, blue and grey water footprint of crops and derived crop products.</t>
        </r>
      </text>
    </comment>
    <comment ref="F4" authorId="0" shapeId="0">
      <text>
        <r>
          <rPr>
            <sz val="10"/>
            <color rgb="FF000000"/>
            <rFont val="Arial"/>
          </rPr>
          <t>0.00220462lb = 1g
CleanMetrics. (2020). Food Carbon Emissions Calculator. http://www.foodemissions.com/Calculator.</t>
        </r>
      </text>
    </comment>
    <comment ref="B5" authorId="0" shapeId="0">
      <text>
        <r>
          <rPr>
            <sz val="10"/>
            <color rgb="FF000000"/>
            <rFont val="Arial"/>
          </rPr>
          <t>"The fruit juice yield is not less than 65%"
Tianjin Anson International Co., Ltd. "Pineapple Juice Processing Complete Sets Of Production Lines." http://www.ticomachine.com/faq/pineapple-juice-processing.html</t>
        </r>
      </text>
    </comment>
    <comment ref="E5" authorId="0" shapeId="0">
      <text>
        <r>
          <rPr>
            <sz val="10"/>
            <color rgb="FF000000"/>
            <rFont val="Arial"/>
          </rPr>
          <t>Mekonnen, M. M., &amp; Hoekstra, A. Y. (2011). "Pineapple Juice." The green, blue and grey water footprint of crops and derived crop products.</t>
        </r>
      </text>
    </comment>
    <comment ref="C13" authorId="0" shapeId="0">
      <text>
        <r>
          <rPr>
            <sz val="10"/>
            <color rgb="FF000000"/>
            <rFont val="Arial"/>
          </rPr>
          <t>Eshel, Gidon.  "MAD". Gidon_EnvironCalcPaper3_151104AS_poultryconcise (2).xlsx</t>
        </r>
      </text>
    </comment>
    <comment ref="D13" authorId="0" shapeId="0">
      <text>
        <r>
          <rPr>
            <sz val="10"/>
            <color rgb="FF000000"/>
            <rFont val="Arial"/>
          </rPr>
          <t>Eshel, Gidon.  "MAD". Gidon_EnvironCalcPaper3_151104AS_poultryconcise (2).xlsx</t>
        </r>
      </text>
    </comment>
    <comment ref="E13" authorId="0" shapeId="0">
      <text>
        <r>
          <rPr>
            <sz val="10"/>
            <color rgb="FF000000"/>
            <rFont val="Arial"/>
          </rPr>
          <t>Mekonnen, M. M., &amp; Hoekstra, A. Y. (2011). The green, blue and grey water footprint of crops and derived crop products.</t>
        </r>
      </text>
    </comment>
    <comment ref="F13" authorId="0" shapeId="0">
      <text>
        <r>
          <rPr>
            <sz val="10"/>
            <color rgb="FF000000"/>
            <rFont val="Arial"/>
          </rPr>
          <t>CleanMetrics. (2020). Food Carbon Emissions Calculator. http://www.foodemissions.com/Calculator.</t>
        </r>
      </text>
    </comment>
    <comment ref="B14" authorId="0" shapeId="0">
      <text>
        <r>
          <rPr>
            <sz val="10"/>
            <color rgb="FF000000"/>
            <rFont val="Arial"/>
          </rPr>
          <t>"This process yields approximately 820 L of juice per MT of grapes"
FAO http://www.fao.org/3/y2515e/y2515e14.htm
1069.37g per L of Grape juice, canned or bottled, unsweetened
"Grape juice, canned or bottled, unsweetened, without added ascorbic acid." Calculate weight of generic and branded foods per volume. https://www.aqua-calc.com/calculate/food-volume-to-weight</t>
        </r>
      </text>
    </comment>
    <comment ref="F14" authorId="0" shapeId="0">
      <text>
        <r>
          <rPr>
            <sz val="10"/>
            <color rgb="FF000000"/>
            <rFont val="Arial"/>
          </rPr>
          <t>converted to 1g</t>
        </r>
      </text>
    </comment>
    <comment ref="C22"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D22"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E22"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F22" authorId="0" shapeId="0">
      <text>
        <r>
          <rPr>
            <sz val="10"/>
            <color rgb="FF000000"/>
            <rFont val="Arial"/>
          </rPr>
          <t>measured in kgN/t
Nr Fertilizers
                    2011.   2012.   2013.    2014
org               0           0           12.5      10
NH4NO3     89.3     50.5       28.5     13.2
KNO3          304.6   50.5       0           0
CaNO3.       0           8.0         3.4       0
Vasquez-Rowe_Carbon footprint of pomegranate (Punica granatum) cultivation in a hyper-arid region in coastal Peru.pdf</t>
        </r>
      </text>
    </comment>
    <comment ref="I23"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I26"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I27" authorId="0" shapeId="0">
      <text>
        <r>
          <rPr>
            <sz val="10"/>
            <color rgb="FF000000"/>
            <rFont val="Arial"/>
          </rPr>
          <t>Utilized only 2014, because "the study was carried out in for different years of cultivation (2011–2014), corresponding to the first 4 years of occupation of a 51-ha area" and a significantly higher volume of fertilizers are used in the 1st few years of tree planting, in comparison to the lifespan of tree production</t>
        </r>
      </text>
    </comment>
    <comment ref="B29" authorId="0" shapeId="0">
      <text>
        <r>
          <rPr>
            <sz val="10"/>
            <color rgb="FF000000"/>
            <rFont val="Arial"/>
          </rPr>
          <t>Pomegranate yield (ton/ha)
2011.   2012.   2013.    2014
1.61     4.34      13.56    21.84
Vázquez-Rowe, I., Kahhat, R., Santillán-Saldívar, J., Quispe, I., &amp; Bentín, M. (2017). Carbon footprint of pomegranate (Punica granatum) cultivation in a hyper-arid region in coastal Peru. The International Journal of Life Cycle Assessment, 22(4), 601-617.</t>
        </r>
      </text>
    </comment>
    <comment ref="E29" authorId="0" shapeId="0">
      <text>
        <r>
          <rPr>
            <sz val="10"/>
            <color rgb="FF000000"/>
            <rFont val="Arial"/>
          </rPr>
          <t>Water use (m3/ha)
2011.   2012.   2013.    2014
2456.   3967     5958     6359
Vázquez-Rowe, I., Kahhat, R., Santillán-Saldívar, J., Quispe, I., &amp; Bentín, M. (2017). Carbon footprint of pomegranate (Punica granatum) cultivation in a hyper-arid region in coastal Peru. The International Journal of Life Cycle Assessment, 22(4), 601-617.</t>
        </r>
      </text>
    </comment>
    <comment ref="H29" authorId="0" shapeId="0">
      <text>
        <r>
          <rPr>
            <sz val="10"/>
            <color rgb="FF000000"/>
            <rFont val="Arial"/>
          </rPr>
          <t>GHG/FU (kgCO2eq/3.9kg box)
2011.   2012.   2013.    2014
18.2     6.95      2.95      1.84
Vázquez-Rowe, I., Kahhat, R., Santillán-Saldívar, J., Quispe, I., &amp; Bentín, M. (2017). Carbon footprint of pomegranate (Punica granatum) cultivation in a hyper-arid region in coastal Peru. The International Journal of Life Cycle Assessment, 22(4), 601-617.</t>
        </r>
      </text>
    </comment>
    <comment ref="J30" authorId="0" shapeId="0">
      <text>
        <r>
          <rPr>
            <sz val="10"/>
            <color rgb="FF000000"/>
            <rFont val="Arial"/>
          </rPr>
          <t>Prioritized CleanMetrics to keep database consistent
0.00220462lb = 1g
CleanMetrics. (2020). "Pomegranates." Food Carbon Emissions Calculator. http://www.foodemissions.com/Calculator.</t>
        </r>
      </text>
    </comment>
    <comment ref="C32"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D32"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E32" authorId="0" shapeId="0">
      <text>
        <r>
          <rPr>
            <sz val="10"/>
            <color rgb="FF000000"/>
            <rFont val="Arial"/>
          </rPr>
          <t>Vázquez-Rowe, I., Kahhat, R., Santillán-Saldívar, J., Quispe, I., &amp; Bentín, M. (2017). Carbon footprint of pomegranate (Punica granatum) cultivation in a hyper-arid region in coastal Peru. The International Journal of Life Cycle Assessment, 22(4), 601-617.</t>
        </r>
      </text>
    </comment>
    <comment ref="F32" authorId="0" shapeId="0">
      <text>
        <r>
          <rPr>
            <sz val="10"/>
            <color rgb="FF000000"/>
            <rFont val="Arial"/>
          </rPr>
          <t>CleanMetrics. (2020). "Pomegranates." Food Carbon Emissions Calculator. http://www.foodemissions.com/Calculator.</t>
        </r>
      </text>
    </comment>
    <comment ref="B33" authorId="0" shapeId="0">
      <text>
        <r>
          <rPr>
            <sz val="10"/>
            <color rgb="FF000000"/>
            <rFont val="Arial"/>
          </rPr>
          <t>Catania, P., Comparetti, A., De Pasquale, C., Morello, G., &amp; Vallone, M. (2020). Effects of the Extraction Technology on Pomegranate Juice Quality. Agronomy, 10(10), 1483.</t>
        </r>
      </text>
    </comment>
    <comment ref="B40" authorId="0" shapeId="0">
      <text>
        <r>
          <rPr>
            <sz val="10"/>
            <color rgb="FF000000"/>
            <rFont val="Arial"/>
          </rPr>
          <t>=13700 acres per 1490000 barrels
"Earnings from the 2007 harvest were valued at ca. 64.6 million dollars for 1.49 million barrels
(one barrel =100 pounds of fruit)
produced from 13,700 acres."
Sandler, H., &amp; DeMoranville, C. (2008). Cranberry production: a guide for Massachusetts-summary edition.</t>
        </r>
      </text>
    </comment>
    <comment ref="C40" authorId="0" shapeId="0">
      <text>
        <r>
          <rPr>
            <sz val="10"/>
            <color rgb="FF000000"/>
            <rFont val="Arial"/>
          </rPr>
          <t>4046.86 m2 = 1 acre
1 barrel = 100 lb
0.2204621 lb = 100g</t>
        </r>
      </text>
    </comment>
    <comment ref="D40" authorId="0" shapeId="0">
      <text>
        <r>
          <rPr>
            <sz val="10"/>
            <color rgb="FF000000"/>
            <rFont val="Arial"/>
          </rPr>
          <t>calculated from: 
"Earnings from the 2007 harvest were valued at ca. 64.6 million dollars for 1.49 million barrels
(one barrel =100 pounds of fruit)
produced from 13,700 acres."
Sandler, H., &amp; DeMoranville, C. (2008). Cranberry production: a guide for Massachusetts-summary edition.</t>
        </r>
      </text>
    </comment>
    <comment ref="E40" authorId="0" shapeId="0">
      <text>
        <r>
          <rPr>
            <sz val="10"/>
            <color rgb="FF000000"/>
            <rFont val="Arial"/>
          </rPr>
          <t>Take the median of "During the season, 20-60 lbs N per acre are applied depending on cultivar and weather conditions" 
= 40lbN/acre 
Sandler, H., &amp; DeMoranville, C. (2008). Cranberry production: a guide for Massachusetts-summary edition.</t>
        </r>
      </text>
    </comment>
    <comment ref="F40" authorId="0" shapeId="0">
      <text>
        <r>
          <rPr>
            <sz val="10"/>
            <color rgb="FF000000"/>
            <rFont val="Arial"/>
          </rPr>
          <t>1 g N = 0.002204621 lb N
13700 acre = 1490000 barrels
1 barrel = 100lb
0.2204621 lb = 100g</t>
        </r>
      </text>
    </comment>
    <comment ref="G40" authorId="0" shapeId="0">
      <text>
        <r>
          <rPr>
            <sz val="10"/>
            <color rgb="FF000000"/>
            <rFont val="Arial"/>
          </rPr>
          <t>20-60lbN/acre are applied -  or perhaps the median, 40lbN/acre - and 13700acres yield 67585343505.91g cranberries, then 40lbN/acre* 1g/0.00220462lb * 13700acre/67585343505.91g = 0.003678gN/gCranberry
Sandler, H., &amp; DeMoranville, C. (2008). Cranberry production: a guide for Massachusetts-summary edition.</t>
        </r>
      </text>
    </comment>
    <comment ref="H40" authorId="0" shapeId="0">
      <text>
        <r>
          <rPr>
            <sz val="10"/>
            <color rgb="FF000000"/>
            <rFont val="Arial"/>
          </rPr>
          <t>Mekonnen, M. M., &amp; Hoekstra, A. Y. (2011). The green, blue and grey water footprint of crops and derived crop products.</t>
        </r>
      </text>
    </comment>
    <comment ref="I40" authorId="0" shapeId="0">
      <text>
        <r>
          <rPr>
            <sz val="10"/>
            <color rgb="FF000000"/>
            <rFont val="Arial"/>
          </rPr>
          <t>1 metric ton = 10000 (100g)</t>
        </r>
      </text>
    </comment>
    <comment ref="J40" authorId="0" shapeId="0">
      <text>
        <r>
          <rPr>
            <sz val="10"/>
            <color rgb="FF000000"/>
            <rFont val="Arial"/>
          </rPr>
          <t>Blue Water needs, "cranberries"
Mekonnen, M. M., &amp; Hoekstra, A. Y. (2011). The green, blue and grey water footprint of crops and derived crop products.</t>
        </r>
      </text>
    </comment>
    <comment ref="K40" authorId="0" shapeId="0">
      <text>
        <r>
          <rPr>
            <sz val="10"/>
            <color rgb="FF000000"/>
            <rFont val="Arial"/>
          </rPr>
          <t>kg CO2/kg "Cranberry"
Heller, M. C., Willits-Smith, A., Meyer, R., Keoleian, G. A., &amp; Rose, D. (2018). Greenhouse gas emissions and energy use associated with production of individual self-selected US diets. Environmental Research Letters, 13(4), 044004.</t>
        </r>
      </text>
    </comment>
    <comment ref="M40" authorId="0" shapeId="0">
      <text>
        <r>
          <rPr>
            <sz val="10"/>
            <color rgb="FF000000"/>
            <rFont val="Arial"/>
          </rPr>
          <t>"Cranberry"
Heller, M. C., Willits-Smith, A., Meyer, R., Keoleian, G. A., &amp; Rose, D. (2018). Greenhouse gas emissions and energy use associated with production of individual self-selected US diets. Environmental Research Letters, 13(4), 044004.</t>
        </r>
      </text>
    </comment>
    <comment ref="B42" authorId="0" shapeId="0">
      <text>
        <r>
          <rPr>
            <sz val="10"/>
            <color rgb="FF000000"/>
            <rFont val="Arial"/>
          </rPr>
          <t>1.66 barrels cranberries
Knudson, W.A. 2008. “The Economic Impact of Expanded Cranberry Production.” Michigan State University, Strategic Marketing Institute. Working Paper 01-1208. &lt;https://www.canr.msu.edu/productcenter/uploads/files/cranberries.pdf&gt;.</t>
        </r>
      </text>
    </comment>
    <comment ref="C42" authorId="0" shapeId="0">
      <text>
        <r>
          <rPr>
            <sz val="10"/>
            <color rgb="FF000000"/>
            <rFont val="Arial"/>
          </rPr>
          <t>1 barrel cranberries = 100 lb cranberry
0.00220462 lb = 1 gram
https://www.nass.usda.gov/Statistics_by_State/New_Jersey/Publications/Cranberry_Statistics/2014%20CRANSUM.pdf
barrel contains 100 lb of cranberries
https://www.wisagclassroom.org/wp-content/uploads/2011/09/Cranberry-Plans.pdf</t>
        </r>
      </text>
    </comment>
    <comment ref="F42" authorId="0" shapeId="0">
      <text>
        <r>
          <rPr>
            <sz val="10"/>
            <color rgb="FF000000"/>
            <rFont val="Arial"/>
          </rPr>
          <t>Sandler, H., &amp; DeMoranville, C. (2008). Cranberry production: a guide for Massachusetts-summary edition.</t>
        </r>
      </text>
    </comment>
    <comment ref="G42" authorId="0" shapeId="0">
      <text>
        <r>
          <rPr>
            <sz val="10"/>
            <color rgb="FF000000"/>
            <rFont val="Arial"/>
          </rPr>
          <t>Sandler, H., &amp; DeMoranville, C. (2008). Cranberry production: a guide for Massachusetts-summary edition.</t>
        </r>
      </text>
    </comment>
    <comment ref="H42" authorId="0" shapeId="0">
      <text>
        <r>
          <rPr>
            <sz val="10"/>
            <color rgb="FF000000"/>
            <rFont val="Arial"/>
          </rPr>
          <t>Mekonnen, M. M., &amp; Hoekstra, A. Y. (2011). The green, blue and grey water footprint of crops and derived crop products.</t>
        </r>
      </text>
    </comment>
    <comment ref="I42" authorId="0" shapeId="0">
      <text>
        <r>
          <rPr>
            <sz val="10"/>
            <color rgb="FF000000"/>
            <rFont val="Arial"/>
          </rPr>
          <t>Heller, M. C., Willits-Smith, A., Meyer, R., Keoleian, G. A., &amp; Rose, D. (2018). Greenhouse gas emissions and energy use associated with production of individual self-selected US diets. Environmental Research Letters, 13(4), 044004.</t>
        </r>
      </text>
    </comment>
    <comment ref="B43" authorId="0" shapeId="0">
      <text>
        <r>
          <rPr>
            <sz val="10"/>
            <color rgb="FF000000"/>
            <rFont val="Arial"/>
          </rPr>
          <t>1 gallon cranberry juice concentrate
Knudson, W.A. 2008. “The Economic Impact of Expanded Cranberry Production.” Michigan State University, Strategic Marketing Institute. Working Paper 01-1208. &lt;https://www.canr.msu.edu/productcenter/uploads/files/cranberries.pdf&gt;.</t>
        </r>
      </text>
    </comment>
    <comment ref="C43" authorId="0" shapeId="0">
      <text>
        <r>
          <rPr>
            <sz val="10"/>
            <color rgb="FF000000"/>
            <rFont val="Arial"/>
          </rPr>
          <t>1 gallon cranberry juice = 4048 g cranberry juice
"Cranberry juice, unsweetened." Calculate weight of generic and branded foods per volume. https://www.aqua-calc.com/calculate/food-volume-to-weight</t>
        </r>
      </text>
    </comment>
    <comment ref="B52" authorId="0" shapeId="0">
      <text>
        <r>
          <rPr>
            <sz val="10"/>
            <color rgb="FF000000"/>
            <rFont val="Arial"/>
          </rPr>
          <t>https://fdc.nal.usda.gov/fdc-app.html#/food-details/1103193/nutrients</t>
        </r>
      </text>
    </comment>
    <comment ref="C52" authorId="0" shapeId="0">
      <text>
        <r>
          <rPr>
            <sz val="10"/>
            <color rgb="FF000000"/>
            <rFont val="Arial"/>
          </rPr>
          <t>https://nutritiondata.self.com/facts/vegetables-and-vegetable-products/2383/2</t>
        </r>
      </text>
    </comment>
    <comment ref="G52" authorId="0" shapeId="0">
      <text>
        <r>
          <rPr>
            <sz val="10"/>
            <color rgb="FF000000"/>
            <rFont val="Arial"/>
          </rPr>
          <t>Eshel, Gidon.  "MAD". Gidon_EnvironCalcPaper3_151104AS_poultryconcise (2).xlsx</t>
        </r>
      </text>
    </comment>
    <comment ref="H52" authorId="0" shapeId="0">
      <text>
        <r>
          <rPr>
            <sz val="10"/>
            <color rgb="FF000000"/>
            <rFont val="Arial"/>
          </rPr>
          <t>Eshel, Gidon.  "MAD". Gidon_EnvironCalcPaper3_151104AS_poultryconcise (2).xlsx</t>
        </r>
      </text>
    </comment>
    <comment ref="I52" authorId="0" shapeId="0">
      <text>
        <r>
          <rPr>
            <sz val="10"/>
            <color rgb="FF000000"/>
            <rFont val="Arial"/>
          </rPr>
          <t>Mekonnen, M. M., &amp; Hoekstra, A. Y. (2011). "Carrots and turnips." The green, blue and grey water footprint of crops and derived crop products.</t>
        </r>
      </text>
    </comment>
    <comment ref="J52" authorId="0" shapeId="0">
      <text>
        <r>
          <rPr>
            <sz val="10"/>
            <color rgb="FF000000"/>
            <rFont val="Arial"/>
          </rPr>
          <t>CleanMetrics. (2020). Food Carbon Emissions Calculator. http://www.foodemissions.com/Calculator.</t>
        </r>
      </text>
    </comment>
    <comment ref="B53" authorId="0" shapeId="0">
      <text>
        <r>
          <rPr>
            <sz val="10"/>
            <color rgb="FF000000"/>
            <rFont val="Arial"/>
          </rPr>
          <t>https://fdc.nal.usda.gov/fdc-app.html#/food-details/1103216/nutrients</t>
        </r>
      </text>
    </comment>
    <comment ref="C53" authorId="0" shapeId="0">
      <text>
        <r>
          <rPr>
            <sz val="10"/>
            <color rgb="FF000000"/>
            <rFont val="Arial"/>
          </rPr>
          <t>https://fdc.nal.usda.gov/fdc-app.html#/food-details/1103216/nutrients</t>
        </r>
      </text>
    </comment>
    <comment ref="F53" authorId="0" shapeId="0">
      <text>
        <r>
          <rPr>
            <sz val="10"/>
            <color rgb="FF000000"/>
            <rFont val="Arial"/>
          </rPr>
          <t>0.66666g juice = 1 g carrot
Took average of traditional methods, best case of traditional methods, and new high-yield method to cover market share.
Di Giacomo, G., &amp; Taglieri, L. (2009). A new high-yield process for the industrial production of carrot juice. Food and Bioprocess Technology, 2(4), 441.</t>
        </r>
      </text>
    </comment>
    <comment ref="C6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D6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E6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F61" authorId="0" shapeId="0">
      <text>
        <r>
          <rPr>
            <sz val="10"/>
            <color rgb="FF000000"/>
            <rFont val="Arial"/>
          </rPr>
          <t>Corn syrup = 1.681681682*dry corn
Gray, F. (1991). Trends in US production and use of glucose syrup and dextrose, 1965-1990, and prospects for the future. Tech. rep., US Department of Agriculture, Economic Research Service.</t>
        </r>
      </text>
    </comment>
    <comment ref="B62" authorId="0" shapeId="0">
      <text>
        <r>
          <rPr>
            <sz val="10"/>
            <color rgb="FF000000"/>
            <rFont val="Arial"/>
          </rPr>
          <t>10.83g sugars/carbohydrates per 100ml
USDA. "Coca-Cola Bottle, 1.25 Liters." (2020) FoodData Central. U.S. Department of Agriculture. &lt;https://fdc.nal.usda.gov/fdc-app.html#/food-details/768964/nutrients&gt;.
100 ml "Beverages, carbonated, cola, fast-food cola" = 76.29 g coca-cola
"Beverages, carbonated, cola, regular." Calculate weight of generic and branded foods per volume. https://www.aqua-calc.com/calculate/food-volume-to-weight
*Gidon Correspondence coca-cola</t>
        </r>
      </text>
    </comment>
    <comment ref="B68" authorId="0" shapeId="0">
      <text>
        <r>
          <rPr>
            <sz val="10"/>
            <color rgb="FF000000"/>
            <rFont val="Arial"/>
          </rPr>
          <t>Kennedy, E. (2017). Trends in US Tea Imports: 1991-2015. Found at https://scholarworks.wmich.edu/cgi/viewcontent.cgi?article=3888&amp;context=honors_theses</t>
        </r>
      </text>
    </comment>
    <comment ref="B69" authorId="0" shapeId="0">
      <text>
        <r>
          <rPr>
            <sz val="10"/>
            <color rgb="FF000000"/>
            <rFont val="Arial"/>
          </rPr>
          <t>Kennedy, E. (2017). Trends in US Tea Imports: 1991-2015. Found at https://scholarworks.wmich.edu/cgi/viewcontent.cgi?article=3888&amp;context=honors_theses</t>
        </r>
      </text>
    </comment>
    <comment ref="B70" authorId="0" shapeId="0">
      <text>
        <r>
          <rPr>
            <sz val="10"/>
            <color rgb="FF000000"/>
            <rFont val="Arial"/>
          </rPr>
          <t>Kennedy, E. (2017). Trends in US Tea Imports: 1991-2015. Found at https://scholarworks.wmich.edu/cgi/viewcontent.cgi?article=3888&amp;context=honors_theses</t>
        </r>
      </text>
    </comment>
    <comment ref="D70" authorId="0" shapeId="0">
      <text>
        <r>
          <rPr>
            <sz val="10"/>
            <color rgb="FF000000"/>
            <rFont val="Arial"/>
          </rPr>
          <t>Ahmed, Selena et.al. (2014). Effects of Extreme Climate Events on Tea (Camellia sinensis) Functional Quality Validate Indigenous Farmer Knowledge and Sensory Preferences in Tropical China. PLOS One. Vol. 9, Issue 10. pp. 2.
https://journals.plos.org/plosone/article/file?id=10.1371/journal.pone.0109126&amp;type=printable</t>
        </r>
      </text>
    </comment>
    <comment ref="P71" authorId="0" shapeId="0">
      <text>
        <r>
          <rPr>
            <sz val="10"/>
            <color rgb="FF000000"/>
            <rFont val="Arial"/>
          </rPr>
          <t>Doublet, G., &amp; Jungbluth, N. (2010). Life cycle assessment of drinking Darjeeling tea. Conventional and organic Darjeeling tea. ESU-services Ltd., Uster.</t>
        </r>
      </text>
    </comment>
    <comment ref="B72" authorId="0" shapeId="0">
      <text>
        <r>
          <rPr>
            <sz val="10"/>
            <color rgb="FF000000"/>
            <rFont val="Arial"/>
          </rPr>
          <t>12.1 Agricultural production Basic Conditions and Sown Area of Farm Crops
measured per 1000 ha
NBSC (2019). China Statistical Yearbook, annual publication, National Bureau of Statistics of China. Retrieved from http://www.stats.gov. cn/tjsj/ndsj/2017/indexch.htm</t>
        </r>
      </text>
    </comment>
    <comment ref="C72" authorId="0" shapeId="0">
      <text>
        <r>
          <rPr>
            <sz val="10"/>
            <color rgb="FF000000"/>
            <rFont val="Arial"/>
          </rPr>
          <t>12-8: Sown Areas of Farm Crops
measured per 1000 ha
Tea Plantations in 2018
NBSC (2019). China Statistical Yearbook, annual publication, National Bureau of Statistics of China. Retrieved from http://www.stats.gov. cn/tjsj/ndsj/2017/indexch.htm</t>
        </r>
      </text>
    </comment>
    <comment ref="D72" authorId="0" shapeId="0">
      <text>
        <r>
          <rPr>
            <sz val="10"/>
            <color rgb="FF000000"/>
            <rFont val="Arial"/>
          </rPr>
          <t>12-10 Output of Major Farm Products
measured per 10,000 tons
NBSC (2019). China Statistical Yearbook, annual publication, National Bureau of Statistics of China. Retrieved from http://www.stats.gov. cn/tjsj/ndsj/2017/indexch.htm</t>
        </r>
      </text>
    </comment>
    <comment ref="E72" authorId="0" shapeId="0">
      <text>
        <r>
          <rPr>
            <sz val="10"/>
            <color rgb="FF000000"/>
            <rFont val="Arial"/>
          </rPr>
          <t>12-17 Basic Statistics on State Farms
measured per 1000 ha
NBSC (2019). China Statistical Yearbook, annual publication, National Bureau of Statistics of China. retrieved from http://www.stats.gov.cn/tjsj/ndsj/2019/indexeh.htm</t>
        </r>
      </text>
    </comment>
    <comment ref="F72" authorId="0" shapeId="0">
      <text>
        <r>
          <rPr>
            <sz val="10"/>
            <color rgb="FF000000"/>
            <rFont val="Arial"/>
          </rPr>
          <t>12-17 Basic Statistics on State Farms
measured per 10,000 tons
NBSC (2019). China Statistical Yearbook, annual publication, National Bureau of Statistics of China. retrieved from http://www.stats.gov.cn/tjsj/ndsj/2019/indexeh.htm</t>
        </r>
      </text>
    </comment>
    <comment ref="H72" authorId="0" shapeId="0">
      <text>
        <r>
          <rPr>
            <sz val="10"/>
            <color rgb="FF000000"/>
            <rFont val="Arial"/>
          </rPr>
          <t>1000m2/1ha
1ton/1000000g</t>
        </r>
      </text>
    </comment>
    <comment ref="J72" authorId="0" shapeId="0">
      <text>
        <r>
          <rPr>
            <sz val="10"/>
            <color rgb="FF000000"/>
            <rFont val="Arial"/>
          </rPr>
          <t>1ton/1000000g</t>
        </r>
      </text>
    </comment>
    <comment ref="K72" authorId="0" shapeId="0">
      <text>
        <r>
          <rPr>
            <sz val="10"/>
            <color rgb="FF000000"/>
            <rFont val="Arial"/>
          </rPr>
          <t>1000m2/1ha</t>
        </r>
      </text>
    </comment>
    <comment ref="L72"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2"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73"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3"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74"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4"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75"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5"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76"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6"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L77"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M77" authorId="0" shapeId="0">
      <text>
        <r>
          <rPr>
            <sz val="10"/>
            <color rgb="FF000000"/>
            <rFont val="Arial"/>
          </rPr>
          <t>Han, W. Y., Huang, J. G., Li, X., Li, Z. X., Ahammed, G. J., Yan, P., &amp; Stepp, J. R. (2017). Altitudinal effects on the quality of green tea in east China: a climate change perspective. European Food Research and Technology, 243(2), 323-330.</t>
        </r>
      </text>
    </comment>
    <comment ref="Q79" authorId="0" shapeId="0">
      <text>
        <r>
          <rPr>
            <sz val="10"/>
            <color rgb="FF000000"/>
            <rFont val="Arial"/>
          </rPr>
          <t>Xie, S., Feng, H., Yang, F., Zhao, Z., Hu, X., Wei, C., ... &amp; Geng, Y. (2019). Does dual reduction in chemical fertilizer and pesticides improve nutrient loss and tea yield and quality? A pilot study in a green tea garden in Shaoxing, Zhejiang Province, China. Environmental Science and Pollution Research, 26(3), 2464-2476.</t>
        </r>
      </text>
    </comment>
    <comment ref="H80" authorId="0" shapeId="0">
      <text>
        <r>
          <rPr>
            <sz val="10"/>
            <color rgb="FF000000"/>
            <rFont val="Arial"/>
          </rPr>
          <t>"553 kg N ha1"
Xu, Qiang (2019). "Carbon footprint and primary energy demand of organic tea in China using a life cycle assessment approach". Journal of Cleaner Production. 233, pp. 782-792.</t>
        </r>
      </text>
    </comment>
    <comment ref="J80" authorId="0" shapeId="0">
      <text>
        <r>
          <rPr>
            <sz val="10"/>
            <color rgb="FF000000"/>
            <rFont val="Arial"/>
          </rPr>
          <t>Manure
Cichorowski, G., Joa, B., Hottenroth, H., &amp; Schmidt, M. (2015). Scenario analysis of life cycle greenhouse gas emissions of Darjeeling tea. The International Journal of Life Cycle Assessment, 20(4), 426-439.</t>
        </r>
      </text>
    </comment>
    <comment ref="L80"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M80"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N80" authorId="0" shapeId="0">
      <text>
        <r>
          <rPr>
            <sz val="10"/>
            <color rgb="FF000000"/>
            <rFont val="Arial"/>
          </rPr>
          <t>Atomic Mass:
N=14
H=1
O=16
C=12</t>
        </r>
      </text>
    </comment>
    <comment ref="R80" authorId="0" shapeId="0">
      <text>
        <r>
          <rPr>
            <sz val="10"/>
            <color rgb="FF000000"/>
            <rFont val="Arial"/>
          </rPr>
          <t>Xie, S., Feng, H., Yang, F., Zhao, Z., Hu, X., Wei, C., ... &amp; Geng, Y. (2019). Does dual reduction in chemical fertilizer and pesticides improve nutrient loss and tea yield and quality? A pilot study in a green tea garden in Shaoxing, Zhejiang Province, China. Environmental Science and Pollution Research, 26(3), 2464-2476.</t>
        </r>
      </text>
    </comment>
    <comment ref="C81" authorId="0" shapeId="0">
      <text>
        <r>
          <rPr>
            <sz val="10"/>
            <color rgb="FF000000"/>
            <rFont val="Arial"/>
          </rPr>
          <t>consider NOx to be 50% NO and 50% NO2
Atomic Mass:
N=14
O=16</t>
        </r>
      </text>
    </comment>
    <comment ref="D81" authorId="0" shapeId="0">
      <text>
        <r>
          <rPr>
            <sz val="10"/>
            <color rgb="FF000000"/>
            <rFont val="Arial"/>
          </rPr>
          <t>Table 2: "0.02kgNOx/ha/yr"
Xu, Qiang (2019). "Carbon footprint and primary energy demand of organic tea in China using a life cycle assessment approach". Journal of Cleaner Production. 233, pp. 782-792.</t>
        </r>
      </text>
    </comment>
    <comment ref="R81" authorId="0" shapeId="0">
      <text>
        <r>
          <rPr>
            <sz val="10"/>
            <color rgb="FF000000"/>
            <rFont val="Arial"/>
          </rPr>
          <t>Xie, S., Feng, H., Yang, F., Zhao, Z., Hu, X., Wei, C., ... &amp; Geng, Y. (2019). Does dual reduction in chemical fertilizer and pesticides improve nutrient loss and tea yield and quality? A pilot study in a green tea garden in Shaoxing, Zhejiang Province, China. Environmental Science and Pollution Research, 26(3), 2464-2476.</t>
        </r>
      </text>
    </comment>
    <comment ref="C82" authorId="0" shapeId="0">
      <text>
        <r>
          <rPr>
            <sz val="10"/>
            <color rgb="FF000000"/>
            <rFont val="Arial"/>
          </rPr>
          <t>Atomic Mass:
N=14
O=16</t>
        </r>
      </text>
    </comment>
    <comment ref="D82" authorId="0" shapeId="0">
      <text>
        <r>
          <rPr>
            <sz val="10"/>
            <color rgb="FF000000"/>
            <rFont val="Arial"/>
          </rPr>
          <t>Table 2: "5.68kgN2O/ha/yr"
Xu, Qiang (2019). "Carbon footprint and primary energy demand of organic tea in China using a life cycle assessment approach". Journal of Cleaner Production. 233, pp. 782-792.</t>
        </r>
      </text>
    </comment>
    <comment ref="C83" authorId="0" shapeId="0">
      <text>
        <r>
          <rPr>
            <sz val="10"/>
            <color rgb="FF000000"/>
            <rFont val="Arial"/>
          </rPr>
          <t>Atomic Mass:
N=14
H=1</t>
        </r>
      </text>
    </comment>
    <comment ref="D83" authorId="0" shapeId="0">
      <text>
        <r>
          <rPr>
            <sz val="10"/>
            <color rgb="FF000000"/>
            <rFont val="Arial"/>
          </rPr>
          <t>Table 2: "30.44kgNH3/ha/yr"
Xu, Qiang (2019). "Carbon footprint and primary energy demand of organic tea in China using a life cycle assessment approach". Journal of Cleaner Production. 233, pp. 782-792.</t>
        </r>
      </text>
    </comment>
    <comment ref="C84" authorId="0" shapeId="0">
      <text>
        <r>
          <rPr>
            <sz val="10"/>
            <color rgb="FF000000"/>
            <rFont val="Arial"/>
          </rPr>
          <t>Atomic Mass:
N=14
O=16</t>
        </r>
      </text>
    </comment>
    <comment ref="D84" authorId="0" shapeId="0">
      <text>
        <r>
          <rPr>
            <sz val="10"/>
            <color rgb="FF000000"/>
            <rFont val="Arial"/>
          </rPr>
          <t>Table 2: "43.25kgNO3/ha/yr"
Xu, Qiang (2019). "Carbon footprint and primary energy demand of organic tea in China using a life cycle assessment approach". Journal of Cleaner Production. 233, pp. 782-792.</t>
        </r>
      </text>
    </comment>
    <comment ref="D85" authorId="0" shapeId="0">
      <text>
        <r>
          <rPr>
            <sz val="10"/>
            <color rgb="FF000000"/>
            <rFont val="Arial"/>
          </rPr>
          <t>pp. 783: 1 cup = 2g dry tea and 250ml boiling water
Xu, Qiang (2019). "Carbon footprint and primary energy demand of organic tea in China using a life cycle assessment approach". Journal of Cleaner Production. 233, pp. 782-792.</t>
        </r>
      </text>
    </comment>
    <comment ref="M85" authorId="0" shapeId="0">
      <text>
        <r>
          <rPr>
            <sz val="10"/>
            <color rgb="FF000000"/>
            <rFont val="Arial"/>
          </rPr>
          <t>Doublet, G., &amp; Jungbluth, N. (2010). Life cycle assessment of drinking Darjeeling tea. Conventional and organic Darjeeling tea. ESU-services Ltd., Uster.</t>
        </r>
      </text>
    </comment>
    <comment ref="B86" authorId="0" shapeId="0">
      <text>
        <r>
          <rPr>
            <sz val="10"/>
            <color rgb="FF000000"/>
            <rFont val="Arial"/>
          </rPr>
          <t>Table 2: "12.73kgCO2/ha/yr"
Xu, Qiang (2019). "Carbon footprint and primary energy demand of organic tea in China using a life cycle assessment approach". Journal of Cleaner Production. 233, pp. 782-792.</t>
        </r>
      </text>
    </comment>
    <comment ref="C86" authorId="0" shapeId="0">
      <text>
        <r>
          <rPr>
            <sz val="10"/>
            <color rgb="FF000000"/>
            <rFont val="Arial"/>
          </rPr>
          <t>"Wuyangchunyu (green tea)"
Xu, Qiang (2019). "Carbon footprint and primary energy demand of organic tea in China using a life cycle assessment approach". Journal of Cleaner Production. 233, pp. 782-792.</t>
        </r>
      </text>
    </comment>
    <comment ref="H86"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I86" authorId="0" shapeId="0">
      <text>
        <r>
          <rPr>
            <sz val="10"/>
            <color rgb="FF000000"/>
            <rFont val="Arial"/>
          </rPr>
          <t>Cichorowski, G., Joa, B., Hottenroth, H., &amp; Schmidt, M. (2015). Scenario analysis of life cycle greenhouse gas emissions of Darjeeling tea. The International Journal of Life Cycle Assessment, 20(4), 426-439.</t>
        </r>
      </text>
    </comment>
    <comment ref="J86" authorId="0" shapeId="0">
      <text>
        <r>
          <rPr>
            <sz val="10"/>
            <color rgb="FF000000"/>
            <rFont val="Arial"/>
          </rPr>
          <t>Table 6:
Growth
Fertilizer and application
Fertilizer induced N2O emissions
Pesticides
Cichorowski, G., Joa, B., Hottenroth, H., &amp; Schmidt, M. (2015). Scenario analysis of life cycle greenhouse gas emissions of Darjeeling tea. The International Journal of Life Cycle Assessment, 20(4), 426-439.</t>
        </r>
      </text>
    </comment>
    <comment ref="K86" authorId="0" shapeId="0">
      <text>
        <r>
          <rPr>
            <sz val="10"/>
            <color rgb="FF000000"/>
            <rFont val="Arial"/>
          </rPr>
          <t>Table 6:
Growth
Fertilizer and application
Fertilizer induced N2O emissions
Pesticides
Cichorowski, G., Joa, B., Hottenroth, H., &amp; Schmidt, M. (2015). Scenario analysis of life cycle greenhouse gas emissions of Darjeeling tea. The International Journal of Life Cycle Assessment, 20(4), 426-439.</t>
        </r>
      </text>
    </comment>
    <comment ref="N86"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O86"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C87" authorId="0" shapeId="0">
      <text>
        <r>
          <rPr>
            <sz val="10"/>
            <color rgb="FF000000"/>
            <rFont val="Arial"/>
          </rPr>
          <t>"Longjing (green tea)"
Xu, Qiang (2019). "Carbon footprint and primary energy demand of organic tea in China using a life cycle assessment approach". Journal of Cleaner Production. 233, pp. 782-792.</t>
        </r>
      </text>
    </comment>
    <comment ref="N87"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O87" authorId="0" shapeId="0">
      <text>
        <r>
          <rPr>
            <sz val="10"/>
            <color rgb="FF000000"/>
            <rFont val="Arial"/>
          </rPr>
          <t>units provided: gCO2/cup
1 cup = 250ml made with 1.75g dry tea leaves
1g = 1/1000kg
Doublet, G., &amp; Jungbluth, N. (2010). Life cycle assessment of drinking Darjeeling tea. Conventional and organic Darjeeling tea. ESU-services Ltd., Uster.</t>
        </r>
      </text>
    </comment>
    <comment ref="C88" authorId="0" shapeId="0">
      <text>
        <r>
          <rPr>
            <sz val="10"/>
            <color rgb="FF000000"/>
            <rFont val="Arial"/>
          </rPr>
          <t>"Wuyangkungfu (black tea)"
Xu, Qiang (2019). "Carbon footprint and primary energy demand of organic tea in China using a life cycle assessment approach". Journal of Cleaner Production. 233, pp. 782-792.</t>
        </r>
      </text>
    </comment>
    <comment ref="C89" authorId="0" shapeId="0">
      <text>
        <r>
          <rPr>
            <sz val="10"/>
            <color rgb="FF000000"/>
            <rFont val="Arial"/>
          </rPr>
          <t>"Jinkengoolong (Oolong tea)"
Xu, Qiang (2019). "Carbon footprint and primary energy demand of organic tea in China using a life cycle assessment approach". Journal of Cleaner Production. 233, pp. 782-792.</t>
        </r>
      </text>
    </comment>
    <comment ref="C90" authorId="0" shapeId="0">
      <text>
        <r>
          <rPr>
            <sz val="10"/>
            <color rgb="FF000000"/>
            <rFont val="Arial"/>
          </rPr>
          <t>"Green tablets (green tea)...teabag tea"
Xu, Qiang (2019). "Carbon footprint and primary energy demand of organic tea in China using a life cycle assessment approach". Journal of Cleaner Production. 233, pp. 782-792.</t>
        </r>
      </text>
    </comment>
    <comment ref="A96" authorId="0" shapeId="0">
      <text>
        <r>
          <rPr>
            <sz val="10"/>
            <color rgb="FF000000"/>
            <rFont val="Arial"/>
          </rPr>
          <t>Gidon Correspondance: Tea and Decaf Tea have the same environmental impact</t>
        </r>
      </text>
    </comment>
    <comment ref="E97" authorId="0" shapeId="0">
      <text>
        <r>
          <rPr>
            <sz val="10"/>
            <color rgb="FF000000"/>
            <rFont val="Arial"/>
          </rPr>
          <t>Mekonnen-Hoekstra, The green, blue and grey water footprint of crops; 2011; pg 1589; "Green and black tea" blue water footprint</t>
        </r>
      </text>
    </comment>
    <comment ref="B98" authorId="0" shapeId="0">
      <text>
        <r>
          <rPr>
            <sz val="10"/>
            <color rgb="FF000000"/>
            <rFont val="Arial"/>
          </rPr>
          <t>2g of leaves for each cup of tea
https://www.teatulia.com/tea-101/how-to-measure-loose-leaf-tea-for-brewing.htm (American company)
237g = 1 cup (8oz) of tea
https://www.aqua-calc.com/calculate/food-volume-to-weight</t>
        </r>
      </text>
    </comment>
    <comment ref="B113" authorId="0" shapeId="0">
      <text>
        <r>
          <rPr>
            <sz val="10"/>
            <color rgb="FF000000"/>
            <rFont val="Arial"/>
          </rPr>
          <t>1.41kg grapes yield 1kg red wine
Notarnicola, B., Tassielli, G., &amp; Nicoletti, G. M. (2003). Life cycle assessment (LCA) of wine production. Environmentally-friendly food processing, 306, 326.</t>
        </r>
      </text>
    </comment>
    <comment ref="C113" authorId="0" shapeId="0">
      <text>
        <r>
          <rPr>
            <sz val="10"/>
            <color rgb="FF000000"/>
            <rFont val="Arial"/>
          </rPr>
          <t>Eshel, Gidon.  "MAD". Gidon_EnvironCalcPaper3_151104AS_poultryconcise (2).xlsx</t>
        </r>
      </text>
    </comment>
    <comment ref="D113" authorId="0" shapeId="0">
      <text>
        <r>
          <rPr>
            <sz val="10"/>
            <color rgb="FF000000"/>
            <rFont val="Arial"/>
          </rPr>
          <t>Eshel, Gidon.  "MAD". Gidon_EnvironCalcPaper3_151104AS_poultryconcise (2).xlsx</t>
        </r>
      </text>
    </comment>
    <comment ref="E113" authorId="0" shapeId="0">
      <text>
        <r>
          <rPr>
            <sz val="10"/>
            <color rgb="FF000000"/>
            <rFont val="Arial"/>
          </rPr>
          <t>Mekonnen, M. M., &amp; Hoekstra, A. Y. (2011). "Grapes." The green, blue and grey water footprint of crops and derived crop products.</t>
        </r>
      </text>
    </comment>
    <comment ref="F113" authorId="0" shapeId="0">
      <text>
        <r>
          <rPr>
            <sz val="10"/>
            <color rgb="FF000000"/>
            <rFont val="Arial"/>
          </rPr>
          <t>Red Wine Grape average = 0.0005144113333 kgCO2eq/g
"Grapes" = 0.0008377556
"Grapes, Cabernet Sauvignon, for wine" = 0.000220462
"Grapes, French hybrids, for wine" = 0.0004850164
CleanMetrics. (2020). Food Carbon Emissions Calculator. http://www.foodemissions.com/Calculator.</t>
        </r>
      </text>
    </comment>
    <comment ref="B114" authorId="0" shapeId="0">
      <text>
        <r>
          <rPr>
            <sz val="10"/>
            <color rgb="FF000000"/>
            <rFont val="Arial"/>
          </rPr>
          <t>1.41kg grapes yield 1kg red wine
Notarnicola, B., Tassielli, G., &amp; Nicoletti, G. M. (2003). Life cycle assessment (LCA) of wine production. Environmentally-friendly food processing, 306, 326.</t>
        </r>
      </text>
    </comment>
    <comment ref="E114" authorId="0" shapeId="0">
      <text>
        <r>
          <rPr>
            <sz val="10"/>
            <color rgb="FF000000"/>
            <rFont val="Arial"/>
          </rPr>
          <t>Very comparable to 0.000138m3/g, yet possibly more specific to RED wine
Mekonnen, M. M., &amp; Hoekstra, A. Y. (2011). "Grape wines, sparkling." The green, blue and grey water footprint of crops and derived crop products.</t>
        </r>
      </text>
    </comment>
    <comment ref="B120" authorId="0" shapeId="0">
      <text>
        <r>
          <rPr>
            <sz val="10"/>
            <color rgb="FF000000"/>
            <rFont val="Arial"/>
          </rPr>
          <t>1.6kg grapes yield 1kg white wine
Notarnicola, B., Tassielli, G., &amp; Nicoletti, G. M. (2003). Life cycle assessment (LCA) of wine production. Environmentally-friendly food processing, 306, 326.</t>
        </r>
      </text>
    </comment>
    <comment ref="C120" authorId="0" shapeId="0">
      <text>
        <r>
          <rPr>
            <sz val="10"/>
            <color rgb="FF000000"/>
            <rFont val="Arial"/>
          </rPr>
          <t>Eshel, Gidon.  "MAD". Gidon_EnvironCalcPaper3_151104AS_poultryconcise (2).xlsx</t>
        </r>
      </text>
    </comment>
    <comment ref="D120" authorId="0" shapeId="0">
      <text>
        <r>
          <rPr>
            <sz val="10"/>
            <color rgb="FF000000"/>
            <rFont val="Arial"/>
          </rPr>
          <t>Eshel, Gidon.  "MAD". Gidon_EnvironCalcPaper3_151104AS_poultryconcise (2).xlsx</t>
        </r>
      </text>
    </comment>
    <comment ref="E120" authorId="0" shapeId="0">
      <text>
        <r>
          <rPr>
            <sz val="10"/>
            <color rgb="FF000000"/>
            <rFont val="Arial"/>
          </rPr>
          <t>Mekonnen, M. M., &amp; Hoekstra, A. Y. (2011). "Grapes." The green, blue and grey water footprint of crops and derived crop products.</t>
        </r>
      </text>
    </comment>
    <comment ref="F120" authorId="0" shapeId="0">
      <text>
        <r>
          <rPr>
            <sz val="10"/>
            <color rgb="FF000000"/>
            <rFont val="Arial"/>
          </rPr>
          <t>White Wine Grape average = 0.0003968316 kgCO2eq/g
"Grapes" = 0.0008377556
""Grapes, Chardonnay, for wine"" = 0.0002645544
"Grapes, Chardonnay, for wine, organic" = 0.0002425082
"Grapes, Sauvignon Blanc, for wine" = 0.0001543234
"Grapes, French hybrids, for wine" = 0.0004850164
CleanMetrics. (2020). Food Carbon Emissions Calculator. http://www.foodemissions.com/Calculator.</t>
        </r>
      </text>
    </comment>
    <comment ref="B121" authorId="0" shapeId="0">
      <text>
        <r>
          <rPr>
            <sz val="10"/>
            <color rgb="FF000000"/>
            <rFont val="Arial"/>
          </rPr>
          <t>1.6kg grapes yield 1kg white wine
Notarnicola, B., Tassielli, G., &amp; Nicoletti, G. M. (2003). Life cycle assessment (LCA) of wine production. Environmentally-friendly food processing, 306, 326.</t>
        </r>
      </text>
    </comment>
    <comment ref="E121" authorId="0" shapeId="0">
      <text>
        <r>
          <rPr>
            <sz val="10"/>
            <color rgb="FF000000"/>
            <rFont val="Arial"/>
          </rPr>
          <t>Very comparable to 0.000138m3/g, yet possibly more specific to RED wine
Mekonnen, M. M., &amp; Hoekstra, A. Y. (2011). "Grape wines, sparkling." The green, blue and grey water footprint of crops and derived crop products.</t>
        </r>
      </text>
    </comment>
    <comment ref="D126" authorId="0" shapeId="0">
      <text>
        <r>
          <rPr>
            <sz val="10"/>
            <color rgb="FF000000"/>
            <rFont val="Arial"/>
          </rPr>
          <t>Need to convert units to 1g from those based on 100g in Akshay's spreadsheet (https://docs.google.com/spreadsheets/d/12aDGeHd53qtftr_C99n1K-mg3JGP6lRoKcV6aA2MIIo/edit#gid=1214142331)</t>
        </r>
      </text>
    </comment>
    <comment ref="A127" authorId="0" shapeId="0">
      <text>
        <r>
          <rPr>
            <sz val="10"/>
            <color rgb="FF000000"/>
            <rFont val="Arial"/>
          </rPr>
          <t>Mekonnen, M. M., &amp; Hoekstra, A. Y. (2011). The green, blue and grey water footprint of crops and derived crop products.</t>
        </r>
      </text>
    </comment>
    <comment ref="F127" authorId="0" shapeId="0">
      <text>
        <r>
          <rPr>
            <sz val="10"/>
            <color rgb="FF000000"/>
            <rFont val="Arial"/>
          </rPr>
          <t>Mekonnen, M. M., &amp; Hoekstra, A. Y. (2011). "Beer made from malt." The green, blue and grey water footprint of crops and derived crop products.</t>
        </r>
      </text>
    </comment>
    <comment ref="A128" authorId="0" shapeId="0">
      <text>
        <r>
          <rPr>
            <sz val="10"/>
            <color rgb="FF000000"/>
            <rFont val="Arial"/>
          </rPr>
          <t>Amienyo, D., &amp; Azapagic, A. (2016). Life cycle environmental impacts and costs of beer production and consumption in the UK. The International Journal of Life Cycle Assessment, 21(4), 492-509.</t>
        </r>
      </text>
    </comment>
    <comment ref="B128" authorId="0" shapeId="0">
      <text>
        <r>
          <rPr>
            <sz val="10"/>
            <color rgb="FF000000"/>
            <rFont val="Arial"/>
          </rPr>
          <t xml:space="preserve">73g Barley per 1L beer
73g Barley per 1015g Beer
Amienyo, D., &amp; Azapagic, A. (2016). Life cycle environmental impacts and costs of beer production and consumption in the UK. The International Journal of Life Cycle Assessment, 21(4), 492-509.
Water gravity: 1000g/L
Beer gravity (compared to water): =1.015*1000g/L
"Typically, beer will have a gravity between ~1.040 to 1.090 before fermentation, and end between 1.010 to 1.020 after fermentation. Often, dry ciders, wines, and meads will have a final gravity less than 1.000." 
https://fermentationsolutions.com/guide-gravity/
</t>
        </r>
      </text>
    </comment>
    <comment ref="G128" authorId="0" shapeId="0">
      <text>
        <r>
          <rPr>
            <sz val="10"/>
            <color rgb="FF000000"/>
            <rFont val="Arial"/>
          </rPr>
          <t>Beer, USA
foodemissions.com/Calculator</t>
        </r>
      </text>
    </comment>
    <comment ref="A129" authorId="0" shapeId="0">
      <text>
        <r>
          <rPr>
            <sz val="10"/>
            <color rgb="FF000000"/>
            <rFont val="Arial"/>
          </rPr>
          <t>Conservancy, C. (2008). The carbon footprint of Fat Tire® Amber ale. The Climate Conservancy. &lt;https://www.ess.uci.edu/~sjdavis/pubs/Fat_Tire_2008.pdf&gt;</t>
        </r>
      </text>
    </comment>
    <comment ref="D129" authorId="0" shapeId="0">
      <text>
        <r>
          <rPr>
            <sz val="10"/>
            <color rgb="FF000000"/>
            <rFont val="Arial"/>
          </rPr>
          <t>3281.85kg/ha barley
Conservancy, C. (2008). The carbon footprint of Fat Tire® Amber ale. The Climate Conservancy. &lt;https://www.ess.uci.edu/~sjdavis/pubs/Fat_Tire_2008.pdf&gt;
10000m2/ha
1kg/1000g
73g barley per 1015g beer (cell T139)</t>
        </r>
      </text>
    </comment>
    <comment ref="E129" authorId="0" shapeId="0">
      <text>
        <r>
          <rPr>
            <sz val="10"/>
            <color rgb="FF000000"/>
            <rFont val="Arial"/>
          </rPr>
          <t xml:space="preserve">ratio of N to barley of ≈ 2.9 to 100.
urea-N fertilizer
Conservancy, C. (2008). The carbon footprint of Fat Tire® Amber ale. The Climate Conservancy. &lt;https://www.ess.uci.edu/~sjdavis/pubs/Fat_Tire_2008.pdf&gt;
</t>
        </r>
      </text>
    </comment>
    <comment ref="G129" authorId="0" shapeId="0">
      <text>
        <r>
          <rPr>
            <sz val="10"/>
            <color rgb="FF000000"/>
            <rFont val="Arial"/>
          </rPr>
          <t>Carbon emissions of "Consumable Materials" (Malt, Hops):
678gCO2eq/6pack
* 1kg/1000g
* 1-6pack/72oz
* 1oz/2041.2g</t>
        </r>
      </text>
    </comment>
    <comment ref="A130" authorId="0" shapeId="0">
      <text>
        <r>
          <rPr>
            <sz val="10"/>
            <color rgb="FF000000"/>
            <rFont val="Arial"/>
          </rPr>
          <t>Callow, M., Kenman, S., Walker, R., Warren, R., &amp; Rawnsley, R. (2006). Estimating Annual Irrigation Water Requirements. Queensland Government Department of Primary Industries and Fisheries.</t>
        </r>
      </text>
    </comment>
    <comment ref="D130" authorId="0" shapeId="0">
      <text>
        <r>
          <rPr>
            <sz val="10"/>
            <color rgb="FF000000"/>
            <rFont val="Arial"/>
          </rPr>
          <t>1ha/9200kg dy matter
Callow, M., Kenman, S., Walker, R., Warren, R., &amp; Rawnsley, R. (2006). Estimating Annual Irrigation Water Requirements. Queensland Government Department of Primary Industries and Fisheries.
* 10000m2/ha
* 1kg/1000g</t>
        </r>
      </text>
    </comment>
    <comment ref="A131" authorId="0" shapeId="0">
      <text>
        <r>
          <rPr>
            <sz val="10"/>
            <color rgb="FF000000"/>
            <rFont val="Arial"/>
          </rPr>
          <t>Sipperly, E., Edinger, K., Ziegler, N., &amp; Roberts, E. (2014). Comparative Cradle to Gate Life Cycle Assessment of 100% Barley-based Singha Lager Beer in Thailand. Bangkok, Thailand.</t>
        </r>
      </text>
    </comment>
    <comment ref="D131" authorId="0" shapeId="0">
      <text>
        <r>
          <rPr>
            <sz val="10"/>
            <color rgb="FF000000"/>
            <rFont val="Arial"/>
          </rPr>
          <t>Land Use 0.063Ha
Harvested Barley 127.2kg
10000m2/ha
1kg/1000g
Table 2 
Sipperly, E., Edinger, K., Ziegler, N., &amp; Roberts, E. (2014). Comparative Cradle to Gate Life Cycle Assessment of 100% Barley-based Singha Lager Beer in Thailand. Bangkok, Thailand.</t>
        </r>
      </text>
    </comment>
    <comment ref="E131" authorId="0" shapeId="0">
      <text>
        <r>
          <rPr>
            <sz val="10"/>
            <color rgb="FF000000"/>
            <rFont val="Arial"/>
          </rPr>
          <t>Materials and Fuels &gt; Ammonia 0.472kg
0.35N of molecular weight of Ammonia (NH4)
Atomic Mass:
N=14
H=1
O=16
C=12
Harvested Barley 127.2kg
Sipperly, E., Edinger, K., Ziegler, N., &amp; Roberts, E. (2014). Comparative Cradle to Gate Life Cycle Assessment of 100% Barley-based Singha Lager Beer in Thailand. Bangkok, Thailand.</t>
        </r>
      </text>
    </comment>
    <comment ref="F131" authorId="0" shapeId="0">
      <text>
        <r>
          <rPr>
            <sz val="10"/>
            <color rgb="FF000000"/>
            <rFont val="Arial"/>
          </rPr>
          <t>75600L Irrigiated water
127.2kg Barley
*1m3/1000L
*1kg/1000g
Sipperly, E., Edinger, K., Ziegler, N., &amp; Roberts, E. (2014). Comparative Cradle to Gate Life Cycle Assessment of 100% Barley-based Singha Lager Beer in Thailand. Bangkok, Thailand.</t>
        </r>
      </text>
    </comment>
    <comment ref="G131" authorId="0" shapeId="0">
      <text>
        <r>
          <rPr>
            <sz val="10"/>
            <color rgb="FF000000"/>
            <rFont val="Arial"/>
          </rPr>
          <t>no units for beer amount</t>
        </r>
      </text>
    </comment>
    <comment ref="D140" authorId="0" shapeId="0">
      <text>
        <r>
          <rPr>
            <sz val="10"/>
            <color rgb="FF000000"/>
            <rFont val="Arial"/>
          </rPr>
          <t>Need to convert units to 1g from those based on 100g in Akshay's spreadsheet (https://docs.google.com/spreadsheets/d/12aDGeHd53qtftr_C99n1K-mg3JGP6lRoKcV6aA2MIIo/edit#gid=1214142331)</t>
        </r>
      </text>
    </comment>
    <comment ref="C146" authorId="0" shapeId="0">
      <text>
        <r>
          <rPr>
            <sz val="10"/>
            <color rgb="FF000000"/>
            <rFont val="Arial"/>
          </rPr>
          <t>"Lemons raw without peel"
Eshel, Gidon.  "MAD". Gidon_EnvironCalcPaper3_151104AS_poultryconcise (2).xlsx</t>
        </r>
      </text>
    </comment>
    <comment ref="D146" authorId="0" shapeId="0">
      <text>
        <r>
          <rPr>
            <sz val="10"/>
            <color rgb="FF000000"/>
            <rFont val="Arial"/>
          </rPr>
          <t>"Lemons raw without peel"
Eshel, Gidon.  "MAD". Gidon_EnvironCalcPaper3_151104AS_poultryconcise (2).xlsx</t>
        </r>
      </text>
    </comment>
    <comment ref="E146" authorId="0" shapeId="0">
      <text>
        <r>
          <rPr>
            <sz val="10"/>
            <color rgb="FF000000"/>
            <rFont val="Arial"/>
          </rPr>
          <t>Blue water needs of lemons and limes = 152m3/MT
Mekonnen, M. M., &amp; Hoekstra, A. Y. (2011). "Lemons and limes." The green, blue and grey water footprint of crops and derived crop products.</t>
        </r>
      </text>
    </comment>
    <comment ref="F146" authorId="0" shapeId="0">
      <text>
        <r>
          <rPr>
            <sz val="10"/>
            <color rgb="FF000000"/>
            <rFont val="Arial"/>
          </rPr>
          <t>Lemon, Lisbon Variety, CA, USA = 0.04kgCO2eq/lb
453.592g = 1 lb
CleanMetrics. (2020). "Lemon, Lisbon Variety." Food Carbon Emissions Calculator. http://www.foodemissions.com/Calculator.</t>
        </r>
      </text>
    </comment>
    <comment ref="B147" authorId="0" shapeId="0">
      <text>
        <r>
          <rPr>
            <sz val="10"/>
            <color rgb="FF000000"/>
            <rFont val="Arial"/>
          </rPr>
          <t>"fruits yield about 30% of juice"
Chapter 31 - Vitamins and hormones. (n.d.). In Trease and Evans Pharmacognosy (pp. 451-458). Elsevier Health Sciences.</t>
        </r>
      </text>
    </comment>
    <comment ref="D155" authorId="0" shapeId="0">
      <text>
        <r>
          <rPr>
            <sz val="10"/>
            <color rgb="FF000000"/>
            <rFont val="Arial"/>
          </rPr>
          <t>Coffee Trade Analysis - Segmented by Geography - Growth, Trends, and Forecast (2020 - 2025)
"The United States is the world’s largest importer of coffee, it imported of 1.5 million metric ton of coffee in 2016, which was worth USD 5.74 billion. Some of the important importing countries of US coffee are Brazil, Colombia, Ethiopia, and Vietnam. In 2015, the United States imported about 30% of its coffee from Brazil, 21% from Colombia, and 13% from Vietnam. Furthermore, most of the coffee imports in the country are in the form of green coffee beans."
https://www.mordorintelligence.com/industry-reports/coffee-trade-analysis</t>
        </r>
      </text>
    </comment>
    <comment ref="J155"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K155" authorId="0" shapeId="0">
      <text>
        <r>
          <rPr>
            <sz val="10"/>
            <color rgb="FF000000"/>
            <rFont val="Arial"/>
          </rPr>
          <t>(Arabica &amp; Robusta)</t>
        </r>
      </text>
    </comment>
    <comment ref="C156" authorId="0" shapeId="0">
      <text>
        <r>
          <rPr>
            <sz val="10"/>
            <color rgb="FF000000"/>
            <rFont val="Arial"/>
          </rPr>
          <t>30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F156" authorId="0" shapeId="0">
      <text>
        <r>
          <rPr>
            <sz val="10"/>
            <color rgb="FF000000"/>
            <rFont val="Arial"/>
          </rPr>
          <t>Lopes, A. S. (2004). Fertilizer use by crop in Brazil. FAO, Rome.&lt;http://www.fao.org/3/y5376e/y5376e0a.htm#bm10.1&gt;</t>
        </r>
      </text>
    </comment>
    <comment ref="H156" authorId="0" shapeId="0">
      <text>
        <r>
          <rPr>
            <sz val="10"/>
            <color rgb="FF000000"/>
            <rFont val="Arial"/>
          </rPr>
          <t>1000g = kg
10000m2 = ha</t>
        </r>
      </text>
    </comment>
    <comment ref="J156"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K156" authorId="0" shapeId="0">
      <text>
        <r>
          <rPr>
            <sz val="10"/>
            <color rgb="FF000000"/>
            <rFont val="Arial"/>
          </rPr>
          <t>Odžaković, B., Džinić, N., Jokanović, M., &amp; Grujić, S. (2019). The influence of roasting temperature on the physical properties of Arabica and Robusta coffee. Acta Periodica Technologica, (50), 172-178.</t>
        </r>
      </text>
    </comment>
    <comment ref="C157" authorId="0" shapeId="0">
      <text>
        <r>
          <rPr>
            <sz val="10"/>
            <color rgb="FF000000"/>
            <rFont val="Arial"/>
          </rPr>
          <t>20.5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F157" authorId="0" shapeId="0">
      <text>
        <r>
          <rPr>
            <sz val="10"/>
            <color rgb="FF000000"/>
            <rFont val="Arial"/>
          </rPr>
          <t>Haifa Group (2020). "Fertilization of coffee: the benefits of foliar spraying with Multi-K."  Available at https://www.haifa-group.com/fertilization-coffee-benefits-foliar-spraying-multi-k.
(listed source: Kinoch: VOLHOUBARE LANDBOU, RSA. Processed by Frans Lourens, Haifa, RSA May, 1999.)</t>
        </r>
      </text>
    </comment>
    <comment ref="H157" authorId="0" shapeId="0">
      <text>
        <r>
          <rPr>
            <sz val="10"/>
            <color rgb="FF000000"/>
            <rFont val="Arial"/>
          </rPr>
          <t>1000g = kg
10000m2 = ha</t>
        </r>
      </text>
    </comment>
    <comment ref="C158" authorId="0" shapeId="0">
      <text>
        <r>
          <rPr>
            <sz val="10"/>
            <color rgb="FF000000"/>
            <rFont val="Arial"/>
          </rPr>
          <t>38 x 60kg-bags/ha
10000m2/ha
1kg/1000g
Acosta, Luis Jaime. (2019, November 27). "Colombia's coffee growers must focus on quality to lock in profits -federation." Reuters.https://www.reuters.com/article/colombia-coffee/colombias-coffee-growers-must-focus-on-quality-to-lock-in-profits-federation-idUKL1N28701C</t>
        </r>
      </text>
    </comment>
    <comment ref="D162" authorId="0" shapeId="0">
      <text>
        <r>
          <rPr>
            <sz val="10"/>
            <color rgb="FF000000"/>
            <rFont val="Arial"/>
          </rPr>
          <t>114kgN/ha
Lopes, A. S. (2004). Fertilizer use by crop in Brazil. FAO, Rome.&lt;http://www.fao.org/3/y5376e/y5376e0a.htm#bm10.1&gt;</t>
        </r>
      </text>
    </comment>
    <comment ref="E162" authorId="0" shapeId="0">
      <text>
        <r>
          <rPr>
            <sz val="10"/>
            <color rgb="FF000000"/>
            <rFont val="Arial"/>
          </rPr>
          <t>"Coffee, roasted"
139m3/metric ton
Mekonnen, M. M., &amp; Hoekstra, A. Y. (2011). "Coffee, roasted." The green, blue and grey water footprint of crops and derived crop products.</t>
        </r>
      </text>
    </comment>
    <comment ref="F162" authorId="0" shapeId="0">
      <text>
        <r>
          <rPr>
            <sz val="10"/>
            <color rgb="FF000000"/>
            <rFont val="Arial"/>
          </rPr>
          <t>1lb = 453.592
Coffee Beans, green (Brazil)
* % mass lost in roasting
http://www.foodemissions.com/Calculator</t>
        </r>
      </text>
    </comment>
    <comment ref="B163" authorId="0" shapeId="0">
      <text>
        <r>
          <rPr>
            <sz val="10"/>
            <color rgb="FF000000"/>
            <rFont val="Arial"/>
          </rPr>
          <t>1.6-2g coffee grounds (average = 1.8g) per 28g water
Counter Culture Coffee (2020). "Brewing Guides". Available at https://counterculturecoffee.com/learn/brewing-guides.</t>
        </r>
      </text>
    </comment>
    <comment ref="B164" authorId="0" shapeId="0">
      <text>
        <r>
          <rPr>
            <sz val="10"/>
            <color rgb="FF000000"/>
            <rFont val="Arial"/>
          </rPr>
          <t>1:2 to 1:3 coffee to water ratio (average 1:2.5)
"While many specialty shops around the world use between 16-19 grams of coffee for espresso (yielding 32-38 grams of liquid), traditional Italian cafes use about 7 grams of coffee that result in a 21 gram single shot of espresso."
La Marzocco (2014). "Brew Ratios Around the World". La Marzocco USA. Available at https://home.lamarzoccousa.com/brew-ratios-around-world/.</t>
        </r>
      </text>
    </comment>
    <comment ref="E176" authorId="0" shapeId="0">
      <text>
        <r>
          <rPr>
            <sz val="10"/>
            <color rgb="FF000000"/>
            <rFont val="Arial"/>
          </rPr>
          <t>Mekonnen, M. M., &amp; Hoekstra, A. Y. (2011). "Apples, fresh." The green, blue and grey water footprint of crops and derived crop products.</t>
        </r>
      </text>
    </comment>
    <comment ref="F176" authorId="0" shapeId="0">
      <text>
        <r>
          <rPr>
            <sz val="10"/>
            <color rgb="FF000000"/>
            <rFont val="Arial"/>
          </rPr>
          <t xml:space="preserve">already converted to 1g
</t>
        </r>
      </text>
    </comment>
    <comment ref="B177" authorId="0" shapeId="0">
      <text>
        <r>
          <rPr>
            <sz val="10"/>
            <color rgb="FF000000"/>
            <rFont val="Arial"/>
          </rPr>
          <t>"The total recovery of thejuice in industrial production process (Figure 3) is about 70%–75%, generating 25%–30% apple pomace and 5%–11% sludge(liquid waste obtained after clariﬁcation and sedimentation withbentonite)."
Bhushan, S., Kalia, K., Sharma, M., Singh, B., &amp; Ahuja, P. S. (2008). Processing of apple pomace for bioactive molecules. Critical reviews in biotechnology, 28(4), 285-296.</t>
        </r>
      </text>
    </comment>
    <comment ref="E177" authorId="0" shapeId="0">
      <text>
        <r>
          <rPr>
            <sz val="10"/>
            <color rgb="FF000000"/>
            <rFont val="Arial"/>
          </rPr>
          <t>Mekonnen, M. M., &amp; Hoekstra, A. Y. (2011). "Apple juice unfermented &amp; not spirited." The green, blue and grey water footprint of crops and derived crop products.
**highly comparable to apple:juice ratio (0.0001834482759)</t>
        </r>
      </text>
    </comment>
    <comment ref="C181" authorId="0" shapeId="0">
      <text>
        <r>
          <rPr>
            <sz val="10"/>
            <color rgb="FF000000"/>
            <rFont val="Arial"/>
          </rPr>
          <t>Gidon Correspondence: "assume density of 1 g/ml to convert 70 cl to mass"
0.1cl = 1ml</t>
        </r>
      </text>
    </comment>
    <comment ref="B182" authorId="0" shapeId="0">
      <text>
        <r>
          <rPr>
            <sz val="10"/>
            <color rgb="FF000000"/>
            <rFont val="Arial"/>
          </rPr>
          <t>Eriksson, O., Jonsson, D., &amp; Hillman, K. (2016). Life cycle assessment of Swedish single malt whisky. Journal of Cleaner Production, 112, 229-237.</t>
        </r>
      </text>
    </comment>
    <comment ref="C182" authorId="0" shapeId="0">
      <text>
        <r>
          <rPr>
            <sz val="10"/>
            <color rgb="FF000000"/>
            <rFont val="Arial"/>
          </rPr>
          <t>1cl = 9.4003g</t>
        </r>
      </text>
    </comment>
    <comment ref="D182" authorId="0" shapeId="0">
      <text>
        <r>
          <rPr>
            <sz val="10"/>
            <color rgb="FF000000"/>
            <rFont val="Arial"/>
          </rPr>
          <t>Use Nitrogen conversion rate
(in this sheet: cell G411)</t>
        </r>
      </text>
    </comment>
    <comment ref="A185" authorId="0" shapeId="0">
      <text>
        <r>
          <rPr>
            <sz val="10"/>
            <color rgb="FF000000"/>
            <rFont val="Arial"/>
          </rPr>
          <t>(calculated based on whiskey)</t>
        </r>
      </text>
    </comment>
    <comment ref="B185" authorId="0" shapeId="0">
      <text>
        <r>
          <rPr>
            <sz val="10"/>
            <color rgb="FF000000"/>
            <rFont val="Arial"/>
          </rPr>
          <t>Gidon Correspondence</t>
        </r>
      </text>
    </comment>
    <comment ref="D185" authorId="0" shapeId="0">
      <text>
        <r>
          <rPr>
            <sz val="10"/>
            <color rgb="FF000000"/>
            <rFont val="Arial"/>
          </rPr>
          <t>80 proof Liquor Nr Needs calculations 
Eriksson, O., Jonsson, D., &amp; Hillman, K. (2016). Life cycle assessment of Swedish single malt whisky. Journal of Cleaner Production, 112, 229-237.</t>
        </r>
      </text>
    </comment>
    <comment ref="F185" authorId="0" shapeId="0">
      <text>
        <r>
          <rPr>
            <sz val="10"/>
            <color rgb="FF000000"/>
            <rFont val="Arial"/>
          </rPr>
          <t>.7kg/.7L = 1kg/L= 
0.1kgCO2eq/100g
CleanMetrics. (2020). "Malt Whiskey." Food Carbon Emissions Calculator. http://www.foodemissions.com/Calculator.</t>
        </r>
      </text>
    </comment>
    <comment ref="B191" authorId="0" shapeId="0">
      <text>
        <r>
          <rPr>
            <sz val="10"/>
            <color rgb="FF000000"/>
            <rFont val="Arial"/>
          </rPr>
          <t>1MT Valencia oranges
Figure 11.7a
Bates, R. P., Morris, J. R., &amp; Crandall, P. G. (2001). Practical aspects of citrus juice processing. Principles and practices of small-and medium-scale fruit juice procesing,. Rome, FAO Agricultural Services Bulletin, 146.</t>
        </r>
      </text>
    </comment>
    <comment ref="B192" authorId="0" shapeId="0">
      <text>
        <r>
          <rPr>
            <sz val="10"/>
            <color rgb="FF000000"/>
            <rFont val="Arial"/>
          </rPr>
          <t>Figure 11.7a
Bates, R. P., Morris, J. R., &amp; Crandall, P. G. (2001). Practical aspects of citrus juice processing. Principles and practices of small-and medium-scale fruit juice procesing,. Rome, FAO Agricultural Services Bulletin, 146.</t>
        </r>
      </text>
    </comment>
    <comment ref="E192" authorId="0" shapeId="0">
      <text>
        <r>
          <rPr>
            <sz val="10"/>
            <color rgb="FF000000"/>
            <rFont val="Arial"/>
          </rPr>
          <t>Mekonnen, M. M., &amp; Hoekstra, A. Y. (2011). "Orange juice." The green, blue and grey water footprint of crops and derived crop products.
highly comparable to the conversion rate for LU and Nr (0.0002079395085 m3/g)</t>
        </r>
      </text>
    </comment>
    <comment ref="F192" authorId="0" shapeId="0">
      <text>
        <r>
          <rPr>
            <sz val="10"/>
            <color rgb="FF000000"/>
            <rFont val="Arial"/>
          </rPr>
          <t>Keep database consistent: CleanMetrics. (2020). "Orange juice." Food Carbon Emissions Calculator. http://www.foodemissions.com/Calculator.</t>
        </r>
      </text>
    </comment>
    <comment ref="D199" authorId="0" shapeId="0">
      <text>
        <r>
          <rPr>
            <sz val="10"/>
            <color rgb="FF000000"/>
            <rFont val="Arial"/>
          </rPr>
          <t xml:space="preserve">https://nutritiondata.self.com/facts/vegetables-and-vegetable-products/2682/2
</t>
        </r>
      </text>
    </comment>
    <comment ref="E199" authorId="0" shapeId="0">
      <text>
        <r>
          <rPr>
            <sz val="10"/>
            <color rgb="FF000000"/>
            <rFont val="Arial"/>
          </rPr>
          <t xml:space="preserve">https://nutritiondata.self.com/facts/vegetables-and-vegetable-products/2682/2
</t>
        </r>
      </text>
    </comment>
    <comment ref="D201" authorId="0" shapeId="0">
      <text>
        <r>
          <rPr>
            <sz val="10"/>
            <color rgb="FF000000"/>
            <rFont val="Arial"/>
          </rPr>
          <t xml:space="preserve">https://nutritiondata.self.com/facts/vegetables-and-vegetable-products/2689/2
</t>
        </r>
      </text>
    </comment>
    <comment ref="E201" authorId="0" shapeId="0">
      <text>
        <r>
          <rPr>
            <sz val="10"/>
            <color rgb="FF000000"/>
            <rFont val="Arial"/>
          </rPr>
          <t xml:space="preserve">https://nutritiondata.self.com/facts/vegetables-and-vegetable-products/2689/2
</t>
        </r>
      </text>
    </comment>
  </commentList>
</comments>
</file>

<file path=xl/comments4.xml><?xml version="1.0" encoding="utf-8"?>
<comments xmlns="http://schemas.openxmlformats.org/spreadsheetml/2006/main">
  <authors>
    <author/>
  </authors>
  <commentList>
    <comment ref="Y27" authorId="0" shapeId="0">
      <text>
        <r>
          <rPr>
            <sz val="10"/>
            <color rgb="FF000000"/>
            <rFont val="Arial"/>
          </rPr>
          <t>use these GHGEs instead!</t>
        </r>
      </text>
    </comment>
    <comment ref="S30" authorId="0" shapeId="0">
      <text>
        <r>
          <rPr>
            <sz val="10"/>
            <color rgb="FF000000"/>
            <rFont val="Arial"/>
          </rPr>
          <t>Marie search:
&lt;https://nutritiondata.self.com/facts/dairy-and-egg-products/8/2&gt; "Cheese, cheddar":
Energy: 403.03kcal/100g
Fat: 33.1g/100g
Protein: 24.9g/100g
&lt;https://nutritiondata.self.com/facts/dairy-and-egg-products/69/2&gt; "Milk, whole, 3.25% milkfat"
Energy: 59.8kcal/100g
Fat: 3.2g/100g
Protein: 3.2g/100g
24.9/3.2 = 7.7 ≈ 8</t>
        </r>
      </text>
    </comment>
    <comment ref="BD60" authorId="0" shapeId="0">
      <text>
        <r>
          <rPr>
            <sz val="10"/>
            <color rgb="FF000000"/>
            <rFont val="Arial"/>
          </rPr>
          <t>Robinson (2018)  
A life cycle assessment of Agaricus bisporus mushroom production in the USA</t>
        </r>
      </text>
    </comment>
    <comment ref="C95" authorId="0" shapeId="0">
      <text>
        <r>
          <rPr>
            <sz val="10"/>
            <color rgb="FF000000"/>
            <rFont val="Arial"/>
          </rPr>
          <t>Land/NR: MAD = reference document "soybeans mature seeds dry rstd"
These values correlate row 167 in FFQ variable names joint.xlsx</t>
        </r>
      </text>
    </comment>
  </commentList>
</comments>
</file>

<file path=xl/comments5.xml><?xml version="1.0" encoding="utf-8"?>
<comments xmlns="http://schemas.openxmlformats.org/spreadsheetml/2006/main">
  <authors>
    <author/>
  </authors>
  <commentList>
    <comment ref="D18" authorId="0" shapeId="0">
      <text>
        <r>
          <rPr>
            <sz val="10"/>
            <color rgb="FF000000"/>
            <rFont val="Arial"/>
          </rPr>
          <t>*Substituted skim milk environmental attributes because cell P18 describes this category as a list of ingredients, including skim milk as the first ingredient.  Of this list, we only have environmental attributes for skim milk, so these are the environmental attributes we're using.</t>
        </r>
      </text>
    </comment>
    <comment ref="D293" authorId="0" shapeId="0">
      <text>
        <r>
          <rPr>
            <sz val="10"/>
            <color rgb="FF000000"/>
            <rFont val="Arial"/>
          </rPr>
          <t>Many of the soybean ingredients are not combined because they make up such a large portion of the recipe that conversion rates may play a more notable role than in other recipes.</t>
        </r>
      </text>
    </comment>
    <comment ref="D480" authorId="0" shapeId="0">
      <text>
        <r>
          <rPr>
            <sz val="10"/>
            <color rgb="FF000000"/>
            <rFont val="Arial"/>
          </rPr>
          <t xml:space="preserve">
</t>
        </r>
      </text>
    </comment>
    <comment ref="G947" authorId="0" shapeId="0">
      <text>
        <r>
          <rPr>
            <sz val="10"/>
            <color rgb="FF000000"/>
            <rFont val="Arial"/>
          </rPr>
          <t>Mekonnen-Hoekstra, The green, blue and grey water footprint of crops; 2011; pg 1585;  average of all rice values</t>
        </r>
      </text>
    </comment>
    <comment ref="G1127" authorId="0" shapeId="0">
      <text>
        <r>
          <rPr>
            <sz val="10"/>
            <color rgb="FF000000"/>
            <rFont val="Arial"/>
          </rPr>
          <t>Mekonnen-Hoekstra, The green, blue and grey water footprint of crops; 2011; pg 1587; "Cotton-seed oil, refined"</t>
        </r>
      </text>
    </comment>
    <comment ref="E1510" authorId="0" shapeId="0">
      <text>
        <r>
          <rPr>
            <sz val="10"/>
            <color rgb="FF000000"/>
            <rFont val="Arial"/>
          </rPr>
          <t>already converted to 1g in denominator</t>
        </r>
      </text>
    </comment>
    <comment ref="F1510" authorId="0" shapeId="0">
      <text>
        <r>
          <rPr>
            <sz val="10"/>
            <color rgb="FF000000"/>
            <rFont val="Arial"/>
          </rPr>
          <t>already converted to 1g in denominator</t>
        </r>
      </text>
    </comment>
    <comment ref="G1510" authorId="0" shapeId="0">
      <text>
        <r>
          <rPr>
            <sz val="10"/>
            <color rgb="FF000000"/>
            <rFont val="Arial"/>
          </rPr>
          <t>already converted to 1g in denominator</t>
        </r>
      </text>
    </comment>
    <comment ref="H1510" authorId="0" shapeId="0">
      <text>
        <r>
          <rPr>
            <sz val="10"/>
            <color rgb="FF000000"/>
            <rFont val="Arial"/>
          </rPr>
          <t>already converted to 1g in denominator</t>
        </r>
      </text>
    </comment>
  </commentList>
</comments>
</file>

<file path=xl/comments6.xml><?xml version="1.0" encoding="utf-8"?>
<comments xmlns="http://schemas.openxmlformats.org/spreadsheetml/2006/main">
  <authors>
    <author/>
  </authors>
  <commentList>
    <comment ref="A1" authorId="0" shapeId="0">
      <text>
        <r>
          <rPr>
            <sz val="10"/>
            <color rgb="FF000000"/>
            <rFont val="Arial"/>
          </rPr>
          <t>Row 1 provides the references for the data collected</t>
        </r>
      </text>
    </comment>
    <comment ref="AD3" authorId="0" shapeId="0">
      <text>
        <r>
          <rPr>
            <sz val="10"/>
            <color rgb="FF000000"/>
            <rFont val="Arial"/>
          </rPr>
          <t>ENV values from additional calculations AD-AJ</t>
        </r>
      </text>
    </comment>
    <comment ref="AD6" authorId="0" shapeId="0">
      <text>
        <r>
          <rPr>
            <sz val="10"/>
            <color rgb="FF000000"/>
            <rFont val="Arial"/>
          </rPr>
          <t>Additional Calculations sheet</t>
        </r>
      </text>
    </comment>
    <comment ref="Y12" authorId="0" shapeId="0">
      <text>
        <r>
          <rPr>
            <sz val="10"/>
            <color rgb="FF000000"/>
            <rFont val="Arial"/>
          </rPr>
          <t>miscellaneous calculation</t>
        </r>
      </text>
    </comment>
    <comment ref="AB18" authorId="0" shapeId="0">
      <text>
        <r>
          <rPr>
            <sz val="10"/>
            <color rgb="FF000000"/>
            <rFont val="Arial"/>
          </rPr>
          <t>*Substituted skim milk environmental attributes because cell P18 describes this category as a list of ingredients, including skim milk as the first ingredient.  Of this list, we only have environmental attributes for skim milk, so these are the environmental attributes we're using.</t>
        </r>
      </text>
    </comment>
    <comment ref="AD36" authorId="0" shapeId="0">
      <text>
        <r>
          <rPr>
            <sz val="10"/>
            <color rgb="FF000000"/>
            <rFont val="Arial"/>
          </rPr>
          <t>ENV values from additional calculations AD-AJ</t>
        </r>
      </text>
    </comment>
    <comment ref="AD57" authorId="0" shapeId="0">
      <text>
        <r>
          <rPr>
            <sz val="10"/>
            <color rgb="FF000000"/>
            <rFont val="Arial"/>
          </rPr>
          <t>Additional Calculations</t>
        </r>
      </text>
    </comment>
    <comment ref="AD68" authorId="0" shapeId="0">
      <text>
        <r>
          <rPr>
            <sz val="10"/>
            <color rgb="FF000000"/>
            <rFont val="Arial"/>
          </rPr>
          <t>ENV values from additional calculations AD-AJ</t>
        </r>
      </text>
    </comment>
    <comment ref="AD69" authorId="0" shapeId="0">
      <text>
        <r>
          <rPr>
            <sz val="10"/>
            <color rgb="FF000000"/>
            <rFont val="Arial"/>
          </rPr>
          <t>Additional Calculations sheet</t>
        </r>
      </text>
    </comment>
    <comment ref="AD72" authorId="0" shapeId="0">
      <text>
        <r>
          <rPr>
            <sz val="10"/>
            <color rgb="FF000000"/>
            <rFont val="Arial"/>
          </rPr>
          <t>Additional Calculations sheet</t>
        </r>
      </text>
    </comment>
    <comment ref="AC87" authorId="0" shapeId="0">
      <text>
        <r>
          <rPr>
            <sz val="10"/>
            <color rgb="FF000000"/>
            <rFont val="Arial"/>
          </rPr>
          <t>Additional Calculations sheet</t>
        </r>
      </text>
    </comment>
    <comment ref="AD119" authorId="0" shapeId="0">
      <text>
        <r>
          <rPr>
            <sz val="10"/>
            <color rgb="FF000000"/>
            <rFont val="Arial"/>
          </rPr>
          <t>Additional Calculations sheet</t>
        </r>
      </text>
    </comment>
    <comment ref="Z152" authorId="0" shapeId="0">
      <text>
        <r>
          <rPr>
            <sz val="10"/>
            <color rgb="FF000000"/>
            <rFont val="Arial"/>
          </rPr>
          <t>miscellaneous calculation</t>
        </r>
      </text>
    </comment>
    <comment ref="AD167" authorId="0" shapeId="0">
      <text>
        <r>
          <rPr>
            <sz val="10"/>
            <color rgb="FF000000"/>
            <rFont val="Arial"/>
          </rPr>
          <t>Additional Calculations</t>
        </r>
      </text>
    </comment>
    <comment ref="AD168" authorId="0" shapeId="0">
      <text>
        <r>
          <rPr>
            <sz val="10"/>
            <color rgb="FF000000"/>
            <rFont val="Arial"/>
          </rPr>
          <t>ENV values from additional calculations AD-AJ</t>
        </r>
      </text>
    </comment>
    <comment ref="AD169" authorId="0" shapeId="0">
      <text>
        <r>
          <rPr>
            <sz val="10"/>
            <color rgb="FF000000"/>
            <rFont val="Arial"/>
          </rPr>
          <t>Additional Calculations sheet</t>
        </r>
      </text>
    </comment>
    <comment ref="AD173" authorId="0" shapeId="0">
      <text>
        <r>
          <rPr>
            <sz val="10"/>
            <color rgb="FF000000"/>
            <rFont val="Arial"/>
          </rPr>
          <t>ENV values from additional calculations AD-AJ</t>
        </r>
      </text>
    </comment>
    <comment ref="Z174" authorId="0" shapeId="0">
      <text>
        <r>
          <rPr>
            <sz val="10"/>
            <color rgb="FF000000"/>
            <rFont val="Arial"/>
          </rPr>
          <t>miscellaneous calculation</t>
        </r>
      </text>
    </comment>
    <comment ref="AD175" authorId="0" shapeId="0">
      <text>
        <r>
          <rPr>
            <sz val="10"/>
            <color rgb="FF000000"/>
            <rFont val="Arial"/>
          </rPr>
          <t>Additional Calculations</t>
        </r>
      </text>
    </comment>
    <comment ref="Y176" authorId="0" shapeId="0">
      <text>
        <r>
          <rPr>
            <sz val="10"/>
            <color rgb="FF000000"/>
            <rFont val="Arial"/>
          </rPr>
          <t>Includes all fruits</t>
        </r>
      </text>
    </comment>
    <comment ref="AD180" authorId="0" shapeId="0">
      <text>
        <r>
          <rPr>
            <sz val="10"/>
            <color rgb="FF000000"/>
            <rFont val="Arial"/>
          </rPr>
          <t>ENV values from additional calculations AD-AJ</t>
        </r>
      </text>
    </comment>
    <comment ref="AD194" authorId="0" shapeId="0">
      <text>
        <r>
          <rPr>
            <sz val="10"/>
            <color rgb="FF000000"/>
            <rFont val="Arial"/>
          </rPr>
          <t>ENV values from additional calculations AD-AJ</t>
        </r>
      </text>
    </comment>
    <comment ref="AC211" authorId="0" shapeId="0">
      <text>
        <r>
          <rPr>
            <sz val="10"/>
            <color rgb="FF000000"/>
            <rFont val="Arial"/>
          </rPr>
          <t>Additional Calculations sheet</t>
        </r>
      </text>
    </comment>
    <comment ref="Y214" authorId="0" shapeId="0">
      <text>
        <r>
          <rPr>
            <sz val="10"/>
            <color rgb="FF000000"/>
            <rFont val="Arial"/>
          </rPr>
          <t>Includes all fruits</t>
        </r>
      </text>
    </comment>
    <comment ref="Y222" authorId="0" shapeId="0">
      <text>
        <r>
          <rPr>
            <sz val="10"/>
            <color rgb="FF000000"/>
            <rFont val="Arial"/>
          </rPr>
          <t>Includes all fruits</t>
        </r>
      </text>
    </comment>
    <comment ref="AD229" authorId="0" shapeId="0">
      <text>
        <r>
          <rPr>
            <sz val="10"/>
            <color rgb="FF000000"/>
            <rFont val="Arial"/>
          </rPr>
          <t xml:space="preserve">Additional Calculations sheet: Plum
</t>
        </r>
      </text>
    </comment>
    <comment ref="Y237" authorId="0" shapeId="0">
      <text>
        <r>
          <rPr>
            <sz val="10"/>
            <color rgb="FF000000"/>
            <rFont val="Arial"/>
          </rPr>
          <t>Combined these vegetables because they make up such a large proportion of the recipe AND Gidon's spreadsheet accounts for "mixed vegetables"</t>
        </r>
      </text>
    </comment>
    <comment ref="AB293" authorId="0" shapeId="0">
      <text>
        <r>
          <rPr>
            <sz val="10"/>
            <color rgb="FF000000"/>
            <rFont val="Arial"/>
          </rPr>
          <t>Many of the soybean ingredients are not combined because they make up such a large portion of the recipe that conversion rates may play a more notable role than in other recipes.</t>
        </r>
      </text>
    </comment>
    <comment ref="R295" authorId="0" shapeId="0">
      <text>
        <r>
          <rPr>
            <sz val="10"/>
            <color rgb="FF000000"/>
            <rFont val="Arial"/>
          </rPr>
          <t>v8 makes up 2% of the recipe; reference Rows 238-246</t>
        </r>
      </text>
    </comment>
    <comment ref="R310" authorId="0" shapeId="0">
      <text>
        <r>
          <rPr>
            <sz val="10"/>
            <color rgb="FF000000"/>
            <rFont val="Arial"/>
          </rPr>
          <t xml:space="preserve">soy.sce makes up 1% of the soy.burger recipe
</t>
        </r>
      </text>
    </comment>
    <comment ref="P320" authorId="0" shapeId="0">
      <text>
        <r>
          <rPr>
            <sz val="10"/>
            <color rgb="FF000000"/>
            <rFont val="Arial"/>
          </rPr>
          <t>Here, "tofu" seems to be regarded as a raw ingredient by NHS dietitians because there is no additional recipe data for tofu as an FC item</t>
        </r>
      </text>
    </comment>
    <comment ref="W320" authorId="0" shapeId="0">
      <text>
        <r>
          <rPr>
            <sz val="10"/>
            <color rgb="FF000000"/>
            <rFont val="Arial"/>
          </rPr>
          <t>likely soybeans plus water based on recipes.foods.10_11 description: 
tofu&lt;dry-ratio&gt;:uflav,uanth,upro
soy.bn.raw</t>
        </r>
      </text>
    </comment>
    <comment ref="Y328" authorId="0" shapeId="0">
      <text>
        <r>
          <rPr>
            <sz val="10"/>
            <color rgb="FF000000"/>
            <rFont val="Arial"/>
          </rPr>
          <t>did not combine carrots and onions because together, they barely meet the 5% criteria, and the FFQ item regards cabbage (an otherwise raw ingredient)</t>
        </r>
      </text>
    </comment>
    <comment ref="R330" authorId="0" shapeId="0">
      <text>
        <r>
          <rPr>
            <sz val="10"/>
            <color rgb="FF000000"/>
            <rFont val="Arial"/>
          </rPr>
          <t>mayo FC item is 12% total</t>
        </r>
      </text>
    </comment>
    <comment ref="S330" authorId="0" shapeId="0">
      <text>
        <r>
          <rPr>
            <sz val="10"/>
            <color rgb="FF000000"/>
            <rFont val="Arial"/>
          </rPr>
          <t>mayo FC item is 4.1976g total</t>
        </r>
      </text>
    </comment>
    <comment ref="S331" authorId="0" shapeId="0">
      <text>
        <r>
          <rPr>
            <sz val="10"/>
            <color rgb="FF000000"/>
            <rFont val="Arial"/>
          </rPr>
          <t>mayo FC item is 4.1976g total</t>
        </r>
      </text>
    </comment>
    <comment ref="S332" authorId="0" shapeId="0">
      <text>
        <r>
          <rPr>
            <sz val="10"/>
            <color rgb="FF000000"/>
            <rFont val="Arial"/>
          </rPr>
          <t>mayo FC item is 4.1976g total</t>
        </r>
      </text>
    </comment>
    <comment ref="S333" authorId="0" shapeId="0">
      <text>
        <r>
          <rPr>
            <sz val="10"/>
            <color rgb="FF000000"/>
            <rFont val="Arial"/>
          </rPr>
          <t>mayo FC item is 4.1976g total</t>
        </r>
      </text>
    </comment>
    <comment ref="Y448" authorId="0" shapeId="0">
      <text>
        <r>
          <rPr>
            <sz val="10"/>
            <color rgb="FF000000"/>
            <rFont val="Arial"/>
          </rPr>
          <t xml:space="preserve">miscellaneous calculation
</t>
        </r>
      </text>
    </comment>
    <comment ref="Y462" authorId="0" shapeId="0">
      <text>
        <r>
          <rPr>
            <sz val="10"/>
            <color rgb="FF000000"/>
            <rFont val="Arial"/>
          </rPr>
          <t>miscellaneous calculation</t>
        </r>
      </text>
    </comment>
    <comment ref="AD463" authorId="0" shapeId="0">
      <text>
        <r>
          <rPr>
            <sz val="10"/>
            <color rgb="FF000000"/>
            <rFont val="Arial"/>
          </rPr>
          <t xml:space="preserve">Referencing AD 464 "Cell in Gidon's doc" in NHS2-2011 sheet. </t>
        </r>
      </text>
    </comment>
    <comment ref="K466" authorId="0" shapeId="0">
      <text>
        <r>
          <rPr>
            <sz val="10"/>
            <color rgb="FF000000"/>
            <rFont val="Arial"/>
          </rPr>
          <t>together they add up to 101%, so adjusted for 100</t>
        </r>
      </text>
    </comment>
    <comment ref="T475" authorId="0" shapeId="0">
      <text>
        <r>
          <rPr>
            <sz val="10"/>
            <color rgb="FF000000"/>
            <rFont val="Arial"/>
          </rPr>
          <t xml:space="preserve">we don't double restrict for water (already restricted in tom.s recipe)
</t>
        </r>
      </text>
    </comment>
    <comment ref="R476" authorId="0" shapeId="0">
      <text>
        <r>
          <rPr>
            <sz val="10"/>
            <color rgb="FF000000"/>
            <rFont val="Arial"/>
          </rPr>
          <t xml:space="preserve">together tom.s made up 10% of sardine.pac
</t>
        </r>
      </text>
    </comment>
    <comment ref="Z479" authorId="0" shapeId="0">
      <text>
        <r>
          <rPr>
            <sz val="10"/>
            <color rgb="FF000000"/>
            <rFont val="Arial"/>
          </rPr>
          <t>miscellaneous calculation</t>
        </r>
      </text>
    </comment>
    <comment ref="AB480" authorId="0" shapeId="0">
      <text>
        <r>
          <rPr>
            <sz val="10"/>
            <color rgb="FF000000"/>
            <rFont val="Arial"/>
          </rPr>
          <t xml:space="preserve">
</t>
        </r>
      </text>
    </comment>
    <comment ref="K487" authorId="0" shapeId="0">
      <text>
        <r>
          <rPr>
            <sz val="10"/>
            <color rgb="FF000000"/>
            <rFont val="Arial"/>
          </rPr>
          <t xml:space="preserve">originally added up to 99%, adjusted each for 100% total
</t>
        </r>
      </text>
    </comment>
    <comment ref="I542" authorId="0" shapeId="0">
      <text>
        <r>
          <rPr>
            <sz val="10"/>
            <color rgb="FF000000"/>
            <rFont val="Arial"/>
          </rPr>
          <t>these oat11d fc items look like recipes instead of types, others aren't like this</t>
        </r>
      </text>
    </comment>
    <comment ref="Z557" authorId="0" shapeId="0">
      <text>
        <r>
          <rPr>
            <sz val="10"/>
            <color rgb="FF000000"/>
            <rFont val="Arial"/>
          </rPr>
          <t>miscellaneous calculation</t>
        </r>
      </text>
    </comment>
    <comment ref="AD565" authorId="0" shapeId="0">
      <text>
        <r>
          <rPr>
            <sz val="10"/>
            <color rgb="FF000000"/>
            <rFont val="Arial"/>
          </rPr>
          <t>ENV values from additional calculations AD-AJ</t>
        </r>
      </text>
    </comment>
    <comment ref="AD574" authorId="0" shapeId="0">
      <text>
        <r>
          <rPr>
            <sz val="10"/>
            <color rgb="FF000000"/>
            <rFont val="Arial"/>
          </rPr>
          <t>Additional Calculations sheet</t>
        </r>
      </text>
    </comment>
    <comment ref="AD748" authorId="0" shapeId="0">
      <text>
        <r>
          <rPr>
            <sz val="10"/>
            <color rgb="FF000000"/>
            <rFont val="Arial"/>
          </rPr>
          <t>ENV values from additional calculations AD-AJ</t>
        </r>
      </text>
    </comment>
    <comment ref="AD774" authorId="0" shapeId="0">
      <text>
        <r>
          <rPr>
            <sz val="10"/>
            <color rgb="FF000000"/>
            <rFont val="Arial"/>
          </rPr>
          <t>Additional Calculations sheet</t>
        </r>
      </text>
    </comment>
    <comment ref="AC792" authorId="0" shapeId="0">
      <text>
        <r>
          <rPr>
            <sz val="10"/>
            <color rgb="FF000000"/>
            <rFont val="Arial"/>
          </rPr>
          <t>Additional Calculations sheet</t>
        </r>
      </text>
    </comment>
    <comment ref="AD845" authorId="0" shapeId="0">
      <text>
        <r>
          <rPr>
            <sz val="10"/>
            <color rgb="FF000000"/>
            <rFont val="Arial"/>
          </rPr>
          <t>Additional Calculations sheet</t>
        </r>
      </text>
    </comment>
    <comment ref="AD857" authorId="0" shapeId="0">
      <text>
        <r>
          <rPr>
            <sz val="10"/>
            <color rgb="FF000000"/>
            <rFont val="Arial"/>
          </rPr>
          <t>Additional Calculations sheet</t>
        </r>
      </text>
    </comment>
    <comment ref="AD864" authorId="0" shapeId="0">
      <text>
        <r>
          <rPr>
            <sz val="10"/>
            <color rgb="FF000000"/>
            <rFont val="Arial"/>
          </rPr>
          <t>ENV values from additional calculations AD-AJ</t>
        </r>
      </text>
    </comment>
    <comment ref="AD865" authorId="0" shapeId="0">
      <text>
        <r>
          <rPr>
            <sz val="10"/>
            <color rgb="FF000000"/>
            <rFont val="Arial"/>
          </rPr>
          <t>ENV values from additional calculations AD-AJ</t>
        </r>
      </text>
    </comment>
    <comment ref="AD877" authorId="0" shapeId="0">
      <text>
        <r>
          <rPr>
            <sz val="10"/>
            <color rgb="FF000000"/>
            <rFont val="Arial"/>
          </rPr>
          <t>ENV values from additional calculations AD-AJ</t>
        </r>
      </text>
    </comment>
    <comment ref="AD880" authorId="0" shapeId="0">
      <text>
        <r>
          <rPr>
            <sz val="10"/>
            <color rgb="FF000000"/>
            <rFont val="Arial"/>
          </rPr>
          <t>ENV values from additional calculations AD-AJ</t>
        </r>
      </text>
    </comment>
    <comment ref="AD881" authorId="0" shapeId="0">
      <text>
        <r>
          <rPr>
            <sz val="10"/>
            <color rgb="FF000000"/>
            <rFont val="Arial"/>
          </rPr>
          <t>ENV values from additional calculations AD-AJ</t>
        </r>
      </text>
    </comment>
    <comment ref="AC898" authorId="0" shapeId="0">
      <text>
        <r>
          <rPr>
            <sz val="10"/>
            <color rgb="FF000000"/>
            <rFont val="Arial"/>
          </rPr>
          <t>Additional Calculations sheet</t>
        </r>
      </text>
    </comment>
    <comment ref="AD901" authorId="0" shapeId="0">
      <text>
        <r>
          <rPr>
            <sz val="10"/>
            <color rgb="FF000000"/>
            <rFont val="Arial"/>
          </rPr>
          <t>Additional Calculations sheet</t>
        </r>
      </text>
    </comment>
    <comment ref="AC911" authorId="0" shapeId="0">
      <text>
        <r>
          <rPr>
            <sz val="10"/>
            <color rgb="FF000000"/>
            <rFont val="Arial"/>
          </rPr>
          <t>Additional Calculations sheet</t>
        </r>
      </text>
    </comment>
    <comment ref="AG947" authorId="0" shapeId="0">
      <text>
        <r>
          <rPr>
            <sz val="10"/>
            <color rgb="FF000000"/>
            <rFont val="Arial"/>
          </rPr>
          <t>Mekonnen-Hoekstra, The green, blue and grey water footprint of crops; 2011; pg 1585;  average of all rice values</t>
        </r>
      </text>
    </comment>
    <comment ref="AD952" authorId="0" shapeId="0">
      <text>
        <r>
          <rPr>
            <sz val="10"/>
            <color rgb="FF000000"/>
            <rFont val="Arial"/>
          </rPr>
          <t>Additional Calculations sheet</t>
        </r>
      </text>
    </comment>
    <comment ref="AC953" authorId="0" shapeId="0">
      <text>
        <r>
          <rPr>
            <sz val="10"/>
            <color rgb="FF000000"/>
            <rFont val="Arial"/>
          </rPr>
          <t>Additional Calculations sheet</t>
        </r>
      </text>
    </comment>
    <comment ref="AC964" authorId="0" shapeId="0">
      <text>
        <r>
          <rPr>
            <sz val="10"/>
            <color rgb="FF000000"/>
            <rFont val="Arial"/>
          </rPr>
          <t>Additional Calculations sheet</t>
        </r>
      </text>
    </comment>
    <comment ref="AD969" authorId="0" shapeId="0">
      <text>
        <r>
          <rPr>
            <sz val="10"/>
            <color rgb="FF000000"/>
            <rFont val="Arial"/>
          </rPr>
          <t>ENV values from additional calculations AD-AJ</t>
        </r>
      </text>
    </comment>
    <comment ref="AD987" authorId="0" shapeId="0">
      <text>
        <r>
          <rPr>
            <sz val="10"/>
            <color rgb="FF000000"/>
            <rFont val="Arial"/>
          </rPr>
          <t>Additional Calculations sheet</t>
        </r>
      </text>
    </comment>
    <comment ref="AD988" authorId="0" shapeId="0">
      <text>
        <r>
          <rPr>
            <sz val="10"/>
            <color rgb="FF000000"/>
            <rFont val="Arial"/>
          </rPr>
          <t>ENV values from additional calculations AD-AJ</t>
        </r>
      </text>
    </comment>
    <comment ref="AD992" authorId="0" shapeId="0">
      <text>
        <r>
          <rPr>
            <sz val="10"/>
            <color rgb="FF000000"/>
            <rFont val="Arial"/>
          </rPr>
          <t>ENV values from additional calculations AD-AJ</t>
        </r>
      </text>
    </comment>
    <comment ref="AD993" authorId="0" shapeId="0">
      <text>
        <r>
          <rPr>
            <sz val="10"/>
            <color rgb="FF000000"/>
            <rFont val="Arial"/>
          </rPr>
          <t>ENV values from additional calculations AD-AJ</t>
        </r>
      </text>
    </comment>
    <comment ref="AD995" authorId="0" shapeId="0">
      <text>
        <r>
          <rPr>
            <sz val="10"/>
            <color rgb="FF000000"/>
            <rFont val="Arial"/>
          </rPr>
          <t>ENV values from additional calculations AD-AJ</t>
        </r>
      </text>
    </comment>
    <comment ref="R1000" authorId="0" shapeId="0">
      <text>
        <r>
          <rPr>
            <sz val="10"/>
            <color rgb="FF000000"/>
            <rFont val="Arial"/>
          </rPr>
          <t>tom.s makes up 27.75% of recipe</t>
        </r>
      </text>
    </comment>
    <comment ref="V1000" authorId="0" shapeId="0">
      <text>
        <r>
          <rPr>
            <sz val="10"/>
            <color rgb="FF000000"/>
            <rFont val="Arial"/>
          </rPr>
          <t>water already restricted in tom.s recipe so not doubly restricted</t>
        </r>
      </text>
    </comment>
    <comment ref="X1029" authorId="0" shapeId="0">
      <text>
        <r>
          <rPr>
            <sz val="10"/>
            <color rgb="FF000000"/>
            <rFont val="Arial"/>
          </rPr>
          <t>entire recipe is restricted for water, leaving no other ingredients equalling the recipe's 31%.  This generates an unusual final recipe calculation.</t>
        </r>
      </text>
    </comment>
    <comment ref="AC1047" authorId="0" shapeId="0">
      <text>
        <r>
          <rPr>
            <sz val="10"/>
            <color rgb="FF000000"/>
            <rFont val="Arial"/>
          </rPr>
          <t>Scaled by caloric ratio of "whipped cream, pressurized" to "fluid, light whipping cream"
(154/60)/(350/120)= 0.88
http://nutritiondata.self.com/facts/dairy-and-egg-products/52/2
&amp;
http://nutritiondata.self.com/facts/dairy-and-egg-products/50/2</t>
        </r>
      </text>
    </comment>
    <comment ref="R1082" authorId="0" shapeId="0">
      <text>
        <r>
          <rPr>
            <sz val="10"/>
            <color rgb="FF000000"/>
            <rFont val="Arial"/>
          </rPr>
          <t>short.ph.sb made up 5.3% of recipe</t>
        </r>
      </text>
    </comment>
    <comment ref="R1126" authorId="0" shapeId="0">
      <text>
        <r>
          <rPr>
            <sz val="10"/>
            <color rgb="FF000000"/>
            <rFont val="Arial"/>
          </rPr>
          <t>sb.cs.ph made up 6% of recipe</t>
        </r>
      </text>
    </comment>
    <comment ref="AG1127" authorId="0" shapeId="0">
      <text>
        <r>
          <rPr>
            <sz val="10"/>
            <color rgb="FF000000"/>
            <rFont val="Arial"/>
          </rPr>
          <t>Mekonnen-Hoekstra, The green, blue and grey water footprint of crops; 2011; pg 1587; "Cotton-seed oil, refined"</t>
        </r>
      </text>
    </comment>
    <comment ref="R1140" authorId="0" shapeId="0">
      <text>
        <r>
          <rPr>
            <sz val="10"/>
            <color rgb="FF000000"/>
            <rFont val="Arial"/>
          </rPr>
          <t>sb.cs.ph made up 2% of recipe</t>
        </r>
      </text>
    </comment>
    <comment ref="R1186" authorId="0" shapeId="0">
      <text>
        <r>
          <rPr>
            <sz val="10"/>
            <color rgb="FF000000"/>
            <rFont val="Arial"/>
          </rPr>
          <t xml:space="preserve">short.ph.sb made up 5.3%
</t>
        </r>
      </text>
    </comment>
    <comment ref="R1208" authorId="0" shapeId="0">
      <text>
        <r>
          <rPr>
            <sz val="10"/>
            <color rgb="FF000000"/>
            <rFont val="Arial"/>
          </rPr>
          <t>sb.cs.ph made up 2%</t>
        </r>
      </text>
    </comment>
    <comment ref="AD1212" authorId="0" shapeId="0">
      <text>
        <r>
          <rPr>
            <sz val="10"/>
            <color rgb="FF000000"/>
            <rFont val="Arial"/>
          </rPr>
          <t>ENV values from additional calculations AD-AJ</t>
        </r>
      </text>
    </comment>
    <comment ref="AD1222" authorId="0" shapeId="0">
      <text>
        <r>
          <rPr>
            <sz val="10"/>
            <color rgb="FF000000"/>
            <rFont val="Arial"/>
          </rPr>
          <t>Additional Calculations sheet</t>
        </r>
      </text>
    </comment>
    <comment ref="R1226" authorId="0" shapeId="0">
      <text>
        <r>
          <rPr>
            <sz val="10"/>
            <color rgb="FF000000"/>
            <rFont val="Arial"/>
          </rPr>
          <t>sb.cs.ph made up .1%</t>
        </r>
      </text>
    </comment>
    <comment ref="R1233" authorId="0" shapeId="0">
      <text>
        <r>
          <rPr>
            <sz val="10"/>
            <color rgb="FF000000"/>
            <rFont val="Arial"/>
          </rPr>
          <t xml:space="preserve">frost made up 16% of the recipe as a single ingredient
</t>
        </r>
      </text>
    </comment>
    <comment ref="AD1243" authorId="0" shapeId="0">
      <text>
        <r>
          <rPr>
            <sz val="10"/>
            <color rgb="FF000000"/>
            <rFont val="Arial"/>
          </rPr>
          <t>ENV values from additional calculations AD-AJ</t>
        </r>
      </text>
    </comment>
    <comment ref="R1246" authorId="0" shapeId="0">
      <text>
        <r>
          <rPr>
            <sz val="10"/>
            <color rgb="FF000000"/>
            <rFont val="Arial"/>
          </rPr>
          <t>sb.cs.ph made up 3.5% of recipe as single ingredient</t>
        </r>
      </text>
    </comment>
    <comment ref="AD1259" authorId="0" shapeId="0">
      <text>
        <r>
          <rPr>
            <sz val="10"/>
            <color rgb="FF000000"/>
            <rFont val="Arial"/>
          </rPr>
          <t>Additional Calculations sheet</t>
        </r>
      </text>
    </comment>
    <comment ref="R1275" authorId="0" shapeId="0">
      <text>
        <r>
          <rPr>
            <sz val="10"/>
            <color rgb="FF000000"/>
            <rFont val="Arial"/>
          </rPr>
          <t xml:space="preserve">sb.cs.ph made up 5% as a single ingredient
</t>
        </r>
      </text>
    </comment>
    <comment ref="R1280" authorId="0" shapeId="0">
      <text>
        <r>
          <rPr>
            <sz val="10"/>
            <color rgb="FF000000"/>
            <rFont val="Arial"/>
          </rPr>
          <t xml:space="preserve">short made up 2% of the recipe as a single ingredient
</t>
        </r>
      </text>
    </comment>
    <comment ref="AD1331" authorId="0" shapeId="0">
      <text>
        <r>
          <rPr>
            <sz val="10"/>
            <color rgb="FF000000"/>
            <rFont val="Arial"/>
          </rPr>
          <t>ENV values from additional calculations AD-AJ</t>
        </r>
      </text>
    </comment>
    <comment ref="AD1332" authorId="0" shapeId="0">
      <text>
        <r>
          <rPr>
            <sz val="10"/>
            <color rgb="FF000000"/>
            <rFont val="Arial"/>
          </rPr>
          <t>ENV values from additional calculations AD-AJ</t>
        </r>
      </text>
    </comment>
    <comment ref="R1347" authorId="0" shapeId="0">
      <text>
        <r>
          <rPr>
            <sz val="10"/>
            <color rgb="FF000000"/>
            <rFont val="Arial"/>
          </rPr>
          <t xml:space="preserve">sb.cs.ph made up 5% of the recipe as a single ingredient
</t>
        </r>
      </text>
    </comment>
    <comment ref="AD1352" authorId="0" shapeId="0">
      <text>
        <r>
          <rPr>
            <sz val="10"/>
            <color rgb="FF000000"/>
            <rFont val="Arial"/>
          </rPr>
          <t>ENV values from additional calculations AD-AJ</t>
        </r>
      </text>
    </comment>
    <comment ref="AD1365" authorId="0" shapeId="0">
      <text>
        <r>
          <rPr>
            <sz val="10"/>
            <color rgb="FF000000"/>
            <rFont val="Arial"/>
          </rPr>
          <t xml:space="preserve">ENV values from additional calculations AD-AJ
</t>
        </r>
      </text>
    </comment>
    <comment ref="AD1366" authorId="0" shapeId="0">
      <text>
        <r>
          <rPr>
            <sz val="10"/>
            <color rgb="FF000000"/>
            <rFont val="Arial"/>
          </rPr>
          <t>ENV values from additional calculations AD-AJ</t>
        </r>
      </text>
    </comment>
    <comment ref="R1380" authorId="0" shapeId="0">
      <text>
        <r>
          <rPr>
            <sz val="10"/>
            <color rgb="FF000000"/>
            <rFont val="Arial"/>
          </rPr>
          <t xml:space="preserve">sb.cs.ph made up 1.7% of the recipe as a single ingredient
</t>
        </r>
      </text>
    </comment>
    <comment ref="AD1384" authorId="0" shapeId="0">
      <text>
        <r>
          <rPr>
            <sz val="10"/>
            <color rgb="FF000000"/>
            <rFont val="Arial"/>
          </rPr>
          <t>Additional Calculations sheet</t>
        </r>
      </text>
    </comment>
    <comment ref="R1393" authorId="0" shapeId="0">
      <text>
        <r>
          <rPr>
            <sz val="10"/>
            <color rgb="FF000000"/>
            <rFont val="Arial"/>
          </rPr>
          <t xml:space="preserve">r.krisp made up 5% as its own ingredient in recipe
</t>
        </r>
      </text>
    </comment>
    <comment ref="AD1462" authorId="0" shapeId="0">
      <text>
        <r>
          <rPr>
            <sz val="10"/>
            <color rgb="FF000000"/>
            <rFont val="Arial"/>
          </rPr>
          <t>ENV values from additional calculations AD-AJ</t>
        </r>
      </text>
    </comment>
    <comment ref="AD1466" authorId="0" shapeId="0">
      <text>
        <r>
          <rPr>
            <sz val="10"/>
            <color rgb="FF000000"/>
            <rFont val="Arial"/>
          </rPr>
          <t>ENV values from additional calculations AD-AJ</t>
        </r>
      </text>
    </comment>
    <comment ref="AC1467" authorId="0" shapeId="0">
      <text>
        <r>
          <rPr>
            <sz val="10"/>
            <color rgb="FF000000"/>
            <rFont val="Arial"/>
          </rPr>
          <t>Additional Calculations sheet</t>
        </r>
      </text>
    </comment>
    <comment ref="R1485" authorId="0" shapeId="0">
      <text>
        <r>
          <rPr>
            <sz val="10"/>
            <color rgb="FF000000"/>
            <rFont val="Arial"/>
          </rPr>
          <t xml:space="preserve">sb.cs.ph as one recipe ingredient made up .5%, then split between its parts
</t>
        </r>
      </text>
    </comment>
    <comment ref="AE1510" authorId="0" shapeId="0">
      <text>
        <r>
          <rPr>
            <sz val="10"/>
            <color rgb="FF000000"/>
            <rFont val="Arial"/>
          </rPr>
          <t>already converted to 1g in denominator</t>
        </r>
      </text>
    </comment>
    <comment ref="AF1510" authorId="0" shapeId="0">
      <text>
        <r>
          <rPr>
            <sz val="10"/>
            <color rgb="FF000000"/>
            <rFont val="Arial"/>
          </rPr>
          <t>already converted to 1g in denominator</t>
        </r>
      </text>
    </comment>
    <comment ref="AG1510" authorId="0" shapeId="0">
      <text>
        <r>
          <rPr>
            <sz val="10"/>
            <color rgb="FF000000"/>
            <rFont val="Arial"/>
          </rPr>
          <t>already converted to 1g in denominator</t>
        </r>
      </text>
    </comment>
    <comment ref="AH1510" authorId="0" shapeId="0">
      <text>
        <r>
          <rPr>
            <sz val="10"/>
            <color rgb="FF000000"/>
            <rFont val="Arial"/>
          </rPr>
          <t>already converted to 1g in denominator</t>
        </r>
      </text>
    </comment>
    <comment ref="AD1511" authorId="0" shapeId="0">
      <text>
        <r>
          <rPr>
            <sz val="10"/>
            <color rgb="FF000000"/>
            <rFont val="Arial"/>
          </rPr>
          <t>ENV values from additional calculations AD-AJ</t>
        </r>
      </text>
    </comment>
    <comment ref="AD1517" authorId="0" shapeId="0">
      <text>
        <r>
          <rPr>
            <sz val="10"/>
            <color rgb="FF000000"/>
            <rFont val="Arial"/>
          </rPr>
          <t>ENV values from additional calculations AD-AJ</t>
        </r>
      </text>
    </comment>
    <comment ref="AC1530" authorId="0" shapeId="0">
      <text>
        <r>
          <rPr>
            <sz val="10"/>
            <color rgb="FF000000"/>
            <rFont val="Arial"/>
          </rPr>
          <t>Additional Calculations sheet</t>
        </r>
      </text>
    </comment>
    <comment ref="AD1567" authorId="0" shapeId="0">
      <text>
        <r>
          <rPr>
            <sz val="10"/>
            <color rgb="FF000000"/>
            <rFont val="Arial"/>
          </rPr>
          <t>ENV values from additional calculations AD-AJ</t>
        </r>
      </text>
    </comment>
    <comment ref="Z1577" authorId="0" shapeId="0">
      <text>
        <r>
          <rPr>
            <sz val="10"/>
            <color rgb="FF000000"/>
            <rFont val="Arial"/>
          </rPr>
          <t>added garlic to this cell because it would otherwise be 0.0% on its own</t>
        </r>
      </text>
    </comment>
  </commentList>
</comments>
</file>

<file path=xl/sharedStrings.xml><?xml version="1.0" encoding="utf-8"?>
<sst xmlns="http://schemas.openxmlformats.org/spreadsheetml/2006/main" count="41460" uniqueCount="5421">
  <si>
    <r>
      <rPr>
        <b/>
        <sz val="24"/>
        <color rgb="FF000000"/>
        <rFont val="Arial"/>
      </rPr>
      <t xml:space="preserve">Welcome to the NHS Environmental Database!
</t>
    </r>
    <r>
      <rPr>
        <sz val="24"/>
        <color rgb="FF000000"/>
        <rFont val="Arial"/>
      </rPr>
      <t xml:space="preserve">
</t>
    </r>
    <r>
      <rPr>
        <sz val="18"/>
        <color rgb="FF000000"/>
        <rFont val="Arial"/>
      </rPr>
      <t xml:space="preserve">Unlike many other files on this website, this database does not provide nutrient data.
</t>
    </r>
    <r>
      <rPr>
        <sz val="10"/>
        <color rgb="FF000000"/>
        <rFont val="Arial"/>
      </rPr>
      <t xml:space="preserve">
</t>
    </r>
    <r>
      <rPr>
        <b/>
        <sz val="16"/>
        <color rgb="FFFF0000"/>
        <rFont val="Arial"/>
      </rPr>
      <t xml:space="preserve">PLEASE NOTE: We do not have the capacity to answer questions about the data provided.  
</t>
    </r>
    <r>
      <rPr>
        <b/>
        <sz val="18"/>
        <color rgb="FFFF0000"/>
        <rFont val="Arial"/>
      </rPr>
      <t xml:space="preserve">The dataset includes thorough documentation.
</t>
    </r>
    <r>
      <rPr>
        <sz val="12"/>
        <color rgb="FF000000"/>
        <rFont val="Arial"/>
      </rPr>
      <t xml:space="preserve">
This database includes four environmental impact metrics – greenhouse gas (GHG) emissions, irrigation water use, nitrogen use, and high-quality cropland use – for the 156 food items listed in the food frequency questionnaire (FFQ) of the 2011 Nurses' Health Study II.  
For our recent publication in the Lancet Planetary Health – "Health and environmental impacts of plant-rich dietary patterns: A U.S. prospective cohort study" (2022) by Musicus et. al. –  this database was leveraged to characterize the environmental impacts, as compared to the health impacts, of four dietary patterns within a longitudinal U.S. cohort.</t>
    </r>
  </si>
  <si>
    <r>
      <rPr>
        <b/>
        <u/>
        <sz val="20"/>
        <color rgb="FF000000"/>
        <rFont val="Arial"/>
      </rPr>
      <t>Abbreviated Terms</t>
    </r>
    <r>
      <rPr>
        <b/>
        <sz val="20"/>
        <color rgb="FF000000"/>
        <rFont val="Arial"/>
      </rPr>
      <t xml:space="preserve">:
</t>
    </r>
    <r>
      <rPr>
        <b/>
        <sz val="11"/>
        <color rgb="FF000000"/>
        <rFont val="Arial"/>
      </rPr>
      <t xml:space="preserve">
"Land Use" or "LU"</t>
    </r>
    <r>
      <rPr>
        <sz val="11"/>
        <color rgb="FF000000"/>
        <rFont val="Arial"/>
      </rPr>
      <t xml:space="preserve"> refers to researched quantity of high-quality cropland use for the given food item.
</t>
    </r>
    <r>
      <rPr>
        <b/>
        <sz val="11"/>
        <color rgb="FF000000"/>
        <rFont val="Arial"/>
      </rPr>
      <t xml:space="preserve">
"Nr Needs" or "Nr"</t>
    </r>
    <r>
      <rPr>
        <sz val="11"/>
        <color rgb="FF000000"/>
        <rFont val="Arial"/>
      </rPr>
      <t xml:space="preserve"> refers to researched quantity of nitrogen fertilizer use for the given food item.
</t>
    </r>
    <r>
      <rPr>
        <b/>
        <sz val="11"/>
        <color rgb="FF000000"/>
        <rFont val="Arial"/>
      </rPr>
      <t xml:space="preserve">
"Blue Water Needs", "Water use"</t>
    </r>
    <r>
      <rPr>
        <sz val="11"/>
        <color rgb="FF000000"/>
        <rFont val="Arial"/>
      </rPr>
      <t xml:space="preserve"> refers to researched quantity of irrigation water used for the given food item.
</t>
    </r>
    <r>
      <rPr>
        <b/>
        <sz val="11"/>
        <color rgb="FF000000"/>
        <rFont val="Arial"/>
      </rPr>
      <t xml:space="preserve">
"GHGE"</t>
    </r>
    <r>
      <rPr>
        <sz val="11"/>
        <color rgb="FF000000"/>
        <rFont val="Arial"/>
      </rPr>
      <t xml:space="preserve"> refers to researched quantity of greenhouse gases emitted for the given food item.
</t>
    </r>
    <r>
      <rPr>
        <b/>
        <sz val="11"/>
        <color rgb="FF000000"/>
        <rFont val="Arial"/>
      </rPr>
      <t xml:space="preserve">
"Environmental Attributes" </t>
    </r>
    <r>
      <rPr>
        <sz val="11"/>
        <color rgb="FF000000"/>
        <rFont val="Arial"/>
      </rPr>
      <t>refers to the values for Land Use, Nr Needs, Blue Water Needs, or GHGEs for the food items.</t>
    </r>
  </si>
  <si>
    <r>
      <rPr>
        <b/>
        <u/>
        <sz val="20"/>
        <color rgb="FF000000"/>
        <rFont val="Arial"/>
      </rPr>
      <t>Descriptions of each sheet</t>
    </r>
    <r>
      <rPr>
        <b/>
        <sz val="20"/>
        <color rgb="FF000000"/>
        <rFont val="Arial"/>
      </rPr>
      <t xml:space="preserve">:
</t>
    </r>
    <r>
      <rPr>
        <b/>
        <sz val="12"/>
        <color rgb="FF000000"/>
        <rFont val="Arial"/>
      </rPr>
      <t xml:space="preserve">
</t>
    </r>
    <r>
      <rPr>
        <b/>
        <u/>
        <sz val="12"/>
        <color rgb="FF000000"/>
        <rFont val="Arial"/>
      </rPr>
      <t>Environmental Attributes (of Food items)</t>
    </r>
    <r>
      <rPr>
        <b/>
        <sz val="12"/>
        <color rgb="FF000000"/>
        <rFont val="Arial"/>
      </rPr>
      <t xml:space="preserve">: 
</t>
    </r>
    <r>
      <rPr>
        <sz val="12"/>
        <color rgb="FF000000"/>
        <rFont val="Arial"/>
      </rPr>
      <t xml:space="preserve">This sheet includes the environmental attributes of the food items composing the NHS2-2011 FFQ + environment sheet.  Columns C-F reference information provided in the NHS2-2011 FFQ + environment sheet.
</t>
    </r>
    <r>
      <rPr>
        <b/>
        <u/>
        <sz val="12"/>
        <color rgb="FF000000"/>
        <rFont val="Arial"/>
      </rPr>
      <t>Additional Calculations</t>
    </r>
    <r>
      <rPr>
        <b/>
        <sz val="12"/>
        <color rgb="FF000000"/>
        <rFont val="Arial"/>
      </rPr>
      <t xml:space="preserve">: 
</t>
    </r>
    <r>
      <rPr>
        <sz val="12"/>
        <color rgb="FF000000"/>
        <rFont val="Arial"/>
      </rPr>
      <t xml:space="preserve">• This sheet includes all the references and calculations involved in determining the environmental variables for each food item.  It is organized by food category (Water, Beverages, Dairy, Eggs, Fruit, Grains, Legumes, Meats, Nuts, Oils,  Seafood, Vegetables, Sweets, Miscellaneous) and it includes the rules abided by for determining NR needs, edible yield, and byproducts.  
• Many of these food items' environmental attributes were derived based on those of other food items (for example, the environmental attributes of dried apples were derived from those of apples).  You will find the name of the food item for which the calculations were completed in the top left corner of each calculation box, in bold and larger font.
• References for all food items and conversion calculations are included in this sheet and the Environmental Attributes sheet.
• Notes are embedded in the cells to describe, or provide the specific reference, for its content.
</t>
    </r>
    <r>
      <rPr>
        <b/>
        <u/>
        <sz val="12"/>
        <color rgb="FF000000"/>
        <rFont val="Arial"/>
      </rPr>
      <t>Juice Yields - Additional Calculations</t>
    </r>
    <r>
      <rPr>
        <b/>
        <sz val="12"/>
        <color rgb="FF000000"/>
        <rFont val="Arial"/>
      </rPr>
      <t xml:space="preserve">: 
</t>
    </r>
    <r>
      <rPr>
        <sz val="12"/>
        <color rgb="FF000000"/>
        <rFont val="Arial"/>
      </rPr>
      <t xml:space="preserve">This sheet includes all the references and calculations involved in determining the environmental variables for juices or beverages that were derived from other food items.
</t>
    </r>
    <r>
      <rPr>
        <b/>
        <u/>
        <sz val="12"/>
        <color rgb="FF000000"/>
        <rFont val="Arial"/>
      </rPr>
      <t>Correspondence</t>
    </r>
    <r>
      <rPr>
        <b/>
        <sz val="12"/>
        <color rgb="FF000000"/>
        <rFont val="Arial"/>
      </rPr>
      <t xml:space="preserve">: 
</t>
    </r>
    <r>
      <rPr>
        <sz val="12"/>
        <color rgb="FF000000"/>
        <rFont val="Arial"/>
      </rPr>
      <t xml:space="preserve">This sheet includes all correspondence between Research Assistant, Marie Janiszewski, and environmental expert, Gidon Eshel, to determine the environmental variables of each food item.
</t>
    </r>
    <r>
      <rPr>
        <b/>
        <u/>
        <sz val="12"/>
        <color rgb="FF000000"/>
        <rFont val="Arial"/>
      </rPr>
      <t xml:space="preserve">
NHS2-2011 FFQ + environment Primary Recipes</t>
    </r>
    <r>
      <rPr>
        <b/>
        <sz val="12"/>
        <color rgb="FF000000"/>
        <rFont val="Arial"/>
      </rPr>
      <t xml:space="preserve">:
</t>
    </r>
    <r>
      <rPr>
        <sz val="12"/>
        <color rgb="FF000000"/>
        <rFont val="Arial"/>
      </rPr>
      <t xml:space="preserve">This sheet is a summarized version of the NHS2-2011 FFQ + environment sheet.  It includes the recipes for every food listed in the 2011 Nurses' Health Study 2 (NHS2) Food Frequency Questionaire (FFQ), and the environmental attributes associated with each ingredient (as listed in the "Environmental Attributes of Food Items" sheet). 
</t>
    </r>
    <r>
      <rPr>
        <b/>
        <u/>
        <sz val="12"/>
        <color rgb="FF000000"/>
        <rFont val="Arial"/>
      </rPr>
      <t>NHS2-2011 FFQ + environment</t>
    </r>
    <r>
      <rPr>
        <b/>
        <sz val="12"/>
        <color rgb="FF000000"/>
        <rFont val="Arial"/>
      </rPr>
      <t>:</t>
    </r>
    <r>
      <rPr>
        <sz val="12"/>
        <color rgb="FF000000"/>
        <rFont val="Arial"/>
      </rPr>
      <t xml:space="preserve">  
This is the final dataset that was merged with Nurses Health Study (NHS) health outcomes data.  This sheet tracks the process of deriving the recipes for every food item in the NHS2 FFQ and the environmental attributes of each constitutent ingredient.  It includes the coding, categorizations, and quantifications established by NHS dietitians for each food item.  This sheet is meant to serve as a supplement to our Lancet Planetary Health Article, "Health and environmental impacts of plant-rich dietary patterns: A U.S. prospective cohort study," (2022) by Musicus et. al.  Rows AA-AH will likely be of particular interest to colleagues reviewing this spreadsheet.
</t>
    </r>
    <r>
      <rPr>
        <b/>
        <sz val="12"/>
        <color rgb="FFFF0000"/>
        <rFont val="Arial"/>
      </rPr>
      <t>Please remember that we do not have the capacity to answer questions about the data provided.</t>
    </r>
    <r>
      <rPr>
        <sz val="12"/>
        <color rgb="FFFF0000"/>
        <rFont val="Arial"/>
      </rPr>
      <t xml:space="preserve"> </t>
    </r>
    <r>
      <rPr>
        <sz val="12"/>
        <color rgb="FF000000"/>
        <rFont val="Arial"/>
      </rPr>
      <t xml:space="preserve"> 
</t>
    </r>
    <r>
      <rPr>
        <b/>
        <sz val="12"/>
        <color rgb="FF000000"/>
        <rFont val="Arial"/>
      </rPr>
      <t xml:space="preserve">
</t>
    </r>
    <r>
      <rPr>
        <b/>
        <u/>
        <sz val="12"/>
        <color rgb="FF000000"/>
        <rFont val="Arial"/>
      </rPr>
      <t>Description of NHS2-2011 FFQ + environment</t>
    </r>
    <r>
      <rPr>
        <b/>
        <sz val="12"/>
        <color rgb="FF000000"/>
        <rFont val="Arial"/>
      </rPr>
      <t xml:space="preserve">:
</t>
    </r>
    <r>
      <rPr>
        <sz val="12"/>
        <color rgb="FF000000"/>
        <rFont val="Arial"/>
      </rPr>
      <t>This sheet provides detailed explanation for every column in the previous NHS2-2011 FFQ + environment sheet.</t>
    </r>
  </si>
  <si>
    <t>"BASIC FFQ RECIPE" food items</t>
  </si>
  <si>
    <t>"FFQ Category" (Food type)</t>
  </si>
  <si>
    <t>parent ingredient</t>
  </si>
  <si>
    <t>constituent ingredients combined</t>
  </si>
  <si>
    <t>Reference</t>
  </si>
  <si>
    <t>Rows in Additional Calculations Sheet</t>
  </si>
  <si>
    <t>LAND Needs, loss-adjusted (m2-yr/1g)</t>
  </si>
  <si>
    <t>NR needs, loss-adjusted (gNr/1g)</t>
  </si>
  <si>
    <t>BLUE WATER needs (m^3/1g)</t>
  </si>
  <si>
    <t>GHGE (kgCO2eq/1g)</t>
  </si>
  <si>
    <t>apple juice</t>
  </si>
  <si>
    <t>beverage</t>
  </si>
  <si>
    <t>fruits</t>
  </si>
  <si>
    <r>
      <rPr>
        <sz val="10"/>
        <rFont val="arial,sans,sans-serif"/>
      </rPr>
      <t xml:space="preserve">0.8846153846*apples: scaled from caloric ratio of apples to apple juice </t>
    </r>
    <r>
      <rPr>
        <u/>
        <sz val="10"/>
        <color rgb="FF1155CC"/>
        <rFont val="arial,sans,sans-serif"/>
      </rPr>
      <t>http://nutritiondata.self.com</t>
    </r>
    <r>
      <rPr>
        <sz val="10"/>
        <rFont val="arial,sans,sans-serif"/>
      </rPr>
      <t>; nur11.sas.dd: aj11d = "FRUITS - Apple Juice or Cider"</t>
    </r>
  </si>
  <si>
    <t>beer</t>
  </si>
  <si>
    <t>NA</t>
  </si>
  <si>
    <t>beer, light beer</t>
  </si>
  <si>
    <t>Additional calculations; Mekonnen &amp; Hoekstra</t>
  </si>
  <si>
    <t>1.482758621*beer; Gidon Correspondence, Additional Calculations</t>
  </si>
  <si>
    <t>carrot juice</t>
  </si>
  <si>
    <t>mixed vegetables, carrot</t>
  </si>
  <si>
    <t>carrot</t>
  </si>
  <si>
    <t>Additional calculations</t>
  </si>
  <si>
    <t>coffee, drip</t>
  </si>
  <si>
    <t>coffee</t>
  </si>
  <si>
    <t>coffee, instant decaf coffee, espresso</t>
  </si>
  <si>
    <t>Additional Calculations; Gidon correspondence</t>
  </si>
  <si>
    <t>coffee, espresso</t>
  </si>
  <si>
    <t>coffee, instant decaf coffee</t>
  </si>
  <si>
    <t>cranberry juice</t>
  </si>
  <si>
    <t>cranberry juice, cranberries</t>
  </si>
  <si>
    <t>grape, juice from concentrate, frozen</t>
  </si>
  <si>
    <t>frozen grape juice from concentrate</t>
  </si>
  <si>
    <t>grapefruit juice</t>
  </si>
  <si>
    <r>
      <rPr>
        <sz val="10"/>
        <rFont val="arial,sans,sans-serif"/>
      </rPr>
      <t xml:space="preserve">Additional Calculations, Gidon MAD, M&amp;H, Food Emissions Calculator; </t>
    </r>
    <r>
      <rPr>
        <u/>
        <sz val="10"/>
        <color rgb="FF1155CC"/>
        <rFont val="arial,sans,sans-serif"/>
      </rPr>
      <t>CIAchef.edu</t>
    </r>
  </si>
  <si>
    <t>lemon juice from concentrate</t>
  </si>
  <si>
    <t>lemons, limes</t>
  </si>
  <si>
    <t>Gidon MAD; Additional calculations; Gidon Correspondence - "use orange env. att"</t>
  </si>
  <si>
    <t>liquor, 80 proof liquor</t>
  </si>
  <si>
    <t>Additional Calculations; nur11.sas.dd: liq11d = "BEVERAGES - Liquor"; land and water conversion calculation: 282.9079577*beer</t>
  </si>
  <si>
    <t>orange juice chilled</t>
  </si>
  <si>
    <t>orange juice, orange juice chilled</t>
  </si>
  <si>
    <t>Gidon MAD; additional calculations; Mekonnen and Hoekstra; nur11.sas.dd: oj11d = "orange juice"</t>
  </si>
  <si>
    <t>orange juice from concentrate</t>
  </si>
  <si>
    <t>orange juice; oj</t>
  </si>
  <si>
    <t xml:space="preserve">pineapple juice, canned unsweetened </t>
  </si>
  <si>
    <t>canned unsweetened pineapple juice</t>
  </si>
  <si>
    <t>plum, prune juice</t>
  </si>
  <si>
    <t>prune juice</t>
  </si>
  <si>
    <t>prune*0.2958333333; additional calculations Rows 510-512</t>
  </si>
  <si>
    <t>pomegranate juice</t>
  </si>
  <si>
    <t>soda, coca-cola</t>
  </si>
  <si>
    <t>corn</t>
  </si>
  <si>
    <t>corn, high-fructose corn syrup, other carbonated beverage</t>
  </si>
  <si>
    <t>0.1419583169*HFCS; Additional calculations; nur11.sas.dd: cola11d = "Carbonated Bev w/Caffeine,Sugar"; https://ndb.nal.usda.gov/ndb/foods/show/45130947?fgcd=&amp;manu=&amp;format=&amp;count=&amp;max=25&amp;offset=&amp;sort=default&amp;order=asc&amp;qlookup=coca+cola&amp;ds=&amp;qt=&amp;qp=&amp;qa=&amp;qn=&amp;q=&amp;ing=</t>
  </si>
  <si>
    <t>soda, diet soda</t>
  </si>
  <si>
    <t>diet soda with caffeine, diet soda without caffeine, splenda</t>
  </si>
  <si>
    <t>Gidon Correspondence (equals sugar-free sweetener)</t>
  </si>
  <si>
    <t>soda, diet soda without caffeine</t>
  </si>
  <si>
    <t>same as diet soda; Gidon Correspondence (equals sugar-free sweetener)</t>
  </si>
  <si>
    <t>soda, other carbonated beverage with sugar, without caffeine</t>
  </si>
  <si>
    <t>same as coca-cola</t>
  </si>
  <si>
    <t>0.1419583169*HFCS; Additional Calculations; description: "other carb. beverageas with sugar" ; nur11.sas.dd: otsug = "BEV-Carbonated w/Sug no Caffeine"</t>
  </si>
  <si>
    <t>tea, decaf tea</t>
  </si>
  <si>
    <t>tea</t>
  </si>
  <si>
    <t>comparable to "tea" (Gidon Correspondence); Additional calculations</t>
  </si>
  <si>
    <t>tea, regular</t>
  </si>
  <si>
    <t>tomato juice</t>
  </si>
  <si>
    <t>Additional Calculations; nur11.sas.dd: toj11d = "VEGETABLES - Tomato Juice or V-8 (L26)"; FFQ variable names joint.xlsx description: "tomato juice"</t>
  </si>
  <si>
    <t>water</t>
  </si>
  <si>
    <t>wine, red</t>
  </si>
  <si>
    <t>grapes, red wine, white wine</t>
  </si>
  <si>
    <t>Gidon MAD; Additional Calculations</t>
  </si>
  <si>
    <t>wine, white</t>
  </si>
  <si>
    <t>chicory root</t>
  </si>
  <si>
    <t>condiment/additive/etc</t>
  </si>
  <si>
    <t>cinnamon</t>
  </si>
  <si>
    <t>dates</t>
  </si>
  <si>
    <t>guar gum</t>
  </si>
  <si>
    <t>psyllium</t>
  </si>
  <si>
    <t>salt</t>
  </si>
  <si>
    <t>FFQ variable names joint.xlsx: "salt"</t>
  </si>
  <si>
    <t>vinegar</t>
  </si>
  <si>
    <t>yeast</t>
  </si>
  <si>
    <t>negligible</t>
  </si>
  <si>
    <t>butter</t>
  </si>
  <si>
    <t>dairy</t>
  </si>
  <si>
    <t>cow dairy</t>
  </si>
  <si>
    <t>Additional calculations; nur11.sas.dd: but11d = "DAIRY - Pure Butter"; NDB# 01001 butter, salted</t>
  </si>
  <si>
    <t>buttermilk</t>
  </si>
  <si>
    <t>Additional calculations; NDB#: 01088        Milk, buttermilk, fluid, cultured, lowfat</t>
  </si>
  <si>
    <t>cheese, cheddar cheese</t>
  </si>
  <si>
    <t>Additional calculations; nur11.sas.dd: chreg11d  = "Type of Cheese Usually Used - Regular"; FFQ variable names joint.xlsx description = "type regular cheese"; NDB # 1009 , cheddar cheese; Gidon Correspondence</t>
  </si>
  <si>
    <t>cheese, mozzarella cheese</t>
  </si>
  <si>
    <t>Additional calculations; nur11.sas.dd: NDB#: 01029 Cheese, mozzarella, low moisture, part-skim</t>
  </si>
  <si>
    <t>cheese, skim milk cheese</t>
  </si>
  <si>
    <t>Additional calculations; nur11.sas.dd: chnft11d = "Type of Cheese Usually Used - Nonfat"; Average of NDB# 1028 Cheese, mozzarella, part skim milk and NDB# 1037 Cheese, ricotta part skim; Gidon Correspondence</t>
  </si>
  <si>
    <t>cottage cheese, low fat</t>
  </si>
  <si>
    <t>low fat cottage cheese</t>
  </si>
  <si>
    <t>Additional calculations; NDB# 1016 Cheese, cottage, lowfat, 1% milkfat</t>
  </si>
  <si>
    <t>cream cheese</t>
  </si>
  <si>
    <t>Additional calculations; NDB # 01017 , cream cheese</t>
  </si>
  <si>
    <t>cream fluid, heavy whipping</t>
  </si>
  <si>
    <t>cream, heavy cream</t>
  </si>
  <si>
    <t>Additional calculations; self-referential; nur11.sas.dd: cream11d = "DAIRY - Cream"; NDB# 1053 Cream, fluid, heavy whipping</t>
  </si>
  <si>
    <t>cream fluid, light (coffee or table cream)</t>
  </si>
  <si>
    <t>heavy cream, cream</t>
  </si>
  <si>
    <t>Additional calculations; self-referential; nur11.sas.dd: cream11d = "DAIRY - Cream"; NDB# 01050 ; cream, fluid, light (coffee or table ceam)</t>
  </si>
  <si>
    <t>cream, pressurized (whipped cream)</t>
  </si>
  <si>
    <t>whipped cream</t>
  </si>
  <si>
    <t>Additional calculations; self-referential; nur11.sas.dd: cream11d = "DAIRY - Cream"; NDB#: 01054 Cream, whipped, cream topping, pressurized</t>
  </si>
  <si>
    <t>milk, 1% milk</t>
  </si>
  <si>
    <t>1% milk</t>
  </si>
  <si>
    <t>Additional calculations; nur11.sas.dd: m1or211d = "DAIRY - 1% -2% milk"; NDB# 1083: "Milk, lowfat, fluid, 1% milkfat, with added nonfat milk solids, vitamin A and vitamin D"</t>
  </si>
  <si>
    <t>milk, 2% milk</t>
  </si>
  <si>
    <t>2% milk</t>
  </si>
  <si>
    <t>Additional calculations; nur11.sas.dd: m1or211d = "DAIRY - 1% -2% milk"; NDB# 1079: Milk, reduced fat, fluid, 2% milkfat, with added vitamin A and vitamin D</t>
  </si>
  <si>
    <t>milk, milk powder</t>
  </si>
  <si>
    <t>milk powder</t>
  </si>
  <si>
    <t>Additional calculations; NDB# 01155: Milk, dry, nonfat, instant, without added vitamin A and vitamin D</t>
  </si>
  <si>
    <t>milk, skim milk</t>
  </si>
  <si>
    <t>skim milk</t>
  </si>
  <si>
    <t>Additional calculations; nur11.sas.dd: skim11d = "DAIRY - Skim Milk"</t>
  </si>
  <si>
    <t>milk, whole milk</t>
  </si>
  <si>
    <t>Additional calculations; nur11.sas.dd: whole11d = "DAIRY - Whole milk"; Gidon MAD</t>
  </si>
  <si>
    <t>sour cream</t>
  </si>
  <si>
    <t>Additional calculations; self-referential; FFQ variable names joint.xlsx: between yogurt and cream cheese; NDB#: 01056 Cream, sour, cultured</t>
  </si>
  <si>
    <t>whey, sweet whey, dried</t>
  </si>
  <si>
    <t>sweet whey dried</t>
  </si>
  <si>
    <t>Additional calculations; NDB# 01115: Whey, sweet, dried</t>
  </si>
  <si>
    <t>whey, sweet whey, liquid</t>
  </si>
  <si>
    <t>sweet whey</t>
  </si>
  <si>
    <t>Additional calculations; NDB#: 01114 Whey, sweet, fluid</t>
  </si>
  <si>
    <t>yogurt plain</t>
  </si>
  <si>
    <t>Additional calculations; nur11.sas.dd: plyog11d = "DAIRY - Yogurt-plain, lo-carb"</t>
  </si>
  <si>
    <t>egg</t>
  </si>
  <si>
    <t>eggs</t>
  </si>
  <si>
    <t>eggs, egg beaters, egg yolks, egg whites</t>
  </si>
  <si>
    <t>Gidon MAD; http://www.foodemissions.com/foodemissions/Calculator; additional calculations</t>
  </si>
  <si>
    <t>egg beaters</t>
  </si>
  <si>
    <r>
      <rPr>
        <sz val="10"/>
        <rFont val="arial,sans,sans-serif"/>
      </rPr>
      <t xml:space="preserve">equals egg; Gidon MAD; </t>
    </r>
    <r>
      <rPr>
        <u/>
        <sz val="10"/>
        <color rgb="FF1155CC"/>
        <rFont val="arial,sans,sans-serif"/>
      </rPr>
      <t>http://www.foodemissions.com/foodemissions/Calculator</t>
    </r>
    <r>
      <rPr>
        <sz val="10"/>
        <rFont val="arial,sans,sans-serif"/>
      </rPr>
      <t>; additional calculations; Gidon Correspondence</t>
    </r>
  </si>
  <si>
    <t>egg whites</t>
  </si>
  <si>
    <t>equals egg; Gidon MAD; http://www.foodemissions.com/foodemissions/Calculator; additional calculations</t>
  </si>
  <si>
    <t>egg yolks</t>
  </si>
  <si>
    <t>apple</t>
  </si>
  <si>
    <t>fruit</t>
  </si>
  <si>
    <t>Gidon MAD, Additonal Calculations</t>
  </si>
  <si>
    <t>apple, dried</t>
  </si>
  <si>
    <t>dried apple</t>
  </si>
  <si>
    <r>
      <rPr>
        <sz val="10"/>
        <color rgb="FF000000"/>
        <rFont val="Arial"/>
      </rPr>
      <t xml:space="preserve">Gidon MAD, M&amp;H, </t>
    </r>
    <r>
      <rPr>
        <u/>
        <sz val="10"/>
        <color rgb="FF1155CC"/>
        <rFont val="Arial"/>
      </rPr>
      <t>foodemissions.com/Calculator</t>
    </r>
    <r>
      <rPr>
        <sz val="10"/>
        <color rgb="FF000000"/>
        <rFont val="Arial"/>
      </rPr>
      <t xml:space="preserve">, </t>
    </r>
    <r>
      <rPr>
        <u/>
        <sz val="10"/>
        <color rgb="FF1155CC"/>
        <rFont val="Arial"/>
      </rPr>
      <t>http://nutritiondata.self.com/facts/fruits-and-fruit-juices/1817/2</t>
    </r>
  </si>
  <si>
    <t>apricot, dried</t>
  </si>
  <si>
    <t>dried apricot</t>
  </si>
  <si>
    <r>
      <rPr>
        <sz val="10"/>
        <rFont val="arial,sans,sans-serif"/>
      </rPr>
      <t xml:space="preserve">Gidon MAD, M&amp;H, </t>
    </r>
    <r>
      <rPr>
        <u/>
        <sz val="10"/>
        <color rgb="FF1155CC"/>
        <rFont val="arial,sans,sans-serif"/>
      </rPr>
      <t>http://www.foodemissions.com/Calculator</t>
    </r>
  </si>
  <si>
    <t>apricot, raw</t>
  </si>
  <si>
    <t>apricot</t>
  </si>
  <si>
    <t>avocado</t>
  </si>
  <si>
    <t>Additional calculations; Gidon MAD; M&amp;H</t>
  </si>
  <si>
    <t>banana</t>
  </si>
  <si>
    <t>nur11.sas.dd: ban11d  = "FRUITS - Bananas"</t>
  </si>
  <si>
    <t>blueberry</t>
  </si>
  <si>
    <t>nur11.sas.dd: blueb11d  = "FRUITS - Blueberries"</t>
  </si>
  <si>
    <t>canteloupe</t>
  </si>
  <si>
    <t>cantelope</t>
  </si>
  <si>
    <r>
      <rPr>
        <sz val="10"/>
        <rFont val="arial,sans,sans-serif"/>
      </rPr>
      <t xml:space="preserve">Gidon MAD; </t>
    </r>
    <r>
      <rPr>
        <u/>
        <sz val="10"/>
        <color rgb="FF1155CC"/>
        <rFont val="arial,sans,sans-serif"/>
      </rPr>
      <t>http://www.foodemissions.com/Calculator</t>
    </r>
    <r>
      <rPr>
        <sz val="10"/>
        <rFont val="arial,sans,sans-serif"/>
      </rPr>
      <t>, Additional Research, FFQ variable names joint.xlsx description: "cant"</t>
    </r>
  </si>
  <si>
    <t>cranberries</t>
  </si>
  <si>
    <t>cranberries; cranberry juice</t>
  </si>
  <si>
    <t>Gidon Correspondence and Additional Calculations sheet</t>
  </si>
  <si>
    <t>cranberries, dried</t>
  </si>
  <si>
    <t>dried cranberries</t>
  </si>
  <si>
    <t>grapefruit</t>
  </si>
  <si>
    <t>grapes, green seedless grapes</t>
  </si>
  <si>
    <t>grapes, red seedless grapes</t>
  </si>
  <si>
    <t>Additional Calculations</t>
  </si>
  <si>
    <t>grapes, raisins</t>
  </si>
  <si>
    <t>dried grape</t>
  </si>
  <si>
    <t>Grapes * 4.333333333 and M&amp;H; Gidon MAD; Additional Calculations</t>
  </si>
  <si>
    <t>Gidon MAD; additional calculations</t>
  </si>
  <si>
    <t>grapes, red/green seedless grapes</t>
  </si>
  <si>
    <t>orange</t>
  </si>
  <si>
    <t>raw oranges</t>
  </si>
  <si>
    <r>
      <rPr>
        <sz val="10"/>
        <rFont val="arial,sans,sans-serif"/>
      </rPr>
      <t xml:space="preserve">Gidon MAD; Additional calculations; </t>
    </r>
    <r>
      <rPr>
        <u/>
        <sz val="10"/>
        <color rgb="FF1155CC"/>
        <rFont val="arial,sans,sans-serif"/>
      </rPr>
      <t>http://www.foodemissions.com/Calculator</t>
    </r>
  </si>
  <si>
    <t>peaches</t>
  </si>
  <si>
    <r>
      <rPr>
        <sz val="10"/>
        <rFont val="arial,sans,sans-serif"/>
      </rPr>
      <t xml:space="preserve">Gidon MAD, M&amp;H, </t>
    </r>
    <r>
      <rPr>
        <u/>
        <sz val="10"/>
        <color rgb="FF1155CC"/>
        <rFont val="arial,sans,sans-serif"/>
      </rPr>
      <t>foodemissions.com/Calculator</t>
    </r>
    <r>
      <rPr>
        <sz val="10"/>
        <rFont val="arial,sans,sans-serif"/>
      </rPr>
      <t xml:space="preserve"> nur11.sas.dd: peach11d = "FRUITS - Peaches, Plums"</t>
    </r>
  </si>
  <si>
    <t>pear</t>
  </si>
  <si>
    <r>
      <rPr>
        <sz val="10"/>
        <rFont val="arial,sans,sans-serif"/>
      </rPr>
      <t xml:space="preserve">Gidon MAD, M&amp;H, </t>
    </r>
    <r>
      <rPr>
        <u/>
        <sz val="10"/>
        <color rgb="FF1155CC"/>
        <rFont val="arial,sans,sans-serif"/>
      </rPr>
      <t>foodemissions.com/Calculator</t>
    </r>
  </si>
  <si>
    <t>pear, dried</t>
  </si>
  <si>
    <t>dried pear</t>
  </si>
  <si>
    <t xml:space="preserve">Additional calculations </t>
  </si>
  <si>
    <t>plum, canned prunes</t>
  </si>
  <si>
    <t>canned prunes</t>
  </si>
  <si>
    <t>plums•2.282608696; Additional Calculations sheet; prune + 10%</t>
  </si>
  <si>
    <t>plum, fresh</t>
  </si>
  <si>
    <t>plums</t>
  </si>
  <si>
    <t>additional calculations (plum, prune, prune juice, canned prunes)</t>
  </si>
  <si>
    <t>plum, prune</t>
  </si>
  <si>
    <t>prune, dried plums</t>
  </si>
  <si>
    <t>plums•5.217391304; additional calculations (plum, prune, prune juice, canned prunes)</t>
  </si>
  <si>
    <t>raspberry</t>
  </si>
  <si>
    <t>strawberry</t>
  </si>
  <si>
    <r>
      <rPr>
        <sz val="10"/>
        <rFont val="arial,sans,sans-serif"/>
      </rPr>
      <t xml:space="preserve">Gidon MAD, M&amp;H, </t>
    </r>
    <r>
      <rPr>
        <u/>
        <sz val="10"/>
        <color rgb="FF1155CC"/>
        <rFont val="arial,sans,sans-serif"/>
      </rPr>
      <t>foodemissions.com</t>
    </r>
    <r>
      <rPr>
        <sz val="10"/>
        <rFont val="arial,sans,sans-serif"/>
      </rPr>
      <t xml:space="preserve"> nur11.sas.dd: straw11d  = "FRUITS - Strawberries"</t>
    </r>
  </si>
  <si>
    <t xml:space="preserve">watermelon </t>
  </si>
  <si>
    <t>watermelon</t>
  </si>
  <si>
    <r>
      <rPr>
        <sz val="10"/>
        <rFont val="arial,sans,sans-serif"/>
      </rPr>
      <t xml:space="preserve">Additional Calculations; Gidon MAD, M&amp;H, </t>
    </r>
    <r>
      <rPr>
        <u/>
        <sz val="10"/>
        <color rgb="FF1155CC"/>
        <rFont val="arial,sans,sans-serif"/>
      </rPr>
      <t>http://www.foodemissions.com/Calculator</t>
    </r>
  </si>
  <si>
    <t>barley, hulled</t>
  </si>
  <si>
    <t>grain</t>
  </si>
  <si>
    <t>barley</t>
  </si>
  <si>
    <t>hulled barley, pearled/cooked barley, malted barley flour</t>
  </si>
  <si>
    <t>barley, malted barley flour</t>
  </si>
  <si>
    <r>
      <rPr>
        <sz val="10"/>
        <rFont val="arial,sans,sans-serif"/>
      </rPr>
      <t xml:space="preserve">1.25*barley, hulled; Additional Calculations; Gidon MAD, M&amp;H, </t>
    </r>
    <r>
      <rPr>
        <u/>
        <sz val="10"/>
        <color rgb="FF1155CC"/>
        <rFont val="arial,sans,sans-serif"/>
      </rPr>
      <t>http://www.foodemissions.com/Calculator</t>
    </r>
  </si>
  <si>
    <t>barley, pearled and cooked</t>
  </si>
  <si>
    <r>
      <rPr>
        <sz val="10"/>
        <rFont val="arial,sans,sans-serif"/>
      </rPr>
      <t xml:space="preserve">0.3474576271*barley, hulled; Additional Calculations; Gidon MAD, M&amp;H, </t>
    </r>
    <r>
      <rPr>
        <u/>
        <sz val="10"/>
        <color rgb="FF1155CC"/>
        <rFont val="arial,sans,sans-serif"/>
      </rPr>
      <t>http://www.foodemissions.com/Calculator</t>
    </r>
  </si>
  <si>
    <t>bran</t>
  </si>
  <si>
    <t>wheat</t>
  </si>
  <si>
    <r>
      <rPr>
        <sz val="10"/>
        <rFont val="arial,sans,sans-serif"/>
      </rPr>
      <t xml:space="preserve">0.05*all-purpose flour; Additional Calculations; Gidon MAD, M&amp;H, </t>
    </r>
    <r>
      <rPr>
        <u/>
        <sz val="10"/>
        <color rgb="FF1155CC"/>
        <rFont val="arial,sans,sans-serif"/>
      </rPr>
      <t>http://www.foodemissions.com/Calculator</t>
    </r>
    <r>
      <rPr>
        <sz val="10"/>
        <rFont val="arial,sans,sans-serif"/>
      </rPr>
      <t xml:space="preserve">; Gidon Correspondence </t>
    </r>
  </si>
  <si>
    <t>bulgur</t>
  </si>
  <si>
    <t>barley, spelt</t>
  </si>
  <si>
    <t>Same as wheat</t>
  </si>
  <si>
    <t>corn bran</t>
  </si>
  <si>
    <t>0.05*corn flour; Additional Calculations; Gidon MAD, M&amp;H, http://www.foodemissions.com/Calculator; Gidon Correspondence nur11.sas.dd: corn11d = "VEGETABLES - Corn"</t>
  </si>
  <si>
    <t>corn flour</t>
  </si>
  <si>
    <t>corn, whole corn, whole grain corn, corn kernels, corn starch, corn flour, cornmeal</t>
  </si>
  <si>
    <t>Gidon correspondence "refers to corn kernels, corn flour, corn starch, cornmeal"; nur11.sas.dd: corn11d = "VEGETABLES - Corn"</t>
  </si>
  <si>
    <t>corn kernels, dry (whole grain)</t>
  </si>
  <si>
    <t>0.8674698795*corn flour; Additional Calculations; Gidon MAD, M&amp;H, http://www.foodemissions.com/Calculator; Gidon Correspondence nur11.sas.dd: corn11d = "VEGETABLES - Corn"</t>
  </si>
  <si>
    <t>corn starch</t>
  </si>
  <si>
    <t>1.337349398*corn flour; Additional Calculations; Gidon MAD, M&amp;H, http://www.foodemissions.com/Calculator; Gidon Correspondence nur11.sas.dd: corn11d = "VEGETABLES - Corn"</t>
  </si>
  <si>
    <t>corn, sweet, yellow, frozen, kernels cut off cob, boiled, drained, without salt</t>
  </si>
  <si>
    <t>fresh/raw corn</t>
  </si>
  <si>
    <t>Additional Calculations; Gidon MAD, M&amp;H, http://www.foodemissions.com/Calculator; Gidon Correspondence  nur11.sas.dd: corn11d = "VEGETABLES - Corn"</t>
  </si>
  <si>
    <t>cornmeal</t>
  </si>
  <si>
    <t>farina</t>
  </si>
  <si>
    <t>whole wheat flour, wheat flour all-purpose, all-purpose flour, wheat kernels, cracked wheat, farina, flax</t>
  </si>
  <si>
    <r>
      <rPr>
        <sz val="10"/>
        <rFont val="arial,sans,sans-serif"/>
      </rPr>
      <t xml:space="preserve">Additional Calculations; Gidon MAD, M&amp;H, </t>
    </r>
    <r>
      <rPr>
        <u/>
        <sz val="10"/>
        <color rgb="FF1155CC"/>
        <rFont val="arial,sans,sans-serif"/>
      </rPr>
      <t>http://www.foodemissions.com/Calculator</t>
    </r>
    <r>
      <rPr>
        <sz val="10"/>
        <rFont val="arial,sans,sans-serif"/>
      </rPr>
      <t xml:space="preserve">; Gidon Correspondence </t>
    </r>
  </si>
  <si>
    <t>flax</t>
  </si>
  <si>
    <r>
      <rPr>
        <sz val="10"/>
        <rFont val="arial,sans,sans-serif"/>
      </rPr>
      <t xml:space="preserve">same as all-purpose flour; Gidon Correspondence; Additional Calculations; Gidon MAD, M&amp;H, </t>
    </r>
    <r>
      <rPr>
        <u/>
        <sz val="10"/>
        <color rgb="FF1155CC"/>
        <rFont val="arial,sans,sans-serif"/>
      </rPr>
      <t>http://www.foodemissions.com/Calculator</t>
    </r>
  </si>
  <si>
    <t>germ</t>
  </si>
  <si>
    <t>germ, wheat germ</t>
  </si>
  <si>
    <r>
      <rPr>
        <sz val="10"/>
        <rFont val="arial,sans,sans-serif"/>
      </rPr>
      <t xml:space="preserve">0.05*all-purpose flourAdditional Calculations; Gidon MAD, M&amp;H, </t>
    </r>
    <r>
      <rPr>
        <u/>
        <sz val="10"/>
        <color rgb="FF1155CC"/>
        <rFont val="arial,sans,sans-serif"/>
      </rPr>
      <t>http://www.foodemissions.com/Calculator</t>
    </r>
    <r>
      <rPr>
        <sz val="10"/>
        <rFont val="arial,sans,sans-serif"/>
      </rPr>
      <t xml:space="preserve">; Gidon Correspondence </t>
    </r>
  </si>
  <si>
    <t>gluten</t>
  </si>
  <si>
    <t>gluten, wheat gluten</t>
  </si>
  <si>
    <r>
      <rPr>
        <sz val="10"/>
        <rFont val="arial,sans,sans-serif"/>
      </rPr>
      <t xml:space="preserve">6.225977469*all-purpose flourAdditional Calculations; Gidon MAD, M&amp;H, </t>
    </r>
    <r>
      <rPr>
        <u/>
        <sz val="10"/>
        <color rgb="FF1155CC"/>
        <rFont val="arial,sans,sans-serif"/>
      </rPr>
      <t>http://www.foodemissions.com/Calculator</t>
    </r>
    <r>
      <rPr>
        <sz val="10"/>
        <rFont val="arial,sans,sans-serif"/>
      </rPr>
      <t xml:space="preserve">; Gidon Correspondence </t>
    </r>
  </si>
  <si>
    <t>oat</t>
  </si>
  <si>
    <t>oats, rolled oats, quick oats, steel-cut oats</t>
  </si>
  <si>
    <t>oat, bran</t>
  </si>
  <si>
    <t>oat germ, oat bran, oat fiber</t>
  </si>
  <si>
    <t>5% oats (Gidon correspondence); Additional Calculations; Gidon MAD, M&amp;H, http://www.foodemissions.com/Calculator</t>
  </si>
  <si>
    <t>oat, cooked oats</t>
  </si>
  <si>
    <t>cooked oats</t>
  </si>
  <si>
    <r>
      <rPr>
        <sz val="10"/>
        <rFont val="arial,sans,sans-serif"/>
      </rPr>
      <t xml:space="preserve">Additional Calculations; Gidon MAD, M&amp;H, </t>
    </r>
    <r>
      <rPr>
        <u/>
        <sz val="10"/>
        <color rgb="FF1155CC"/>
        <rFont val="arial,sans,sans-serif"/>
      </rPr>
      <t>http://www.foodemissions.com/Calculator</t>
    </r>
    <r>
      <rPr>
        <sz val="10"/>
        <rFont val="arial,sans,sans-serif"/>
      </rPr>
      <t>; USDA</t>
    </r>
  </si>
  <si>
    <t>oat, fiber</t>
  </si>
  <si>
    <t>rice, bran</t>
  </si>
  <si>
    <t>rice bran</t>
  </si>
  <si>
    <t>brown rice, brown rice flour, rice bran, white rice, white rice flour</t>
  </si>
  <si>
    <t>paddy rice*0.05; Gidon MAD; M&amp;H; Gummert; foodemissions; nur11.sas.dd: wrice11d = "BREADS - White Rice"</t>
  </si>
  <si>
    <t>rice, brown rice cooked</t>
  </si>
  <si>
    <t>rice</t>
  </si>
  <si>
    <t>brown rice, brown rice flour</t>
  </si>
  <si>
    <t>brown rice/2.983739837 (caloric ratio); Gidon MAD; M&amp;H; Gummert; foodemissions; nur11.sas.dd: wrice11d = "BREADS - White Rice"</t>
  </si>
  <si>
    <t>rice, brown rice raw</t>
  </si>
  <si>
    <t>paddy rice/0.8; Gidon MAD; M&amp;H; Gummert; foodemissions; nur11.sas.dd: wrice11d = "BREADS - White Rice"</t>
  </si>
  <si>
    <t>rice, puffed rice</t>
  </si>
  <si>
    <t>white rice, white rice flour, puffed rice</t>
  </si>
  <si>
    <t>white rice/0.907960199 (caloric ratio); Gidon MAD; M&amp;H; Gummert; foodemissions; nur11.sas.dd: wrice11d = "BREADS - White Rice"</t>
  </si>
  <si>
    <t>rice, white rice flour</t>
  </si>
  <si>
    <t>paddy rice/0.7; Gidon MAD; M&amp;H; Gummert; foodemissions; nur11.sas.dd: wrice11d = "BREADS - White Rice"</t>
  </si>
  <si>
    <t>rice, white rice, cooked</t>
  </si>
  <si>
    <t>white rice/5.333138515 (caloric ratio); Gidon MAD; M&amp;H; Gummert; foodemissions; nur11.sas.dd: wrice11d = "BREADS - White Rice"</t>
  </si>
  <si>
    <t>rice, white rice, raw</t>
  </si>
  <si>
    <t>rye</t>
  </si>
  <si>
    <t>FFQ variable names joint.xlsx description: "rye"</t>
  </si>
  <si>
    <t>sesame</t>
  </si>
  <si>
    <t>sesame, flax, wheat</t>
  </si>
  <si>
    <t>spaghetti</t>
  </si>
  <si>
    <r>
      <rPr>
        <sz val="10"/>
        <rFont val="arial,sans,sans-serif"/>
      </rPr>
      <t xml:space="preserve">1.758364312*all-purpose flour; Additional Calculations; Gidon MAD, M&amp;H, </t>
    </r>
    <r>
      <rPr>
        <u/>
        <sz val="10"/>
        <color rgb="FF1155CC"/>
        <rFont val="arial,sans,sans-serif"/>
      </rPr>
      <t>http://www.foodemissions.com/Calculator</t>
    </r>
    <r>
      <rPr>
        <sz val="10"/>
        <rFont val="arial,sans,sans-serif"/>
      </rPr>
      <t xml:space="preserve">; Gidon Correspondence </t>
    </r>
  </si>
  <si>
    <t>wheat, all-purpose flour</t>
  </si>
  <si>
    <t>wheat, flour all-purpose</t>
  </si>
  <si>
    <t>wheat, flour, whole wheat</t>
  </si>
  <si>
    <t>wheat, germ</t>
  </si>
  <si>
    <t>wheat, gluten</t>
  </si>
  <si>
    <t>wheaties</t>
  </si>
  <si>
    <t>wheaties, wheat flour, all purpose flour</t>
  </si>
  <si>
    <t>black beans, boiled, unsalted</t>
  </si>
  <si>
    <t>legume</t>
  </si>
  <si>
    <t>beans</t>
  </si>
  <si>
    <t>black beans</t>
  </si>
  <si>
    <r>
      <rPr>
        <sz val="10"/>
        <rFont val="arial,sans,sans-serif"/>
      </rPr>
      <t xml:space="preserve">Gidon MAD; M&amp;H; </t>
    </r>
    <r>
      <rPr>
        <u/>
        <sz val="10"/>
        <color rgb="FF1155CC"/>
        <rFont val="arial,sans,sans-serif"/>
      </rPr>
      <t>foodemissions.com</t>
    </r>
    <r>
      <rPr>
        <sz val="10"/>
        <rFont val="arial,sans,sans-serif"/>
      </rPr>
      <t>; nur11.sas.dd: "bean11d" = "VEGETABLES - Beans or Lentils"; FFQ variable names joint.xlsx: "values for BEANS KIDNEY ALL TYPES MATURE SEEDS RAW"; Gidon Correspondence</t>
    </r>
  </si>
  <si>
    <t>kidney beans, boiled, unsalted</t>
  </si>
  <si>
    <t>kidney beans</t>
  </si>
  <si>
    <t>lentils</t>
  </si>
  <si>
    <r>
      <rPr>
        <sz val="10"/>
        <color rgb="FF000000"/>
        <rFont val="arial, sans, sans-serif"/>
      </rPr>
      <t xml:space="preserve">Gidon MAD; M&amp;H; </t>
    </r>
    <r>
      <rPr>
        <u/>
        <sz val="10"/>
        <color rgb="FF1155CC"/>
        <rFont val="arial, sans, sans-serif"/>
      </rPr>
      <t>foodemissions.com</t>
    </r>
  </si>
  <si>
    <t>lima beans, boiled, drained, unsalted</t>
  </si>
  <si>
    <t>lima beans</t>
  </si>
  <si>
    <t>navy beans, canned</t>
  </si>
  <si>
    <t>navy beans</t>
  </si>
  <si>
    <t>peanut</t>
  </si>
  <si>
    <t>FFQ variable names joint.xlsx; nur11.sas.dd: pnut11d = "SWEETS - Peanuts"</t>
  </si>
  <si>
    <t>peas</t>
  </si>
  <si>
    <t>FFQ variable names joint.xlsx description: "peas"; NHS2-2011: "Peas or lima beans (1/2 cup fresh, frz., canned) or soup" and "BOILED, DRAINED, UNSALTED GREEN PEAS"</t>
  </si>
  <si>
    <t>soy isolate</t>
  </si>
  <si>
    <t>soybean</t>
  </si>
  <si>
    <t>soybeans; soybean flour; soy isolate; soy protein isolate</t>
  </si>
  <si>
    <t>soybean flour / 92%</t>
  </si>
  <si>
    <t>soybean flour</t>
  </si>
  <si>
    <t>soybeans; soybean flour; soy isolate</t>
  </si>
  <si>
    <t>Additional Calculations; Gidon MAD; M&amp;H; food emissions calculator</t>
  </si>
  <si>
    <t>soybeans</t>
  </si>
  <si>
    <t>Land/NR: MAD = reference document; NDB# 11451: Soybeans, green, cooked, boiled, drained, without salt</t>
  </si>
  <si>
    <t>tofu</t>
  </si>
  <si>
    <t>almond butter</t>
  </si>
  <si>
    <t>nut</t>
  </si>
  <si>
    <t>same as almonds; Gidon Correspondence</t>
  </si>
  <si>
    <t>almonds</t>
  </si>
  <si>
    <t>cashew</t>
  </si>
  <si>
    <t>pecans</t>
  </si>
  <si>
    <t>pistachio</t>
  </si>
  <si>
    <t>walnut</t>
  </si>
  <si>
    <t>coconut oil</t>
  </si>
  <si>
    <t>oil</t>
  </si>
  <si>
    <t>corn oil</t>
  </si>
  <si>
    <t>corn oil, corn syrup, light corn syrup</t>
  </si>
  <si>
    <t>nur11.sas.dd: crnct11d = "Corn Oil"; GIdon Correspondence; Additional Calculations</t>
  </si>
  <si>
    <t>cottonseed oil</t>
  </si>
  <si>
    <t>olive oil</t>
  </si>
  <si>
    <t>olive</t>
  </si>
  <si>
    <t>olive oil; GIdon Correspondence</t>
  </si>
  <si>
    <t>FFQ item: ooil11d, OIL,OLIVE,SALAD OR COOKING; GIdon Correspondence; Additional Calculations</t>
  </si>
  <si>
    <t>palm kernel oils</t>
  </si>
  <si>
    <t>palm</t>
  </si>
  <si>
    <t>GIdon Correspondence; Additional Calculations</t>
  </si>
  <si>
    <t>palm oil</t>
  </si>
  <si>
    <t>palm oil, partially/fully hydrogenated palm oil, palm oil shortening, fractionated palm oil</t>
  </si>
  <si>
    <t>palm oil shortening</t>
  </si>
  <si>
    <t>palm oil, fractionated</t>
  </si>
  <si>
    <t>palm oil, fully hydrogenated</t>
  </si>
  <si>
    <t>palm oil, partially hydrogenated</t>
  </si>
  <si>
    <t>peanut oil</t>
  </si>
  <si>
    <t>FFQ variable name: pn</t>
  </si>
  <si>
    <t>rapeseed oil</t>
  </si>
  <si>
    <t>rapseed</t>
  </si>
  <si>
    <t>canola oil, rapeseed</t>
  </si>
  <si>
    <t>soy lecithin</t>
  </si>
  <si>
    <t>soybean oil; soybean oil, fully hydrogenated; soybean oil, partially hydrogenated; soybean oil, interesterified; soy lecithin</t>
  </si>
  <si>
    <t>nur11.sas.dd: "soyct11d" = "Soybean Oil"; Gidon Correspondence: effects of processing methods negligable</t>
  </si>
  <si>
    <t>soybean oil</t>
  </si>
  <si>
    <t>soybean oil, fully hydrogenated</t>
  </si>
  <si>
    <t>soybean oil, interesterified</t>
  </si>
  <si>
    <t>soybean oil, partially hydrogenated</t>
  </si>
  <si>
    <t>sunflower oil</t>
  </si>
  <si>
    <t>chicken fat</t>
  </si>
  <si>
    <t>poultry</t>
  </si>
  <si>
    <t>chicken</t>
  </si>
  <si>
    <t>chicken meat, chicken fat, chicken skin, chicken liver</t>
  </si>
  <si>
    <t>nur11.sas.dd: chwi11d = "MEATS-Chicken or Turkey, With Skin"; same environmental attributes as chwo11d = "MEATS-Chicken/Turkey, Without Skin"</t>
  </si>
  <si>
    <t>chicken liver</t>
  </si>
  <si>
    <t>chicken meat and skin</t>
  </si>
  <si>
    <t>chicken meat only</t>
  </si>
  <si>
    <t>turkey (whole, breast, ground)</t>
  </si>
  <si>
    <t>turkey</t>
  </si>
  <si>
    <t>Gidon Correspondence</t>
  </si>
  <si>
    <t>bacon</t>
  </si>
  <si>
    <t>red meat</t>
  </si>
  <si>
    <t>processed meat</t>
  </si>
  <si>
    <t>ham, bacon, pork</t>
  </si>
  <si>
    <t>beef and pork bologne</t>
  </si>
  <si>
    <t>Additional calculations; Gidon correspondence: average of beef and pork</t>
  </si>
  <si>
    <t>beef and pork sausage</t>
  </si>
  <si>
    <t>beef hamburger 80%</t>
  </si>
  <si>
    <t>beef</t>
  </si>
  <si>
    <t>beef, beef liver</t>
  </si>
  <si>
    <t>Additional calculations; Based on Gidon's calculations in http://www.pnas.org/content/111/33/11996#abstract-2</t>
  </si>
  <si>
    <t>beef hot dog 75%</t>
  </si>
  <si>
    <t>beef hot dog 80%</t>
  </si>
  <si>
    <t>beef liver</t>
  </si>
  <si>
    <t>beef top sirloin</t>
  </si>
  <si>
    <t>ham</t>
  </si>
  <si>
    <t>pork main</t>
  </si>
  <si>
    <t>pork</t>
  </si>
  <si>
    <t>pork main dish, pork</t>
  </si>
  <si>
    <t>bluefish</t>
  </si>
  <si>
    <t>seafood</t>
  </si>
  <si>
    <t>fish</t>
  </si>
  <si>
    <t>miscellaneous fish</t>
  </si>
  <si>
    <t>Seafood sheet average</t>
  </si>
  <si>
    <t>catfish</t>
  </si>
  <si>
    <t>Seafood sheet; Gidon correspondence</t>
  </si>
  <si>
    <t>clams</t>
  </si>
  <si>
    <t>cod</t>
  </si>
  <si>
    <t>flatfish</t>
  </si>
  <si>
    <t>haddock</t>
  </si>
  <si>
    <t>halibut</t>
  </si>
  <si>
    <t>herring</t>
  </si>
  <si>
    <t>sardine, herring</t>
  </si>
  <si>
    <t>Seafood sheet; Herring and Sardines are in thes same fish family</t>
  </si>
  <si>
    <t>oysters</t>
  </si>
  <si>
    <t>pollock</t>
  </si>
  <si>
    <t>Seafood sheet; GIdon Correspondence</t>
  </si>
  <si>
    <t>salmon</t>
  </si>
  <si>
    <t>Seafood sheet; Gephart, Gidon correspondence</t>
  </si>
  <si>
    <t>sardines</t>
  </si>
  <si>
    <t>shrimp</t>
  </si>
  <si>
    <t>swordfish</t>
  </si>
  <si>
    <t>Seafood sheet</t>
  </si>
  <si>
    <t>tilapia</t>
  </si>
  <si>
    <t>tuna steak</t>
  </si>
  <si>
    <t>tuna</t>
  </si>
  <si>
    <t>Seafood sheet: Gephart: "Could argue marine wild capture to be zero"</t>
  </si>
  <si>
    <t>tuna, canned tuna</t>
  </si>
  <si>
    <t>chocolate</t>
  </si>
  <si>
    <t>sweet</t>
  </si>
  <si>
    <t>milk chocolate, chocolate, chocolate candies, milk chocolate bar</t>
  </si>
  <si>
    <t>same as cocoa; Additional calculations; Gidon Correspondence; FFQ variable names joint.xlsx: "choc bars, milk", "dark and milk chocolate practically the same kcal/100g", choco, mchoc &amp; dchoc same env. att.</t>
  </si>
  <si>
    <t>chocolate candies</t>
  </si>
  <si>
    <t>chocolate, dark chocolate bar</t>
  </si>
  <si>
    <t>dark chocolate</t>
  </si>
  <si>
    <t>chocolate, milk chocolate</t>
  </si>
  <si>
    <t>chocolate, milk chocolate bar</t>
  </si>
  <si>
    <t>chocolate, unsweetened baking chocolate</t>
  </si>
  <si>
    <t>cocoa, cacao, unsweetened baking chocolate, cocoa powder</t>
  </si>
  <si>
    <t>cocoa</t>
  </si>
  <si>
    <t>Additional calculations; Gidon Correspondence; FFQ variable names joint.xlsx: "choc bars, milk", "dark and milk chocolate practically the same kcal/100g", choco, mchoc &amp; dchoc same env. att.</t>
  </si>
  <si>
    <t>cocoa butter</t>
  </si>
  <si>
    <t>cocoa powder</t>
  </si>
  <si>
    <t>corn syrup</t>
  </si>
  <si>
    <t>corn oil, corn syrup, light corn syrup, high fructose corn syrup</t>
  </si>
  <si>
    <t>1.681681682*corn kernels; Additional Calculations; Gidon MAD, M&amp;H, http://www.foodemissions.com/Calculator; Gidon Correspondence nur11.sas.dd: corn11d = "VEGETABLES - Corn"</t>
  </si>
  <si>
    <t>corn syrup, high fructose corn syrup</t>
  </si>
  <si>
    <t>corn syrup, light corn syrup</t>
  </si>
  <si>
    <t>honey</t>
  </si>
  <si>
    <t>Gidon Correspondence: negligible</t>
  </si>
  <si>
    <t>molasses</t>
  </si>
  <si>
    <t>sugar</t>
  </si>
  <si>
    <t xml:space="preserve">Additional calculations; Gidon Correspondence; nur11.sas.dd: sugar11d = "Sugar in Teaspoons" </t>
  </si>
  <si>
    <t>popcorn, air popped</t>
  </si>
  <si>
    <t>air-popped popcorn</t>
  </si>
  <si>
    <t>FFQ variable names joint.xlsx: "Scaled by caloric ratio between popcorn and corn (1:4.5)"; nur11.sas.dd: popc11d = "SWEETS - Popcorn: Regular"</t>
  </si>
  <si>
    <t>splenda</t>
  </si>
  <si>
    <t>diet soda, splenda</t>
  </si>
  <si>
    <t>white sugar, turbinado, powdered sugar, cane sugar, brown sugar</t>
  </si>
  <si>
    <t>sugar, brown sugar</t>
  </si>
  <si>
    <t>sugar, cane sugar</t>
  </si>
  <si>
    <t>sugar, white sugar</t>
  </si>
  <si>
    <t>broccoli</t>
  </si>
  <si>
    <t>vegetable</t>
  </si>
  <si>
    <r>
      <rPr>
        <sz val="10"/>
        <rFont val="arial,sans,sans-serif"/>
      </rPr>
      <t xml:space="preserve">Additional Calculations; Gidon MAD; M&amp;H; </t>
    </r>
    <r>
      <rPr>
        <u/>
        <sz val="10"/>
        <color rgb="FF1155CC"/>
        <rFont val="arial,sans,sans-serif"/>
      </rPr>
      <t>foodemissions.com</t>
    </r>
  </si>
  <si>
    <t>brussels sprouts</t>
  </si>
  <si>
    <t>brassica</t>
  </si>
  <si>
    <r>
      <rPr>
        <u/>
        <sz val="10"/>
        <color rgb="FF1155CC"/>
        <rFont val="Arial"/>
      </rPr>
      <t xml:space="preserve">Additional Calculations; Gidon MAD; M&amp;H; </t>
    </r>
    <r>
      <rPr>
        <u/>
        <sz val="10"/>
        <color rgb="FF1155CC"/>
        <rFont val="Arial"/>
      </rPr>
      <t>foodemissions.com</t>
    </r>
    <r>
      <rPr>
        <u/>
        <sz val="10"/>
        <color rgb="FF1155CC"/>
        <rFont val="Arial"/>
      </rPr>
      <t>; Poore 2018</t>
    </r>
  </si>
  <si>
    <t>cabbage</t>
  </si>
  <si>
    <t>Additional Calculations; Gidon MAD; M&amp;H; foodemissions.com</t>
  </si>
  <si>
    <t>vegetables</t>
  </si>
  <si>
    <t>carrot, carrot juice</t>
  </si>
  <si>
    <t>addtional calculations; nur11.sas.dd: rcar11d = "VEGETABLES - Carrots Raw"</t>
  </si>
  <si>
    <t>carrot, cooked carrot</t>
  </si>
  <si>
    <t>Additional Calculations (scaled by caloric ratio of raw carrots to cooked carrots); nur11.sas.dd: rcar11d = "VEGETABLES - Carrots Raw"</t>
  </si>
  <si>
    <t>cauliflower</t>
  </si>
  <si>
    <t>Additional Calculations; Gidon MAD; M&amp;H;  foodemissions.com; FFQ variable names joint.xlsx: "cauli"</t>
  </si>
  <si>
    <t>celery</t>
  </si>
  <si>
    <t>mixed vegetable</t>
  </si>
  <si>
    <t>MAD &amp; FFQ variable names joint.xlsx description: "cel"</t>
  </si>
  <si>
    <t>garlic</t>
  </si>
  <si>
    <t>onion, garlic powder</t>
  </si>
  <si>
    <r>
      <rPr>
        <sz val="10"/>
        <rFont val="arial,sans,sans-serif"/>
      </rPr>
      <t xml:space="preserve">Additional Calculations; Gidon MAD; M&amp;H; </t>
    </r>
    <r>
      <rPr>
        <u/>
        <sz val="10"/>
        <color rgb="FF1155CC"/>
        <rFont val="arial,sans,sans-serif"/>
      </rPr>
      <t>foodemissions.com</t>
    </r>
    <r>
      <rPr>
        <sz val="10"/>
        <rFont val="arial,sans,sans-serif"/>
      </rPr>
      <t>; FFQ variable names joint.xlsx: "garl"</t>
    </r>
  </si>
  <si>
    <t>garlic powder</t>
  </si>
  <si>
    <t>onion, garlic</t>
  </si>
  <si>
    <r>
      <rPr>
        <sz val="10"/>
        <color rgb="FF000000"/>
        <rFont val="Arial"/>
      </rPr>
      <t xml:space="preserve">Additional Calculations; Gidon MAD; M&amp;H; </t>
    </r>
    <r>
      <rPr>
        <u/>
        <sz val="10"/>
        <color rgb="FF1155CC"/>
        <rFont val="Arial"/>
      </rPr>
      <t>foodemissions.com</t>
    </r>
  </si>
  <si>
    <t>green bean</t>
  </si>
  <si>
    <t>nur11.sas.dd: sbean11d = "VEGETABLES - String Beans"</t>
  </si>
  <si>
    <t>kale</t>
  </si>
  <si>
    <t>kale, mustard greens</t>
  </si>
  <si>
    <t>Gidon Correspondence; FFQ variable names joint.xlsx works cited: "use average values of other greens (spinach, lettuce)"</t>
  </si>
  <si>
    <t>lettuce, iceberg</t>
  </si>
  <si>
    <t>lettuce</t>
  </si>
  <si>
    <t>iceberg lettuce, romaine lettuce</t>
  </si>
  <si>
    <t>FFQ variable names joint.xlsx: "ilett"</t>
  </si>
  <si>
    <t>lettuce, romaine</t>
  </si>
  <si>
    <t>FFQ variable names joint.xlsx: "rlett"</t>
  </si>
  <si>
    <t>mushroom</t>
  </si>
  <si>
    <t>FFQ variable name...; Additional calculations for blue water needs</t>
  </si>
  <si>
    <t>mustard greens</t>
  </si>
  <si>
    <t>onion</t>
  </si>
  <si>
    <t>parsley, dried parsley</t>
  </si>
  <si>
    <t>raw spinach, boiled spinach, parsley</t>
  </si>
  <si>
    <t>derived from spinach; FFQ variable name: parsley; Additional calculations for dried</t>
  </si>
  <si>
    <t>peppers, green peppers</t>
  </si>
  <si>
    <t>mixed vegetables, pepper</t>
  </si>
  <si>
    <t>green peppers, red peppers, hot peppers</t>
  </si>
  <si>
    <t>Gidon Correspondence: all peppers equal; nur11.sas.dd: grpep11d = "VEGETABLES - Green or Red Peppers"</t>
  </si>
  <si>
    <t>peppers, hot peppers</t>
  </si>
  <si>
    <t>peppers, red peppers</t>
  </si>
  <si>
    <t>potato</t>
  </si>
  <si>
    <t>potato, microwaved potato</t>
  </si>
  <si>
    <t>Additional Calculations; Gidon MAD; M&amp;H; foodemissions.com;FFQ variable names joint.xlsx description: "potatoes, mashed or baked" &lt;https://docs.google.com/spreadsheets/d/1BbCL2gri47aPSb-v94zeByl8WBLT57MgapxjyGb_fLA/edit#gid=1214142331&gt;</t>
  </si>
  <si>
    <r>
      <rPr>
        <sz val="10"/>
        <rFont val="arial,sans,sans-serif"/>
      </rPr>
      <t xml:space="preserve">Additional Calculations; Gidon MAD; M&amp;H; </t>
    </r>
    <r>
      <rPr>
        <u/>
        <sz val="10"/>
        <color rgb="FF1155CC"/>
        <rFont val="arial,sans,sans-serif"/>
      </rPr>
      <t>foodemissions.com</t>
    </r>
    <r>
      <rPr>
        <sz val="10"/>
        <rFont val="arial,sans,sans-serif"/>
      </rPr>
      <t>;FFQ variable names joint.xlsx description: "potatoes, mashed or baked" &lt;https://docs.google.com/spreadsheets/d/1BbCL2gri47aPSb-v94zeByl8WBLT57MgapxjyGb_fLA/edit#gid=1214142331&gt;</t>
    </r>
  </si>
  <si>
    <t>spinach, raw and boiled</t>
  </si>
  <si>
    <t>raw spinach, boiled spinach</t>
  </si>
  <si>
    <r>
      <rPr>
        <sz val="10"/>
        <rFont val="arial,sans,sans-serif"/>
      </rPr>
      <t xml:space="preserve">Additional Calculations; Gidon MAD; M&amp;H;  </t>
    </r>
    <r>
      <rPr>
        <u/>
        <sz val="10"/>
        <color rgb="FF1155CC"/>
        <rFont val="arial,sans,sans-serif"/>
      </rPr>
      <t>foodemissions.com</t>
    </r>
    <r>
      <rPr>
        <sz val="10"/>
        <rFont val="arial,sans,sans-serif"/>
      </rPr>
      <t>;FFQ variable names joint.xlsx "rspin" and "spin"; Caloric ratio is equivalent based on USDA FoodData Central</t>
    </r>
  </si>
  <si>
    <t>squash, summer squash, cooked</t>
  </si>
  <si>
    <r>
      <rPr>
        <sz val="10"/>
        <rFont val="arial,sans,sans-serif"/>
      </rPr>
      <t xml:space="preserve">Additional Calculations; Gidon MAD; M&amp;H;  </t>
    </r>
    <r>
      <rPr>
        <u/>
        <sz val="10"/>
        <color rgb="FF1155CC"/>
        <rFont val="arial,sans,sans-serif"/>
      </rPr>
      <t>foodemissions.com</t>
    </r>
    <r>
      <rPr>
        <sz val="10"/>
        <rFont val="arial,sans,sans-serif"/>
      </rPr>
      <t>; USDA Food data central; FFQ variable names joint.xlsx description: "yellow squash" BOILED, DRAINED, UNSALTED SUMMER SQUASH</t>
    </r>
  </si>
  <si>
    <t>squash, winter squash, cooked</t>
  </si>
  <si>
    <t>nur11.sas.dd: osqua11d = "VEGETABLES - Orange Winter Squash"</t>
  </si>
  <si>
    <t>sweet potato</t>
  </si>
  <si>
    <t>sweet potato; yam</t>
  </si>
  <si>
    <t>MAD &amp; FFQ variable..</t>
  </si>
  <si>
    <t>tomato</t>
  </si>
  <si>
    <r>
      <rPr>
        <sz val="10"/>
        <rFont val="arial,sans,sans-serif"/>
      </rPr>
      <t xml:space="preserve">Additional Calculations; Gidon MAD; M&amp;H; </t>
    </r>
    <r>
      <rPr>
        <u/>
        <sz val="10"/>
        <color rgb="FF1155CC"/>
        <rFont val="arial,sans,sans-serif"/>
      </rPr>
      <t>foodemissions.com</t>
    </r>
    <r>
      <rPr>
        <sz val="10"/>
        <rFont val="arial,sans,sans-serif"/>
      </rPr>
      <t>; nur11.sas.dd: tom11d = "VEGETABLES - Tomatoes (L26)"</t>
    </r>
  </si>
  <si>
    <t>tomato paste</t>
  </si>
  <si>
    <t>Additional Calculations; Gidon MAD; M&amp;H; foodemissions.com; nur11.sas.dd: tom11d = "VEGETABLES - Tomatoes (L26)" tomatoes, reduced; nur11.sas.dd: tom11d = "VEGETABLES - Tomatoes (L26)"</t>
  </si>
  <si>
    <t>miscellaneous (without equation)</t>
  </si>
  <si>
    <t>mixed vegetables</t>
  </si>
  <si>
    <t>FFQ variable names joint.xlsx works cited: "average of all other vegetables" &lt;https://docs.google.com/spreadsheets/d/1BbCL2gri47aPSb-v94zeByl8WBLT57MgapxjyGb_fLA/edit#gid=1214142331&gt; followed this equation using this database; Gidon Correspondence</t>
  </si>
  <si>
    <t>MIXED VEGETABLE AVERAGE</t>
  </si>
  <si>
    <t>summer squash, cooked</t>
  </si>
  <si>
    <t>red/green peppers</t>
  </si>
  <si>
    <t>hot peppers</t>
  </si>
  <si>
    <t>winter squash, cooked</t>
  </si>
  <si>
    <t>WATER</t>
  </si>
  <si>
    <t>m^3</t>
  </si>
  <si>
    <t>1g</t>
  </si>
  <si>
    <t>Calculation</t>
  </si>
  <si>
    <t>Water needs m^3/1g</t>
  </si>
  <si>
    <t>notes</t>
  </si>
  <si>
    <t>not significant</t>
  </si>
  <si>
    <t>BEVERAGES</t>
  </si>
  <si>
    <t>80 proof liquor research</t>
  </si>
  <si>
    <t>gPO4/70cl</t>
  </si>
  <si>
    <t>gPO4/g</t>
  </si>
  <si>
    <t>gNr/g</t>
  </si>
  <si>
    <t>Nr Needs</t>
  </si>
  <si>
    <t>80 PROOF LIQUOR</t>
  </si>
  <si>
    <t>Conversion Calculation</t>
  </si>
  <si>
    <t>loss-adjusted land needs, m2-yr/1g</t>
  </si>
  <si>
    <t>loss-adjusted Nr needs, gNr/100g</t>
  </si>
  <si>
    <t>GHG emission kg CO2eq/1g</t>
  </si>
  <si>
    <t>Beer</t>
  </si>
  <si>
    <t>Liquor</t>
  </si>
  <si>
    <t>References:</t>
  </si>
  <si>
    <t>Beer calculations; Gidon correspondence</t>
  </si>
  <si>
    <t>CleanMetrics. (2020). "Malt Whiskey." Food Carbon Emissions Calculator. http://www.foodemissions.com/Calculator.</t>
  </si>
  <si>
    <t>APPLE JUICE</t>
  </si>
  <si>
    <t>% of juice per apple</t>
  </si>
  <si>
    <t>loss-adjusted Nr needs, gNr/1g</t>
  </si>
  <si>
    <t>"Apples" in FRUIT category of this sheet (cell A79)</t>
  </si>
  <si>
    <t>Bhushan, S., Kalia, K., Sharma, M., Singh, B., &amp; Ahuja, P. S. (2008). Processing of apple pomace for bioactive molecules. Critical reviews in biotechnology, 28(4), 285-296</t>
  </si>
  <si>
    <t>BEER</t>
  </si>
  <si>
    <t>Barley % of beer</t>
  </si>
  <si>
    <t>6 pack beer/g</t>
  </si>
  <si>
    <t>ENV land needs, loss-adjusted m2-yr/1g</t>
  </si>
  <si>
    <t>ENV NR needs, loss-adjusted, gNr/1g</t>
  </si>
  <si>
    <t>BLUE water needs (m^3/1g)</t>
  </si>
  <si>
    <t>ENV GHG emission kg CO2eq/1g</t>
  </si>
  <si>
    <t>Mek&amp;Hoek 2011</t>
  </si>
  <si>
    <t>Amienyo 2016</t>
  </si>
  <si>
    <t>Fat TIre 2008</t>
  </si>
  <si>
    <t>Callow (2006)</t>
  </si>
  <si>
    <t>Sipperly (2014)</t>
  </si>
  <si>
    <t>FINAL</t>
  </si>
  <si>
    <t>- MH11 value fraction :(</t>
  </si>
  <si>
    <t xml:space="preserve">References: </t>
  </si>
  <si>
    <t>Mekonnen, M. M., &amp; Hoekstra, A. Y. (2011). "Beer made from malt." The green, blue and grey water footprint of crops and derived crop products.</t>
  </si>
  <si>
    <t>Amienyo, D., &amp; Azapagic, A. (2016). Life cycle environmental impacts and costs of beer production and consumption in the UK. The International Journal of Life Cycle Assessment, 21(4), 492-509.</t>
  </si>
  <si>
    <t>Climate Conservancy (2008). The carbon footprint of Fat Tire® Amber ale. The Climate Conservancy. Available at https://www.ess.uci.edu/~sjdavis/pubs/Fat_Tire_2008.pdf</t>
  </si>
  <si>
    <t>Callow, M., Kenman, S., Walker, R., Warren, R., &amp; Rawnsley, R. (2006). Estimating Annual Irrigation Water Requirements. Queensland Government Department of Primary Industries and Fisheries.</t>
  </si>
  <si>
    <t>Sipperly, E., Edinger, K., Ziegler, N., &amp; Roberts, E. (2014). Comparative Cradle to Gate Life Cycle Assessment of 100% Barley-based Singha Lager Beer in Thailand. Bangkok, Thailand.</t>
  </si>
  <si>
    <r>
      <t xml:space="preserve">"Alcoholic beverage, beer, regular, Budweiser." Calculate weight of generic and branded foods per volume. </t>
    </r>
    <r>
      <rPr>
        <u/>
        <sz val="10"/>
        <color rgb="FF1155CC"/>
        <rFont val="Arial"/>
      </rPr>
      <t>https://www.aqua-calc.com/calculate/food-volume-to-weight</t>
    </r>
  </si>
  <si>
    <r>
      <rPr>
        <sz val="10"/>
        <rFont val="Arial"/>
      </rPr>
      <t xml:space="preserve">CleanMetrics. (2020). Food Carbon Emissions Calculator. </t>
    </r>
    <r>
      <rPr>
        <u/>
        <sz val="10"/>
        <color rgb="FF1155CC"/>
        <rFont val="Arial"/>
      </rPr>
      <t>http://www.foodemissions.com/Calculator.</t>
    </r>
  </si>
  <si>
    <t>CARROT JUICE</t>
  </si>
  <si>
    <t>carrot, raw</t>
  </si>
  <si>
    <t>Eshel, Gidon.  "MAD". Gidon_EnvironCalcPaper3_151104AS_poultryconcise (2).xlsx</t>
  </si>
  <si>
    <t>Mekonnen, M. M., &amp; Hoekstra, A. Y. (2011). "Carrots and turnips." The green, blue and grey water footprint of crops and derived crop products.</t>
  </si>
  <si>
    <t>Di Giacomo, G., &amp; Taglieri, L. (2009). A new high-yield process for the industrial production of carrot juice. Food and Bioprocess Technology, 2(4), 441.</t>
  </si>
  <si>
    <r>
      <t>USDA, (2020). "Carrots, raw." FoodData Central. U.S. Department of Agriculture. &lt;</t>
    </r>
    <r>
      <rPr>
        <u/>
        <sz val="10"/>
        <color rgb="FF1155CC"/>
        <rFont val="Arial"/>
      </rPr>
      <t>https://fdc.nal.usda.gov/fdc-app.html#/food-details/1103193/nutrients</t>
    </r>
    <r>
      <rPr>
        <sz val="10"/>
        <color rgb="FF000000"/>
        <rFont val="Arial"/>
      </rPr>
      <t>&gt;.</t>
    </r>
  </si>
  <si>
    <r>
      <t>USDA, (2020). "Carrot juice, 100%." FoodData Central. U.S. Department of Agriculture. &lt;</t>
    </r>
    <r>
      <rPr>
        <u/>
        <sz val="10"/>
        <color rgb="FF1155CC"/>
        <rFont val="Arial"/>
      </rPr>
      <t>https://fdc.nal.usda.gov/fdc-app.html#/food-details/1103216/nutrients</t>
    </r>
    <r>
      <rPr>
        <sz val="10"/>
        <color rgb="FF000000"/>
        <rFont val="Arial"/>
      </rPr>
      <t>&gt;.</t>
    </r>
  </si>
  <si>
    <t>COCA-COLA 
&amp; 
OTHER CARBONATED BEVERAGE</t>
  </si>
  <si>
    <t>percentage of coca-cola that is HFCS</t>
  </si>
  <si>
    <t>High Fructose Corn-Syrup</t>
  </si>
  <si>
    <t>Coca-Cola</t>
  </si>
  <si>
    <t>Other Carbonated Beverage</t>
  </si>
  <si>
    <t>Gray, F. (1991). Trends in US production and use of glucose syrup and dextrose, 1965-1990, and prospects for the future. Tech. rep., US Department of Agriculture, Economic Research Service.</t>
  </si>
  <si>
    <r>
      <rPr>
        <u/>
        <sz val="10"/>
        <color rgb="FF1155CC"/>
        <rFont val="Arial"/>
      </rPr>
      <t xml:space="preserve">"Beverages, carbonated, cola, regular." Calculate weight of generic and branded foods per volume. </t>
    </r>
    <r>
      <rPr>
        <u/>
        <sz val="10"/>
        <color rgb="FF1155CC"/>
        <rFont val="Arial"/>
      </rPr>
      <t>https://www.aqua-calc.com/calculate/food-volume-to-weight</t>
    </r>
  </si>
  <si>
    <r>
      <t>USDA, (2020). "Coca-Cola Bottle, 1.25 Liters." FoodData Central. U.S. Department of Agriculture. &lt;</t>
    </r>
    <r>
      <rPr>
        <u/>
        <sz val="10"/>
        <color rgb="FF1155CC"/>
        <rFont val="Arial"/>
      </rPr>
      <t>https://fdc.nal.usda.gov/fdc-app.html#/food-details/768964/nutrients</t>
    </r>
    <r>
      <rPr>
        <sz val="10"/>
        <color rgb="FF000000"/>
        <rFont val="Arial"/>
      </rPr>
      <t>&gt;.</t>
    </r>
  </si>
  <si>
    <t>COFFEE 
research</t>
  </si>
  <si>
    <t>LAND USE</t>
  </si>
  <si>
    <t>REACTIVE NITROGEN</t>
  </si>
  <si>
    <t>Coffee Mass lost in Roasting</t>
  </si>
  <si>
    <t>Country</t>
  </si>
  <si>
    <t>Yield per country
(m2/g)</t>
  </si>
  <si>
    <t>% imported per
country</t>
  </si>
  <si>
    <t>Total Yield 
(m2/g)</t>
  </si>
  <si>
    <t>kgN/ha/yr</t>
  </si>
  <si>
    <t>gN/m^2</t>
  </si>
  <si>
    <t>gNr/g(coffee)</t>
  </si>
  <si>
    <t>% weight loss
to roasted
coffee</t>
  </si>
  <si>
    <t xml:space="preserve">Average mass conversion </t>
  </si>
  <si>
    <t>Brazil</t>
  </si>
  <si>
    <t>Colombia</t>
  </si>
  <si>
    <t>Haifa</t>
  </si>
  <si>
    <t>Vietnam</t>
  </si>
  <si>
    <t>Average</t>
  </si>
  <si>
    <t>COFFEE</t>
  </si>
  <si>
    <t>bean to cup
ratio</t>
  </si>
  <si>
    <t>Blue Water needs m^3/1g</t>
  </si>
  <si>
    <t>Coffee Bean</t>
  </si>
  <si>
    <t>Drip Coffee</t>
  </si>
  <si>
    <t>Espresso</t>
  </si>
  <si>
    <t>Land Use:</t>
  </si>
  <si>
    <t>Acosta, Luis Jaime. (2019, November 27). "Colombia's coffee growers must focus on quality to lock in profits -federation." Reuters.https://www.reuters.com/article/colombia-coffee/colombias-coffee-growers-must-focus-on-quality-to-lock-in-profits-federation-idUKL1N28701C</t>
  </si>
  <si>
    <t>Nr:</t>
  </si>
  <si>
    <t>Lopes, A. S. (2004). Fertilizer use by crop in Brazil. FAO, Rome.&lt;http://www.fao.org/3/y5376e/y5376e0a.htm#bm10.1&gt;</t>
  </si>
  <si>
    <t>Haifa Group (2020). "Fertilization of coffee: the benefits of foliar spraying with Multi-K."  Available at https://www.haifa-group.com/fertilization-coffee-benefits-foliar-spraying-multi-k.</t>
  </si>
  <si>
    <t>Water:</t>
  </si>
  <si>
    <t>Mekonnen, M. M., &amp; Hoekstra, A. Y. (2011). "Coffee, roasted." The green, blue and grey water footprint of crops and derived crop products.</t>
  </si>
  <si>
    <t>GHGE:</t>
  </si>
  <si>
    <r>
      <rPr>
        <sz val="10"/>
        <rFont val="Arial"/>
      </rPr>
      <t xml:space="preserve">CleanMetrics. (2020). "Coffee Beans, green." Food Carbon Emissions Calculator. </t>
    </r>
    <r>
      <rPr>
        <u/>
        <sz val="10"/>
        <color rgb="FF1155CC"/>
        <rFont val="Arial"/>
      </rPr>
      <t>http://www.foodemissions.com/Calculator.</t>
    </r>
  </si>
  <si>
    <t>Mass loss in roasting:</t>
  </si>
  <si>
    <t>Odžaković, B., Džinić, N., Jokanović, M., &amp; Grujić, S. (2019). The influence of roasting temperature on the physical properties of Arabica and Robusta coffee. Acta Periodica Technologica, (50), 172-178.</t>
  </si>
  <si>
    <t>Drip Coffee ratio:</t>
  </si>
  <si>
    <t>Counter Culture Coffee (2020). "Brewing Guides". Available at https://counterculturecoffee.com/learn/brewing-guides.</t>
  </si>
  <si>
    <t>Espresso ratio:</t>
  </si>
  <si>
    <t>La Marzocco (2014). "Brew Ratios Around the World". La Marzocco USA. Available at https://home.lamarzoccousa.com/brew-ratios-around-world/.</t>
  </si>
  <si>
    <t>Cranberries (Cranberry Juice Background)</t>
  </si>
  <si>
    <t>Researched land-needs</t>
  </si>
  <si>
    <t>calculation</t>
  </si>
  <si>
    <t>loss-adjusted land needs, m2-yr/100g</t>
  </si>
  <si>
    <t>Researched Nr needs</t>
  </si>
  <si>
    <t>Cranberries</t>
  </si>
  <si>
    <t>*4046.86/100*.2204621</t>
  </si>
  <si>
    <t>/0.002204621*13700/1490000/100*.2204621</t>
  </si>
  <si>
    <t>confirmed done 3/10/19</t>
  </si>
  <si>
    <t>CRANBERRY JUICE</t>
  </si>
  <si>
    <t>Researched conversion</t>
  </si>
  <si>
    <t>Yield gmwt</t>
  </si>
  <si>
    <t>Reconstituted (oz)</t>
  </si>
  <si>
    <t>Caloric ratio (kcal/100g)</t>
  </si>
  <si>
    <t>Fiber ratio
(g/100g)</t>
  </si>
  <si>
    <t>*100/.002204621</t>
  </si>
  <si>
    <t>*4048</t>
  </si>
  <si>
    <t>Cranberry Juice</t>
  </si>
  <si>
    <t>Dried Cranberries</t>
  </si>
  <si>
    <t>Sandler, H., &amp; DeMoranville, C. (2008). Cranberry production: a guide for Massachusetts-summary edition.</t>
  </si>
  <si>
    <t>Mekonnen, M. M., &amp; Hoekstra, A. Y. (2011). The green, blue and grey water footprint of crops and derived crop products.</t>
  </si>
  <si>
    <t>Knudson, W.A. 2008. “The Economic Impact of Expanded Cranberry Production.” Michigan State University, Strategic Marketing Institute. Working Paper 01-1208. &lt;https://www.canr.msu.edu/productcenter/uploads/files/cranberries.pdf&gt;.</t>
  </si>
  <si>
    <t>"Cranberry juice, unsweetened." Calculate weight of generic and branded foods per volume. https://www.aqua-calc.com/calculate/food-volume-to-weight</t>
  </si>
  <si>
    <t>Heller, M. C., Willits-Smith, A., Meyer, R., Keoleian, G. A., &amp; Rose, D. (2018). Greenhouse gas emissions and energy use associated with production of individual self-selected US diets. Environmental Research Letters, 13(4), 044004.</t>
  </si>
  <si>
    <r>
      <t xml:space="preserve">Santa Cruz Natural Incorporated. (n.d.). </t>
    </r>
    <r>
      <rPr>
        <i/>
        <sz val="10"/>
        <rFont val="Arial"/>
      </rPr>
      <t>Cranberry Juice Concentrate</t>
    </r>
    <r>
      <rPr>
        <sz val="10"/>
        <color rgb="FF000000"/>
        <rFont val="Arial"/>
      </rPr>
      <t xml:space="preserve">. Santa Cruz Organic. Available at </t>
    </r>
    <r>
      <rPr>
        <u/>
        <sz val="10"/>
        <color rgb="FF1155CC"/>
        <rFont val="Arial"/>
      </rPr>
      <t>https://www.santacruzorganic.com/products/100-juices/cranberry-concentrate</t>
    </r>
  </si>
  <si>
    <r>
      <t>USDA, (2020). FoodData Central. U.S. Department of Agriculture. &lt;</t>
    </r>
    <r>
      <rPr>
        <u/>
        <sz val="10"/>
        <color rgb="FF1155CC"/>
        <rFont val="Arial"/>
      </rPr>
      <t>https://fdc.nal.usda.gov/fdc-app.html#/food-details/768964/nutrients</t>
    </r>
    <r>
      <rPr>
        <sz val="10"/>
        <color rgb="FF000000"/>
        <rFont val="Arial"/>
      </rPr>
      <t>&gt;.</t>
    </r>
  </si>
  <si>
    <t>GRAPE JUICE, frozen, from concentrate (reconstituted)</t>
  </si>
  <si>
    <t>Juice yield (%)</t>
  </si>
  <si>
    <r>
      <rPr>
        <b/>
        <sz val="11"/>
        <color rgb="FF000000"/>
        <rFont val="Calibri"/>
      </rPr>
      <t>GHG emission kg CO2eq/</t>
    </r>
    <r>
      <rPr>
        <b/>
        <u/>
        <sz val="11"/>
        <color rgb="FF000000"/>
        <rFont val="Calibri"/>
      </rPr>
      <t>1g</t>
    </r>
  </si>
  <si>
    <t>grape</t>
  </si>
  <si>
    <t>grape juice, frozen, concentrate</t>
  </si>
  <si>
    <t>"Grapes" in FRUIT category of this sheet (cell A45)</t>
  </si>
  <si>
    <t>FAO http://www.fao.org/3/y2515e/y2515e14.htm</t>
  </si>
  <si>
    <r>
      <t xml:space="preserve">"Grape juice, canned or bottled, unsweetened, without added ascorbic acid." Calculate weight of generic and branded foods per volume. </t>
    </r>
    <r>
      <rPr>
        <u/>
        <sz val="10"/>
        <color rgb="FF1155CC"/>
        <rFont val="Arial"/>
      </rPr>
      <t>https://www.aqua-calc.com/calculate/food-volume-to-weight</t>
    </r>
  </si>
  <si>
    <r>
      <t xml:space="preserve">CleanMetrics. (2020). Food Carbon Emissions Calculator. </t>
    </r>
    <r>
      <rPr>
        <u/>
        <sz val="10"/>
        <color rgb="FF1155CC"/>
        <rFont val="Arial"/>
      </rPr>
      <t>http://www.foodemissions.com/Calculator.</t>
    </r>
  </si>
  <si>
    <t>Mekonnen, M. M., &amp; Hoekstra, A. Y. (2011). "Grapes." The green, blue and grey water footprint of crops and derived crop products.</t>
  </si>
  <si>
    <t>GRAPEFRUIT
JUICE</t>
  </si>
  <si>
    <t>Juice yield</t>
  </si>
  <si>
    <t>Grapefruit</t>
  </si>
  <si>
    <t>Grapefruit Juice</t>
  </si>
  <si>
    <t>Mekonnen, M. M., &amp; Hoekstra, A. Y. (2011). "Grapefruit." The green, blue and grey water footprint of crops and derived crop products.</t>
  </si>
  <si>
    <t>The Culinary Institute of America. "Educator Lesson Plan “ʻKitchen Calculations.ʻ"  Available at https://www.ciachef.edu/uploadedFiles/Pages/Admissions_and_Financial_Aid/Educators/Educational_Materials/Technique_of_the_Quarter/techniques-calculations.pdf.</t>
  </si>
  <si>
    <t>Lemon research</t>
  </si>
  <si>
    <t>Mean/Median Unit weight</t>
  </si>
  <si>
    <t>Edible portion</t>
  </si>
  <si>
    <t>%</t>
  </si>
  <si>
    <t>France</t>
  </si>
  <si>
    <t>U.S.</t>
  </si>
  <si>
    <t>Sweden</t>
  </si>
  <si>
    <t>Belgium</t>
  </si>
  <si>
    <t>LEMON JUICE, frozen, from concentrate</t>
  </si>
  <si>
    <t>lemon (with peel)</t>
  </si>
  <si>
    <t>lemon (edible portion)</t>
  </si>
  <si>
    <t>lemon juice, from frozen concentrate</t>
  </si>
  <si>
    <t>/</t>
  </si>
  <si>
    <t>(2003). "Check Unit Wts". WHO. Available at https://www.who.int/foodsafety/chem/acute_hazard_db3.pdf.</t>
  </si>
  <si>
    <t>Mekonnen, M. M., &amp; Hoekstra, A. Y. (2011). "Lemons and limes." The green, blue and grey water footprint of crops and derived crop products.</t>
  </si>
  <si>
    <r>
      <rPr>
        <sz val="10"/>
        <rFont val="Arial"/>
      </rPr>
      <t xml:space="preserve">CleanMetrics. (2020). "Lemon, Lisbon Variety." Food Carbon Emissions Calculator. </t>
    </r>
    <r>
      <rPr>
        <u/>
        <sz val="10"/>
        <color rgb="FF1155CC"/>
        <rFont val="Arial"/>
      </rPr>
      <t>http://www.foodemissions.com/Calculator.</t>
    </r>
  </si>
  <si>
    <t>LIGHT BEER</t>
  </si>
  <si>
    <t>kcal</t>
  </si>
  <si>
    <t>gmwt</t>
  </si>
  <si>
    <t>Light Beer</t>
  </si>
  <si>
    <t>"Alcoholic beverage, beer, regular, Budweiser." Calculate weight of generic and branded foods per volume. https://www.aqua-calc.com/calculate/food-volume-to-weight</t>
  </si>
  <si>
    <r>
      <t>USDA, (2019). "Alcoholic beverage, beer, light" FoodData Central. U.S. Department of Agriculture. &lt;</t>
    </r>
    <r>
      <rPr>
        <u/>
        <sz val="10"/>
        <color rgb="FF1155CC"/>
        <rFont val="Arial"/>
      </rPr>
      <t>https://fdc.nal.usda.gov/fdc-app.html#/food-details/168749/nutrients</t>
    </r>
    <r>
      <rPr>
        <sz val="10"/>
        <color rgb="FF000000"/>
        <rFont val="Arial"/>
      </rPr>
      <t>&gt;.</t>
    </r>
  </si>
  <si>
    <r>
      <t>USDA, (2019). "Alcoholic beverage, beer, regular, all." FoodData Central. U.S. Department of Agriculture. &lt;</t>
    </r>
    <r>
      <rPr>
        <u/>
        <sz val="10"/>
        <color rgb="FF1155CC"/>
        <rFont val="Arial"/>
      </rPr>
      <t>https://fdc.nal.usda.gov/fdc-app.html#/food-details/168746/nutrients</t>
    </r>
    <r>
      <rPr>
        <sz val="10"/>
        <color rgb="FF000000"/>
        <rFont val="Arial"/>
      </rPr>
      <t>&gt;.</t>
    </r>
  </si>
  <si>
    <t>ORANGE JUICE, frozen, from concentrate</t>
  </si>
  <si>
    <t>Yield</t>
  </si>
  <si>
    <t>oranges</t>
  </si>
  <si>
    <t>orange juice</t>
  </si>
  <si>
    <t>Reference:</t>
  </si>
  <si>
    <t>Bates, R. P., Morris, J. R., &amp; Crandall, P. G. (2001). Practical aspects of citrus juice processing. Principles and practices of small-and medium-scale fruit juice procesing,. Rome, FAO Agricultural Services Bulletin, 146.</t>
  </si>
  <si>
    <t>Mekonnen, M. M., &amp; Hoekstra, A. Y. (2011). "Orange juice." The green, blue and grey water footprint of crops and derived crop products.</t>
  </si>
  <si>
    <t>CleanMetrics. (2020). "Orange juice." Food Carbon Emissions Calculator. http://www.foodemissions.com/Calculator.</t>
  </si>
  <si>
    <t>PINEAPPLE JUICE (canned, unsweetened)</t>
  </si>
  <si>
    <t>pineapple</t>
  </si>
  <si>
    <t>pineapple juice</t>
  </si>
  <si>
    <t>Tianjin Anson International Co., Ltd. "Pineapple Juice Processing Complete Sets Of Production Lines." http://www.ticomachine.com/faq/pineapple-juice-processing.html</t>
  </si>
  <si>
    <t>Pomegranate Juice Background</t>
  </si>
  <si>
    <t>Pomegranates NItrogen</t>
  </si>
  <si>
    <t>2011 (in gNr/100g)</t>
  </si>
  <si>
    <t>2012 (in gNr/100g)</t>
  </si>
  <si>
    <t>2013 (in gNr/100g)</t>
  </si>
  <si>
    <t>2014 (in gNr/100g)</t>
  </si>
  <si>
    <t>%N of molecular weight</t>
  </si>
  <si>
    <t>Final (gN/100g)</t>
  </si>
  <si>
    <t>Atomic Mass (common isotopes)</t>
  </si>
  <si>
    <t>NH4NO3</t>
  </si>
  <si>
    <t>N</t>
  </si>
  <si>
    <t>H</t>
  </si>
  <si>
    <t>O</t>
  </si>
  <si>
    <t>K</t>
  </si>
  <si>
    <t>Ca</t>
  </si>
  <si>
    <t>KNO3</t>
  </si>
  <si>
    <t>Ca(NO3)2</t>
  </si>
  <si>
    <t>N2O</t>
  </si>
  <si>
    <t>TOTAL</t>
  </si>
  <si>
    <t>Pomegranates
Researched land-needs (ha/ton)</t>
  </si>
  <si>
    <t>Pomegranates
Researched Water needs (m3/ha)</t>
  </si>
  <si>
    <t>Water needs m^3/100g</t>
  </si>
  <si>
    <t>Pomegranates
Researched GHG emission (kgCO2eq/3.9kg)</t>
  </si>
  <si>
    <t>GHG emission kg CO2eq/100g</t>
  </si>
  <si>
    <t>*1</t>
  </si>
  <si>
    <t>(ha/10.3375ton)*(1/10000ton/100g)</t>
  </si>
  <si>
    <t>(1/3.9)*(0.1)</t>
  </si>
  <si>
    <t>POMEGRANATE JUICE</t>
  </si>
  <si>
    <t>pomegranates</t>
  </si>
  <si>
    <t>Vázquez-Rowe, I., Kahhat, R., Santillán-Saldívar, J., Quispe, I., &amp; Bentín, M. (2017). Carbon footprint of pomegranate (Punica granatum) cultivation in a hyper-arid region in coastal Peru. The International Journal of Life Cycle Assessment, 22(4), 601-617.</t>
  </si>
  <si>
    <t>CleanMetrics. (2020). "Pomegranates." Food Carbon Emissions Calculator. http://www.foodemissions.com/Calculator.</t>
  </si>
  <si>
    <t>Catania, P., Comparetti, A., De Pasquale, C., Morello, G., &amp; Vallone, M. (2020). Effects of the Extraction Technology on Pomegranate Juice Quality. Agronomy, 10(10), 1483.</t>
  </si>
  <si>
    <t>PRUNE JUICE</t>
  </si>
  <si>
    <t>kcal/100g</t>
  </si>
  <si>
    <t>Dried Prunes</t>
  </si>
  <si>
    <t>Prune Juice</t>
  </si>
  <si>
    <r>
      <rPr>
        <sz val="10"/>
        <color rgb="FF222222"/>
        <rFont val="Arial, sans-serif"/>
      </rPr>
      <t xml:space="preserve">Bates, R. P., Pierce, R., Morris, J. R., &amp; Crandall, P. G. (2001). Tree fruit: Apple, pear, peach, plum, apricot and plums. Principles and practices of small-and medium-scale fruit juice processing. FAO Agricultural Services Bulletin, 146, 151-169. Available at </t>
    </r>
    <r>
      <rPr>
        <u/>
        <sz val="10"/>
        <color rgb="FF1155CC"/>
        <rFont val="Arial, sans-serif"/>
      </rPr>
      <t>http://www.fao.org/3/y2515e/y2515e15.htm.</t>
    </r>
  </si>
  <si>
    <t>Varzakas, T.; Labropoulos, A.; Anestis, S. (2012). Sweeteners: Nutritional Aspects, Applications, and Production Technology. CRC Press. p. 187. ISBN 978-1-4398-7673-2. Retrieved March 15, 2019.</t>
  </si>
  <si>
    <t>TEA location</t>
  </si>
  <si>
    <t>Imports to U.S. from countries of origin</t>
  </si>
  <si>
    <t>kg in 2015</t>
  </si>
  <si>
    <t>Argentina</t>
  </si>
  <si>
    <t>#1 importer</t>
  </si>
  <si>
    <t>over 50% of all tea</t>
  </si>
  <si>
    <t>mostly black tea</t>
  </si>
  <si>
    <t>China</t>
  </si>
  <si>
    <t>#2 importer</t>
  </si>
  <si>
    <t>largest supplier of green tea to the world</t>
  </si>
  <si>
    <t>mostly green tea</t>
  </si>
  <si>
    <t>TEA land use</t>
  </si>
  <si>
    <t>Area of Tea Plantations (year-end) (ha)</t>
  </si>
  <si>
    <t>Sown area (ha)</t>
  </si>
  <si>
    <t>Output of farm products (tons)</t>
  </si>
  <si>
    <t>Sown area of State Farm tea plantations (ha)</t>
  </si>
  <si>
    <t>Output of State Farm Tea (ton)</t>
  </si>
  <si>
    <t>Total output/area sown (ha/ton)</t>
  </si>
  <si>
    <t>Total yield m2/g</t>
  </si>
  <si>
    <t>Farm output/Tea plantation area (ha/ton)</t>
  </si>
  <si>
    <t>yield ha/g tea</t>
  </si>
  <si>
    <t>yield m2/g</t>
  </si>
  <si>
    <t>Sites in Lushan Mountain in Jiangxi Province, eastern China</t>
  </si>
  <si>
    <t>Spring tea yield in 2014 (g/ha)</t>
  </si>
  <si>
    <t>yield ha/g</t>
  </si>
  <si>
    <t>Crop Yield</t>
  </si>
  <si>
    <t>t/Ha</t>
  </si>
  <si>
    <t>Ha/t</t>
  </si>
  <si>
    <t>ha/g</t>
  </si>
  <si>
    <t>m2/g</t>
  </si>
  <si>
    <t>FAOStat</t>
  </si>
  <si>
    <t>Cumaling</t>
  </si>
  <si>
    <t>Area Harvested (ha)</t>
  </si>
  <si>
    <t xml:space="preserve"> </t>
  </si>
  <si>
    <t>Mazu temple</t>
  </si>
  <si>
    <t>India</t>
  </si>
  <si>
    <t>Production (t)</t>
  </si>
  <si>
    <t>Songshuling</t>
  </si>
  <si>
    <t>Kenya</t>
  </si>
  <si>
    <t>Yield (hg/ha)</t>
  </si>
  <si>
    <t>Xiaotianchi</t>
  </si>
  <si>
    <t>Sri Lanka</t>
  </si>
  <si>
    <t>Jingzuo station</t>
  </si>
  <si>
    <t>Turkey</t>
  </si>
  <si>
    <t>Argentina Yield (hg/ha)</t>
  </si>
  <si>
    <t>World</t>
  </si>
  <si>
    <t>China Yield (hg/ha)</t>
  </si>
  <si>
    <t>TEA nitrogen</t>
  </si>
  <si>
    <t>Emissions</t>
  </si>
  <si>
    <t>Nitrogen compound emission amounts (gNr/ha/yr)</t>
  </si>
  <si>
    <t>Nitrogen emissions (gNr/ha)</t>
  </si>
  <si>
    <t>Total Nr Emissions (gNr/ha)</t>
  </si>
  <si>
    <t>Nr emissions (gNr/g tea)</t>
  </si>
  <si>
    <t>Applied N fertilizer (gNr/ha)</t>
  </si>
  <si>
    <t>Applied N (gNr/g)</t>
  </si>
  <si>
    <t>Applied Organic Nitrogen fertilizer (gNr/ha/yr)</t>
  </si>
  <si>
    <t>Applied Organic (gNr/g tea)</t>
  </si>
  <si>
    <t>Conventional Fertilizer used</t>
  </si>
  <si>
    <t>Amount of Fertilizer (gNr/ha)</t>
  </si>
  <si>
    <t>Applied Conventional Nr (gNr/ha)</t>
  </si>
  <si>
    <t>Applied Conventional Nr (gNr/g tea)</t>
  </si>
  <si>
    <t>Urea CO(NH2)2</t>
  </si>
  <si>
    <t>NOx</t>
  </si>
  <si>
    <t>NH3</t>
  </si>
  <si>
    <t>NO3</t>
  </si>
  <si>
    <t>TEA ghge</t>
  </si>
  <si>
    <t>Total GHGE/ha (kgCO2/ha)</t>
  </si>
  <si>
    <t>Tea type</t>
  </si>
  <si>
    <t>GHGE (gCO2eq/2g tea)</t>
  </si>
  <si>
    <t>Average (kgCO2eq/g)</t>
  </si>
  <si>
    <t>Darjeeling</t>
  </si>
  <si>
    <t>GHGE cradle-to-gate (kgCO2eq/kg)</t>
  </si>
  <si>
    <t>GHGE (kgCO2eq/g)</t>
  </si>
  <si>
    <t>Organic Base (kgCO2eq/g)</t>
  </si>
  <si>
    <t>Conventional Base (kgCO2eq/1g)</t>
  </si>
  <si>
    <t>Average between organic and conventional (kgCO2eq/1g)</t>
  </si>
  <si>
    <t>Organic</t>
  </si>
  <si>
    <t>Conventional</t>
  </si>
  <si>
    <t>Average (kgCO2/g)</t>
  </si>
  <si>
    <t>AVERAGE of ALL</t>
  </si>
  <si>
    <t>Green tea 1</t>
  </si>
  <si>
    <t>Cultivation &amp; Harvest (kgCO2/g)</t>
  </si>
  <si>
    <t>- equally weighted values between all articles, including numerous values from Xu article</t>
  </si>
  <si>
    <t>Green tea 2</t>
  </si>
  <si>
    <t>Processing (kgCO2/g)</t>
  </si>
  <si>
    <t>Black tea</t>
  </si>
  <si>
    <t>Oolong tea</t>
  </si>
  <si>
    <t>Green bagged tea</t>
  </si>
  <si>
    <t>Darjeeling tea (Cichorowski, 2015)</t>
  </si>
  <si>
    <t>Darjeeling tea (Doublet and Jungbluth 2010)</t>
  </si>
  <si>
    <t>Orthodox black tea (Munasinghe et al., 2017)</t>
  </si>
  <si>
    <t>Unspecified tea from Asia (Melican, 2009)</t>
  </si>
  <si>
    <t>AVERAGE</t>
  </si>
  <si>
    <t>Kenyan tea (Azapagie, 2016)</t>
  </si>
  <si>
    <t>TEA &amp; DECAF TEA</t>
  </si>
  <si>
    <t>Conversion Ratio</t>
  </si>
  <si>
    <t>Land needs (m2-yr/1g)</t>
  </si>
  <si>
    <t>Nr needs (gNr/1g)</t>
  </si>
  <si>
    <t>Blue water needs (m^3/1g)</t>
  </si>
  <si>
    <t>GHG emission (kg CO2eq/1g)</t>
  </si>
  <si>
    <t>of 1g Tea leaves:</t>
  </si>
  <si>
    <t>of 1g of a cup of Tea:</t>
  </si>
  <si>
    <t>Import countries:</t>
  </si>
  <si>
    <r>
      <rPr>
        <sz val="10"/>
        <color rgb="FF222222"/>
        <rFont val="Arial, sans-serif"/>
      </rPr>
      <t xml:space="preserve">Kennedy, E. (2017). Trends in US Tea Imports: 1991-2015. Found at </t>
    </r>
    <r>
      <rPr>
        <u/>
        <sz val="10"/>
        <color rgb="FF1155CC"/>
        <rFont val="Arial, sans-serif"/>
      </rPr>
      <t>https://scholarworks.wmich.edu/cgi/viewcontent.cgi?article=3888&amp;context=honors_theses</t>
    </r>
  </si>
  <si>
    <t>Land use:</t>
  </si>
  <si>
    <t>NBSC (2019). China Statistical Yearbook, annual publication, National Bureau of Statistics of China. Retrieved from http://www.stats.gov. cn/tjsj/ndsj/2017/indexch.htm</t>
  </si>
  <si>
    <t>Han, W. Y., Huang, J. G., Li, X., Li, Z. X., Ahammed, G. J., Yan, P., &amp; Stepp, J. R. (2017). Altitudinal effects on the quality of green tea in east China: a climate change perspective. European Food Research and Technology, 243(2), 323-330.</t>
  </si>
  <si>
    <t>Land use &amp; GHGE:</t>
  </si>
  <si>
    <t>Doublet, G., &amp; Jungbluth, N. (2010). Life cycle assessment of drinking Darjeeling tea. Conventional and organic Darjeeling tea. ESU-services Ltd., Uster.</t>
  </si>
  <si>
    <t>Faostat, F. A. O. (2017). Crops. Food and Agriculture Organization of the United Nations. Available online at.http://www.fao.org/faostat/en/#data/QC</t>
  </si>
  <si>
    <t>Nr &amp; GHGE:</t>
  </si>
  <si>
    <t>Xu, Qiang (2019). "Carbon footprint and primary energy demand of organic tea in China using a life cycle assessment approach". Journal of Cleaner Production. 233, pp. 782-792.</t>
  </si>
  <si>
    <t>Cichorowski, G., Joa, B., Hottenroth, H., &amp; Schmidt, M. (2015). Scenario analysis of life cycle greenhouse gas emissions of Darjeeling tea. The International Journal of Life Cycle Assessment, 20(4), 426-439.</t>
  </si>
  <si>
    <t>Mekonnen, M. M., &amp; Hoekstra, A. Y. (2011). "Green and black tea." The green, blue and grey water footprint of crops and derived crop products.</t>
  </si>
  <si>
    <t>Conversion Ratio:</t>
  </si>
  <si>
    <r>
      <t xml:space="preserve">Teatulia (2018). "How to Measure Loose Leaf Tea for Brewing." Available at </t>
    </r>
    <r>
      <rPr>
        <u/>
        <sz val="10"/>
        <color rgb="FF1155CC"/>
        <rFont val="Arial"/>
      </rPr>
      <t>https://www.teatulia.com/tea-101/how-to-measure-loose-leaf-tea-for-brewing.htm</t>
    </r>
  </si>
  <si>
    <t>"Beverages, tea, black, brewed, prepared with tap water." Calculate weight of generic and branded foods per volume. https://www.aqua-calc.com/calculate/food-volume-to-weight</t>
  </si>
  <si>
    <t>TOMATO JUICE</t>
  </si>
  <si>
    <t>Tomato</t>
  </si>
  <si>
    <t>Tomato Juice</t>
  </si>
  <si>
    <r>
      <rPr>
        <sz val="10"/>
        <color rgb="FF222222"/>
        <rFont val="Arial, sans-serif"/>
      </rPr>
      <t xml:space="preserve">Bastin, S., &amp; Clouthier, D. (2015). Home Canning Tomatoes and Tomato Products. Available at </t>
    </r>
    <r>
      <rPr>
        <u/>
        <sz val="10"/>
        <color rgb="FF1155CC"/>
        <rFont val="Arial, sans-serif"/>
      </rPr>
      <t>https://franklin.ca.uky.edu/files/fcs3-580_-_home_canning_tomato_products.pdf</t>
    </r>
  </si>
  <si>
    <r>
      <t xml:space="preserve">"Tomato juice, 100%." Calculate weight of generic and branded foods per volume. </t>
    </r>
    <r>
      <rPr>
        <u/>
        <sz val="10"/>
        <color rgb="FF1155CC"/>
        <rFont val="Arial"/>
      </rPr>
      <t>https://www.aqua-calc.com/calculate/food-volume-to-weight</t>
    </r>
  </si>
  <si>
    <t>Mekonnen, M. M., &amp; Hoekstra, A. Y. (2011). "Tomato juice unfermented &amp; not spirited." The green, blue and grey water footprint of crops and derived crop products.</t>
  </si>
  <si>
    <t>WINE (RED)</t>
  </si>
  <si>
    <t>Yield kg Grape to kg Red Wine</t>
  </si>
  <si>
    <r>
      <rPr>
        <b/>
        <sz val="10"/>
        <color rgb="FF000000"/>
        <rFont val="Arial"/>
      </rPr>
      <t>GHG emission kg CO2eq/</t>
    </r>
    <r>
      <rPr>
        <b/>
        <u/>
        <sz val="10"/>
        <color rgb="FF000000"/>
        <rFont val="Arial"/>
      </rPr>
      <t>1g</t>
    </r>
  </si>
  <si>
    <t>Grapes</t>
  </si>
  <si>
    <t>Grapes to Red Wine</t>
  </si>
  <si>
    <t>Notarnicola, B., Tassielli, G., &amp; Nicoletti, G. M. (2003). Life cycle assessment (LCA) of wine production. Environmentally-friendly food processing, 306, 326.</t>
  </si>
  <si>
    <t>Mekonnen, M. M., &amp; Hoekstra, A. Y. (2011). "Grape wines, sparkling." The green, blue and grey water footprint of crops and derived crop products.</t>
  </si>
  <si>
    <t>CleanMetrics. (2020). Food Carbon Emissions Calculator. http://www.foodemissions.com/Calculator.</t>
  </si>
  <si>
    <t>WINE (WHITE)</t>
  </si>
  <si>
    <t>Grapes to White Wine</t>
  </si>
  <si>
    <t>DAIRY</t>
  </si>
  <si>
    <t>Background Data</t>
  </si>
  <si>
    <t>milk solids</t>
  </si>
  <si>
    <t>cal/100g</t>
  </si>
  <si>
    <t>calculation based on caloric ratio</t>
  </si>
  <si>
    <t>FINAL DAIRY</t>
  </si>
  <si>
    <t>whole milk</t>
  </si>
  <si>
    <t>skim</t>
  </si>
  <si>
    <t>sweet dried whey</t>
  </si>
  <si>
    <t>plain yogurt</t>
  </si>
  <si>
    <t>pressurized cream (whipped cream)</t>
  </si>
  <si>
    <t>0.88(cream fluid)</t>
  </si>
  <si>
    <t>pressurized cream</t>
  </si>
  <si>
    <t>cheddar cheese</t>
  </si>
  <si>
    <t>8x whole milk</t>
  </si>
  <si>
    <t>skim milk cheese</t>
  </si>
  <si>
    <t>3.5x whole milk</t>
  </si>
  <si>
    <t>mozzarella cheese</t>
  </si>
  <si>
    <t>7x whole milk</t>
  </si>
  <si>
    <r>
      <t xml:space="preserve">USDA, E. (1979). Statistics, and Cooperatives Service. Conversion Factors and Weights and Measures for Agricultural Commodities and Tneir Products"(Statistical Bulletin No. 616. Available at </t>
    </r>
    <r>
      <rPr>
        <u/>
        <sz val="10"/>
        <color rgb="FF1155CC"/>
        <rFont val="Arial"/>
      </rPr>
      <t>https://www.google.com/url?sa=t&amp;rct=j&amp;q=&amp;esrc=s&amp;source=web&amp;cd=&amp;ved=2ahUKEwj_ks6W7PbtAhXRHDQIHeYJBlMQFjABegQIARAC&amp;url=https%3A%2F%2Fageconsearch.umn.edu%2Frecord%2F154304%2Ffiles%2Fsb616.pdf&amp;usg=AOvVaw2LQxxI1YFJRRLDISI--zbi</t>
    </r>
  </si>
  <si>
    <r>
      <t>USDA, (2020). FoodData Central. U.S. Department of Agriculture. Available at &lt;</t>
    </r>
    <r>
      <rPr>
        <u/>
        <sz val="10"/>
        <color rgb="FF1155CC"/>
        <rFont val="Arial"/>
      </rPr>
      <t>https://fdc.nal.usda.gov/index.html</t>
    </r>
    <r>
      <rPr>
        <sz val="10"/>
        <color rgb="FF000000"/>
        <rFont val="Arial"/>
      </rPr>
      <t>&gt;.</t>
    </r>
  </si>
  <si>
    <t>EGGS</t>
  </si>
  <si>
    <t>EGG
GHGE RESEARCH</t>
  </si>
  <si>
    <t>kgCO2-eq/lb</t>
  </si>
  <si>
    <t>kgCO2eq/g</t>
  </si>
  <si>
    <t>Average
kgCO2eq/g</t>
  </si>
  <si>
    <t>"Eggs (Grade A, X Large, Jumbo, and Medium), large-scale, free-range (BC, Canada)"</t>
  </si>
  <si>
    <t>"Eggs (Grade A, X Large, Jumbo, and Medium), large-scale, free-range, commercial ration" (BC, Canada)</t>
  </si>
  <si>
    <t>"Eggs (Jumbo, X-Large, Large, Medium, Small), large-scale, confinement, commercial ration" (NJ, USA)</t>
  </si>
  <si>
    <t>"Eggs (X-Large, Jumbo, Large, and Medium), small-scale, free-range" (PA, USA)</t>
  </si>
  <si>
    <t>Mekonnen, Mesfin M., and Arjen Y. Hoekstra. "The green, blue and grey water footprint of farm animals and animal products. Volume 1: Main Report." (2010). Available at https://www.waterfootprint.org/media/downloads/Report-48-WaterFootprint-AnimalProducts-Vol1.pdf</t>
  </si>
  <si>
    <t>FRUIT</t>
  </si>
  <si>
    <t>Apples GHGE
Research</t>
  </si>
  <si>
    <t>kgCO2eq/lb</t>
  </si>
  <si>
    <t>Apples (CA, USA)</t>
  </si>
  <si>
    <t>Apples, organic (Central Coast, CA, USA)</t>
  </si>
  <si>
    <t>Apples, Fuji (premium) (CA, USA)</t>
  </si>
  <si>
    <t>Apples, Fuji (standard) (CA, USA)</t>
  </si>
  <si>
    <t>Apples, Granny Smith (CA, USA)</t>
  </si>
  <si>
    <t>APPLES</t>
  </si>
  <si>
    <t>Mekonnen, M. M., &amp; Hoekstra, A. Y. (2011). "Apples, fresh." The green, blue and grey water footprint of crops and derived crop products.</t>
  </si>
  <si>
    <t>APPLES (DRIED)</t>
  </si>
  <si>
    <t>calories (kcal)</t>
  </si>
  <si>
    <t>gramweight</t>
  </si>
  <si>
    <r>
      <t>USDA, (2020). "Apples, raw." FoodData Central. U.S. Department of Agriculture. Available at &lt;</t>
    </r>
    <r>
      <rPr>
        <u/>
        <sz val="10"/>
        <color rgb="FF1155CC"/>
        <rFont val="Arial"/>
      </rPr>
      <t>https://fdc.nal.usda.gov/fdc-app.html#/food-details/1102644/nutrients</t>
    </r>
    <r>
      <rPr>
        <sz val="10"/>
        <color rgb="FF000000"/>
        <rFont val="Arial"/>
      </rPr>
      <t>&gt;.</t>
    </r>
  </si>
  <si>
    <r>
      <t>USDA, (2020). "Apples, dried." FoodData Central. U.S. Department of Agriculture. Available at &lt;</t>
    </r>
    <r>
      <rPr>
        <u/>
        <sz val="10"/>
        <color rgb="FF1155CC"/>
        <rFont val="Arial"/>
      </rPr>
      <t>https://fdc.nal.usda.gov/fdc-app.html#/food-details/1102624/nutrients</t>
    </r>
    <r>
      <rPr>
        <sz val="10"/>
        <color rgb="FF000000"/>
        <rFont val="Arial"/>
      </rPr>
      <t>&gt;.</t>
    </r>
  </si>
  <si>
    <t>Mekonnen, M. M., &amp; Hoekstra, A. Y. (2011). "Apples, dried." The green, blue and grey water footprint of crops and derived crop products.</t>
  </si>
  <si>
    <t>APRICOTS</t>
  </si>
  <si>
    <t>Mekonnen, M. M., &amp; Hoekstra, A. Y. (2011). "Apricots." The green, blue and grey water footprint of crops and derived crop products.</t>
  </si>
  <si>
    <t>CleanMetrics. (2020)."Apricots." Food Carbon Emissions Calculator. http://www.foodemissions.com/Calculator.</t>
  </si>
  <si>
    <t>APRICOTS,
DRIED</t>
  </si>
  <si>
    <t>kcal/100</t>
  </si>
  <si>
    <t>Apricots</t>
  </si>
  <si>
    <t>Dried Apricots</t>
  </si>
  <si>
    <r>
      <t xml:space="preserve">USDA. "Apricots, raw." (2019) FoodData Central. U.S. Department of Agriculture. Available at </t>
    </r>
    <r>
      <rPr>
        <u/>
        <sz val="10"/>
        <color rgb="FF1155CC"/>
        <rFont val="Arial"/>
      </rPr>
      <t>https://fdc.nal.usda.gov/fdc-app.html#/food-details/171697/nutrients</t>
    </r>
  </si>
  <si>
    <t>USDA. "Apricots, dried, sulfured, uncooked." (2019) FoodData Central. U.S. Department of Agriculture. Available at https://fdc.nal.usda.gov/fdc-app.html#/food-details/173941/nutrients</t>
  </si>
  <si>
    <t>AVOCADO
GHGE</t>
  </si>
  <si>
    <t>kgCO2-eq/ha</t>
  </si>
  <si>
    <t>Yield (g/ha)</t>
  </si>
  <si>
    <t>weighted average</t>
  </si>
  <si>
    <t>Total average</t>
  </si>
  <si>
    <t>organic</t>
  </si>
  <si>
    <t>conventional</t>
  </si>
  <si>
    <t>AVOCADOS</t>
  </si>
  <si>
    <t>Avocados</t>
  </si>
  <si>
    <t>Research:</t>
  </si>
  <si>
    <t>Mekonnen, M. M., &amp; Hoekstra, A. Y. (2011). "Avocados" The green, blue and grey water footprint of crops and derived crop products.</t>
  </si>
  <si>
    <t>Astier, M., Merlín-Uribe, Y., Villamil-Echeverri, L., Garciarreal, A., Gavito, M. E., &amp; Masera, O. R. (2014). Energy balance and greenhouse gas emissions in organic and conventional avocado orchards in Mexico. Ecological indicators, 43, 281-287.</t>
  </si>
  <si>
    <t>Frankowska, A., Jeswani, H. K., &amp; Azapagic, A. (2019). Life cycle environmental impacts of fruits consumption in the UK. Journal of environmental management, 248, 109111.</t>
  </si>
  <si>
    <t>BANANA</t>
  </si>
  <si>
    <t>Mekonnen, M. M., &amp; Hoekstra, A. Y. (2011). "Bananas." The green, blue and grey water footprint of crops and derived crop products.</t>
  </si>
  <si>
    <t>CleanMetrics. (2020)."Bananas." Food Carbon Emissions Calculator. http://www.foodemissions.com/Calculator.</t>
  </si>
  <si>
    <t>BLUEBERRIES</t>
  </si>
  <si>
    <t>Mekonnen, M. M., &amp; Hoekstra, A. Y. (2011). "Blueberries." The green, blue and grey water footprint of crops and derived crop products.</t>
  </si>
  <si>
    <t>CleanMetrics. (2020)."Blueberries, Highbush." Food Carbon Emissions Calculator. http://www.foodemissions.com/Calculator.</t>
  </si>
  <si>
    <t>Canteloupe
Water Needs</t>
  </si>
  <si>
    <t>Yield (100g/ac)</t>
  </si>
  <si>
    <t>Irrigation applied (m3/ac)</t>
  </si>
  <si>
    <t>Water use (m3/100g)</t>
  </si>
  <si>
    <t>Average (m3/100g)</t>
  </si>
  <si>
    <t>Watermelon comparison................................................................................................</t>
  </si>
  <si>
    <t>CANTELOUPE</t>
  </si>
  <si>
    <t>Leskovar, D. I., Ward, J. C., Sprague, R. W., &amp; Meiri, A. (2001). Yield, quality, and water use efficiency of muskmelon are affected by irrigation and transplanting versus direct seeding. HortScience, 36(2), 286-291. Available at https://journals.ashs.org/hortsci/downloadpdf/journals/hortsci/36/2/article-p286.xml</t>
  </si>
  <si>
    <t>CleanMetrics. (2020)."Canteloupe." Food Carbon Emissions Calculator. http://www.foodemissions.com/Calculator.</t>
  </si>
  <si>
    <t>CRANBERRIES</t>
  </si>
  <si>
    <t>Researched Water needs</t>
  </si>
  <si>
    <t>Blue Water needs m^3/100g</t>
  </si>
  <si>
    <t>Researched GHG emission</t>
  </si>
  <si>
    <t>108 m3 ton−1</t>
  </si>
  <si>
    <t>/10000</t>
  </si>
  <si>
    <t>/10</t>
  </si>
  <si>
    <t>CRANBERRIES
dried</t>
  </si>
  <si>
    <t>GRAPES
(Background 
data)</t>
  </si>
  <si>
    <t>Varieties</t>
  </si>
  <si>
    <t>kgCO2-eq/1lb</t>
  </si>
  <si>
    <t>GHGE kgCO2-eq/g</t>
  </si>
  <si>
    <t>Red Grape
GHGE 
(kgCO2-eq/g)</t>
  </si>
  <si>
    <t>Green Grape
GHGE 
(kgCO2-eq/g)</t>
  </si>
  <si>
    <t>Red Wine Grape
GHGE 
(kgCO2-eq/g)</t>
  </si>
  <si>
    <t>White Wine Grape
GHGE 
(kgCO2-eq/g)</t>
  </si>
  <si>
    <t>Raisin Grape
GHGE 
(kgCO2-eq/g)</t>
  </si>
  <si>
    <t>GRAPES</t>
  </si>
  <si>
    <t>"Grapes"</t>
  </si>
  <si>
    <t>"Grapes, Crimson Seedless"</t>
  </si>
  <si>
    <t>"Grapes, Flame Seedless"</t>
  </si>
  <si>
    <t>"Grapes, Redglobe"</t>
  </si>
  <si>
    <t>"Grapes, Spur Pruned Varieties"</t>
  </si>
  <si>
    <t>GREEN SEEDLESS GRAPES</t>
  </si>
  <si>
    <t>"Grapes, Thompson Seedless"</t>
  </si>
  <si>
    <t>"Grapes, Thompson/Fiesta, organic"</t>
  </si>
  <si>
    <t>"Grapes, Cabernet Sauvignon, for wine"</t>
  </si>
  <si>
    <t>"Grapes, Chardonnay, for wine"</t>
  </si>
  <si>
    <t>RED 
SEEDLESS GRAPES</t>
  </si>
  <si>
    <t>"Grapes, Chardonnay, for wine, organic"</t>
  </si>
  <si>
    <t>"Grapes, Sauvignon Blanc, for wine"</t>
  </si>
  <si>
    <t>"Grapes, French Hybrids, for wine"</t>
  </si>
  <si>
    <t>RED/GREEN
SEEDLESS GRAPES</t>
  </si>
  <si>
    <t>"Grapes, for raisins"</t>
  </si>
  <si>
    <t>GRAPES (RAISINS)</t>
  </si>
  <si>
    <t>grapes</t>
  </si>
  <si>
    <t>raisins</t>
  </si>
  <si>
    <t>replaced MH11 value fraction with uniformity to other attributes</t>
  </si>
  <si>
    <t>CleanMetrics. (2020). "Grapes, for raisins." Food Carbon Emissions Calculator. http://www.foodemissions.com/Calculator.</t>
  </si>
  <si>
    <t>Mekonnen, M. M., &amp; Hoekstra, A. Y. (2011). "Grapes, dried." The green, blue and grey water footprint of crops and derived crop products.</t>
  </si>
  <si>
    <r>
      <t>USDA, (2019). "Grapes, red or green (European type, such as Thompson seedless), raw." FoodData Central. U.S. Department of Agriculture. Available at &lt;</t>
    </r>
    <r>
      <rPr>
        <u/>
        <sz val="10"/>
        <color rgb="FF1155CC"/>
        <rFont val="Arial"/>
      </rPr>
      <t>https://fdc.nal.usda.gov/index.html</t>
    </r>
    <r>
      <rPr>
        <sz val="10"/>
        <color rgb="FF000000"/>
        <rFont val="Arial"/>
      </rPr>
      <t>&gt;.</t>
    </r>
  </si>
  <si>
    <t>GRAPEFRUITS</t>
  </si>
  <si>
    <t>edible portion accounted for</t>
  </si>
  <si>
    <r>
      <t xml:space="preserve">The Culinary Institute of America. "Educator Lesson Plan “ʻKitchen Calculations.ʻ"  Available at </t>
    </r>
    <r>
      <rPr>
        <u/>
        <sz val="10"/>
        <color rgb="FF1155CC"/>
        <rFont val="Arial"/>
      </rPr>
      <t>https://www.ciachef.edu/uploadedFiles/Pages/Admissions_and_Financial_Aid/Educators/Educational_Materials/Technique_of_the_Quarter/techniques-calculations.pdf.</t>
    </r>
  </si>
  <si>
    <t>ORANGES
Research</t>
  </si>
  <si>
    <t>GHGE</t>
  </si>
  <si>
    <t>Blood Oranges</t>
  </si>
  <si>
    <t>Minneola (Tangelo)</t>
  </si>
  <si>
    <t>Navel/Valencia</t>
  </si>
  <si>
    <t>Valencia</t>
  </si>
  <si>
    <t>LEMON
GHGE</t>
  </si>
  <si>
    <t>GRAPEFRUIT
GHGE</t>
  </si>
  <si>
    <t>ORANGES</t>
  </si>
  <si>
    <t>Mekonnen, M. M., &amp; Hoekstra, A. Y. (2011). "Oranges." The green, blue and grey water footprint of crops and derived crop products.</t>
  </si>
  <si>
    <t>PEACHES</t>
  </si>
  <si>
    <t>Mekonnen, M. M., &amp; Hoekstra, A. Y. (2011). "Peaches." The green, blue and grey water footprint of crops and derived crop products.</t>
  </si>
  <si>
    <t>CleanMetrics. (2020)."Peaches." Food Carbon Emissions Calculator. http://www.foodemissions.com/Calculator.</t>
  </si>
  <si>
    <t>PEAR</t>
  </si>
  <si>
    <t>Mekonnen, M. M., &amp; Hoekstra, A. Y. (2011). "Pears." The green, blue and grey water footprint of crops and derived crop products.</t>
  </si>
  <si>
    <t>CleanMetrics. (2020)."Pears, Green Bartlett." Food Carbon Emissions Calculator. http://www.foodemissions.com/Calculator.</t>
  </si>
  <si>
    <t>PEAR (DRIED)</t>
  </si>
  <si>
    <t>Pear</t>
  </si>
  <si>
    <t>Dried pear</t>
  </si>
  <si>
    <t>USDA, (2019). "Pears, Raw." FoodData Central. U.S. Department of Agriculture. Available at https://fdc.nal.usda.gov/fdc-app.html#/food-details/169118/nutrients</t>
  </si>
  <si>
    <t>USDA, (2019). "Pears, dried, unsulfured, uncooked." FoodData Central. U.S. Department of Agriculture. Available at https://fdc.nal.usda.gov/fdc-app.html#/food-details/169121/nutrients</t>
  </si>
  <si>
    <t>Plum 
LAND USE
Research</t>
  </si>
  <si>
    <t>% of U.S. consumption</t>
  </si>
  <si>
    <t>acre/tons</t>
  </si>
  <si>
    <t>ha/m.t.</t>
  </si>
  <si>
    <t>m2/100g</t>
  </si>
  <si>
    <t>U.S. Consumption by %</t>
  </si>
  <si>
    <t>Land Use U.S. Consumption Total (m2/100g)</t>
  </si>
  <si>
    <t>Chile</t>
  </si>
  <si>
    <t>Plum 
NITROGEN 
Research</t>
  </si>
  <si>
    <t>Fertilizer (g/tree)</t>
  </si>
  <si>
    <t>N content of fertilizer</t>
  </si>
  <si>
    <t>Trees per acre</t>
  </si>
  <si>
    <t>gNr/m2</t>
  </si>
  <si>
    <t>gNr/100g</t>
  </si>
  <si>
    <t>Egypt</t>
  </si>
  <si>
    <t>Iberia</t>
  </si>
  <si>
    <t>Florida</t>
  </si>
  <si>
    <t>PLUMS</t>
  </si>
  <si>
    <r>
      <t xml:space="preserve">Agricultural Marketing Resources Center, (2018). "Plums." Iowa State University. Available at </t>
    </r>
    <r>
      <rPr>
        <u/>
        <sz val="10"/>
        <color rgb="FF1155CC"/>
        <rFont val="Arial"/>
      </rPr>
      <t>https://www.agmrc.org/commodities-products/fruits/plums.</t>
    </r>
  </si>
  <si>
    <r>
      <t xml:space="preserve">Hennicke, L., Bickford, R. (2010). "Chile Stone Fruit Annual Apricot, Plums, Peach and Nectarines and Cherry Report." Global Agricultural Information Network, USDA Foreign Agricultural Service. Available at </t>
    </r>
    <r>
      <rPr>
        <u/>
        <sz val="10"/>
        <color rgb="FF1155CC"/>
        <rFont val="Arial"/>
      </rPr>
      <t>https://apps.fas.usda.gov/newgainapi/api/Report/DownloadReportByFileName?fileName=Stone%20Fruit%20Annual_Santiago_Chile_8-12-2010.</t>
    </r>
  </si>
  <si>
    <t>FAO. (2005). "Fertilizer Use by Crop in Egypt". Available at http://www.fao.org/3/a-y5863e.pdf.</t>
  </si>
  <si>
    <r>
      <t xml:space="preserve">Haifa Iberia. (2020). "Recomendaciones nutricionales para los frutales de hueso."  Available at </t>
    </r>
    <r>
      <rPr>
        <u/>
        <sz val="10"/>
        <color rgb="FF1155CC"/>
        <rFont val="Arial"/>
      </rPr>
      <t>https://www.haifa-group.com/recomendaciones-nutricionales-para-los-frutales-de-hueso.</t>
    </r>
  </si>
  <si>
    <t>Sarkhosh, A., Olmstead, M., Miller, E. P., Andersen, P. C., &amp; Williamson, J. G. (2018). [HS250-minor] Growing Plums in Florida. EDIS, 2018. Available at https://edis.ifas.ufl.edu/hs250.</t>
  </si>
  <si>
    <t>Mekonnen, M. M., &amp; Hoekstra, A. Y. (2011). "Plums and sloes" The green, blue and grey water footprint of crops and derived crop products.</t>
  </si>
  <si>
    <t>CleanMetrics. (2020)."Plums." Food Carbon Emissions Calculator. http://www.foodemissions.com/Calculator.</t>
  </si>
  <si>
    <t>PRUNES 
(DRIED and CANNED)</t>
  </si>
  <si>
    <t>Plums</t>
  </si>
  <si>
    <t>Canned Prunes</t>
  </si>
  <si>
    <t>CleanMetrics. (2020)."Prunes (dried plums)." Food Carbon Emissions Calculator. http://www.foodemissions.com/Calculator.</t>
  </si>
  <si>
    <t>USDA. "Plums, raw." (2019). FoodData Central. U.S. Department of Agriculture. Available at https://fdc.nal.usda.gov/fdc-app.html#/food-details/169949/nutrients</t>
  </si>
  <si>
    <t>USDA. "Plums, dried (prunes), uncooked." (2019). FoodData Central. U.S. Department of Agriculture. Available at https://fdc.nal.usda.gov/fdc-app.html#/food-details/168162/nutrients</t>
  </si>
  <si>
    <t>USDA. "Prunes, canned, heavy syrup pack, solids and liquids." (2019). FoodData Central. U.S. Department of Agriculture. Available at https://fdc.nal.usda.gov/fdc-app.html#/food-details/168159/nutrients</t>
  </si>
  <si>
    <t>RASPBERRIES</t>
  </si>
  <si>
    <t>Mekonnen, M. M., &amp; Hoekstra, A. Y. (2011). "Raspberries." The green, blue and grey water footprint of crops and derived crop products.</t>
  </si>
  <si>
    <t>CleanMetrics. (2020)."Raspberries." Food Carbon Emissions Calculator. http://www.foodemissions.com/Calculator.</t>
  </si>
  <si>
    <t>STRAWBERRIES</t>
  </si>
  <si>
    <t>Mekonnen, M. M., &amp; Hoekstra, A. Y. (2011). "Strawberries." The green, blue and grey water footprint of crops and derived crop products.</t>
  </si>
  <si>
    <t>CleanMetrics. (2020)."Strawberries." Food Carbon Emissions Calculator. http://www.foodemissions.com/Calculator.</t>
  </si>
  <si>
    <t>WATERMELON</t>
  </si>
  <si>
    <t>Mekonnen, M. M., &amp; Hoekstra, A. Y. (2011). "Watermelon." The green, blue and grey water footprint of crops and derived crop products.</t>
  </si>
  <si>
    <r>
      <t xml:space="preserve">CleanMetrics. (2020). "Melons, cantaloupe/watermelon/honeydew/specialty." Food Carbon Emissions Calculator. </t>
    </r>
    <r>
      <rPr>
        <u/>
        <sz val="10"/>
        <color rgb="FF1155CC"/>
        <rFont val="Arial"/>
      </rPr>
      <t>http://www.foodemissions.com/Calculator.</t>
    </r>
  </si>
  <si>
    <t>GRAINS</t>
  </si>
  <si>
    <t>BARLEY</t>
  </si>
  <si>
    <t>hulled</t>
  </si>
  <si>
    <t>pearled and cooked</t>
  </si>
  <si>
    <t>malted</t>
  </si>
  <si>
    <t>Mekonnen, M. M., &amp; Hoekstra, A. Y. (2011). "Barley" The green, blue and grey water footprint of crops and derived crop products.</t>
  </si>
  <si>
    <t>CleanMetrics. (2020). "Barley, Malting Barley." Food Carbon Emissions Calculator. http://www.foodemissions.com/Calculator.</t>
  </si>
  <si>
    <r>
      <t>USDA, (2019). FoodData Central. U.S. Department of Agriculture. &lt;</t>
    </r>
    <r>
      <rPr>
        <u/>
        <sz val="10"/>
        <color rgb="FF1155CC"/>
        <rFont val="Arial"/>
      </rPr>
      <t>https://fdc.nal.usda.gov/fdc-app.html#/food-details/768964/nutrients</t>
    </r>
    <r>
      <rPr>
        <sz val="10"/>
        <color rgb="FF000000"/>
        <rFont val="Arial"/>
      </rPr>
      <t>&gt;.</t>
    </r>
  </si>
  <si>
    <t>Mark and Christopher (2017). "How to Malt at Home." Sprowt Labs. Available at https://www.sprowtlabs.com/2017/02/23/how-to-malt-at-home</t>
  </si>
  <si>
    <t>BULGUR</t>
  </si>
  <si>
    <t>Same as whole wheat</t>
  </si>
  <si>
    <t>Corn GHGE Research</t>
  </si>
  <si>
    <t>kgCO2eq/lb dry product form</t>
  </si>
  <si>
    <t>fresh</t>
  </si>
  <si>
    <t>Weighted Average</t>
  </si>
  <si>
    <t>SWEET Corn Water needs</t>
  </si>
  <si>
    <t>Irrigation (in./acre)</t>
  </si>
  <si>
    <t>gallons/acre Conversion</t>
  </si>
  <si>
    <t>m3/acre conversion</t>
  </si>
  <si>
    <t>m3/m2 conversion</t>
  </si>
  <si>
    <t>m3/g corn</t>
  </si>
  <si>
    <t>GHGE 
Sweet Corn</t>
  </si>
  <si>
    <t>Water content (g water/100g)</t>
  </si>
  <si>
    <t>Food  Emissions (kgCO2eq/1g)</t>
  </si>
  <si>
    <t>Corn; OH, USA</t>
  </si>
  <si>
    <t>Stall 2014</t>
  </si>
  <si>
    <t>dry</t>
  </si>
  <si>
    <t>Corn, organic; PA, USA</t>
  </si>
  <si>
    <t>Van Denburgh 2001</t>
  </si>
  <si>
    <t>Total dry corn GHGE</t>
  </si>
  <si>
    <t>CORN</t>
  </si>
  <si>
    <t>conversion calculation</t>
  </si>
  <si>
    <t>caloric ratio (kcal/100g)</t>
  </si>
  <si>
    <t>corn, raw (fresh) (sweet)</t>
  </si>
  <si>
    <t>corn, dry:</t>
  </si>
  <si>
    <t>whole grain corn</t>
  </si>
  <si>
    <t>Methods</t>
  </si>
  <si>
    <t>Conversion ratio (corn oil = 94g fat/100g)</t>
  </si>
  <si>
    <t>dry corn</t>
  </si>
  <si>
    <t>cornstarch</t>
  </si>
  <si>
    <t>5g fat/100g</t>
  </si>
  <si>
    <t>3.86g fat/100g</t>
  </si>
  <si>
    <t>corn derivatives:</t>
  </si>
  <si>
    <t>popcorn</t>
  </si>
  <si>
    <t>Food Emissions calculator</t>
  </si>
  <si>
    <t>M&amp;H Water footprint</t>
  </si>
  <si>
    <t xml:space="preserve">Stall, W. M., Waters Jr, L., Davis, D. W., Rosen, C., &amp; Clough, G. H. (2014). Sweet corn production. National Corn Handbook-43. Purdue University Cooperative Extension Service. Available online at https://www.extension.purdue.edu/extmedia/NCH/NCH-43.html </t>
  </si>
  <si>
    <t>Economic Research Service, USDA (2019). "Documentation." Organic Production. Available at https://www.ers.usda.gov/data-products/organic-production/documentation/.</t>
  </si>
  <si>
    <r>
      <t xml:space="preserve">Van Denburgh, R. W. (2001). Sweet Corn. Cooperative Extension, Washington State University. Available at </t>
    </r>
    <r>
      <rPr>
        <u/>
        <sz val="10"/>
        <color rgb="FF1155CC"/>
        <rFont val="Arial"/>
      </rPr>
      <t>http://pubs.cahnrs.wsu.edu/publications/pubs/em4815/</t>
    </r>
  </si>
  <si>
    <t>Gwirtz, J. A., &amp; Garcia-Casal, M. N. (2014). Processing maize flour and corn meal food products. Annals of the New York Academy of Sciences, 1312(1), 66.</t>
  </si>
  <si>
    <t>Gidon correspondence</t>
  </si>
  <si>
    <t>OATS and 
oat derivatives</t>
  </si>
  <si>
    <t>oats</t>
  </si>
  <si>
    <t>oat bran</t>
  </si>
  <si>
    <t>oat fiber</t>
  </si>
  <si>
    <t>Mekonnen, M. M., &amp; Hoekstra, A. Y. (2011). "Oats, rolled or flaked grains." The green, blue and grey water footprint of crops and derived crop products.</t>
  </si>
  <si>
    <r>
      <t xml:space="preserve">CleanMetrics. (2020). "Oats." Food Carbon Emissions Calculator. </t>
    </r>
    <r>
      <rPr>
        <u/>
        <sz val="10"/>
        <color rgb="FF1155CC"/>
        <rFont val="Arial"/>
      </rPr>
      <t>http://www.foodemissions.com/Calculator.</t>
    </r>
  </si>
  <si>
    <r>
      <t>USDA, (2019). "Cereals, oats, regular and quick, not fortified, dry." FoodData Central. U.S. Department of Agriculture. &lt;</t>
    </r>
    <r>
      <rPr>
        <u/>
        <sz val="10"/>
        <color rgb="FF1155CC"/>
        <rFont val="Arial"/>
      </rPr>
      <t>https://fdc.nal.usda.gov/fdc-app.html#/food-details/768964/nutrients</t>
    </r>
    <r>
      <rPr>
        <sz val="10"/>
        <color rgb="FF000000"/>
        <rFont val="Arial"/>
      </rPr>
      <t>&gt;.</t>
    </r>
  </si>
  <si>
    <r>
      <t>USDA, (2019). "Cereals, oats, regular and quick, unenriched, cooked with water (includes boiling and microwaving), without salt." FoodData Central. U.S. Department of Agriculture. &lt;</t>
    </r>
    <r>
      <rPr>
        <u/>
        <sz val="10"/>
        <color rgb="FF1155CC"/>
        <rFont val="Arial"/>
      </rPr>
      <t>https://fdc.nal.usda.gov/fdc-app.html#/food-details/173905/nutrients</t>
    </r>
    <r>
      <rPr>
        <sz val="10"/>
        <color rgb="FF000000"/>
        <rFont val="Arial"/>
      </rPr>
      <t>&gt;.</t>
    </r>
  </si>
  <si>
    <t>RICE</t>
  </si>
  <si>
    <t>Conversion calculations</t>
  </si>
  <si>
    <t>rough paddy rice</t>
  </si>
  <si>
    <t>white rice raw</t>
  </si>
  <si>
    <t>white rice cooked</t>
  </si>
  <si>
    <t>white rice flour</t>
  </si>
  <si>
    <t>puffed rice</t>
  </si>
  <si>
    <t>brown rice raw</t>
  </si>
  <si>
    <t>brown rice cooked</t>
  </si>
  <si>
    <t>Gummert, M (2010). "Modern rice milling." Rice Knowledge Bank. Available at http://www.knowledgebank.irri.org/training/fact-sheets/postharvest-management/item/modern-rice-milling-fact-sheet.</t>
  </si>
  <si>
    <r>
      <rPr>
        <strike/>
        <sz val="10"/>
        <rFont val="Arial"/>
      </rPr>
      <t xml:space="preserve">Cooksinfo (2020). "Rice."  Available at </t>
    </r>
    <r>
      <rPr>
        <strike/>
        <sz val="10"/>
        <color rgb="FF1155CC"/>
        <rFont val="Arial"/>
      </rPr>
      <t>https://www.cooksinfo.com/rice#How_much_uncooked_rice_equals_how_much_cooked_rice</t>
    </r>
  </si>
  <si>
    <r>
      <t xml:space="preserve">USDA, (2019). FoodData Central. U.S. Department of Agriculture. </t>
    </r>
    <r>
      <rPr>
        <u/>
        <sz val="10"/>
        <color rgb="FF1155CC"/>
        <rFont val="Arial"/>
      </rPr>
      <t>https://fdc.nal.usda.gov/index.html</t>
    </r>
  </si>
  <si>
    <t>RYE</t>
  </si>
  <si>
    <t>Mekonnen, M. M., &amp; Hoekstra, A. Y. (2011). "Rye." The green, blue and grey water footprint of crops and derived crop products.</t>
  </si>
  <si>
    <r>
      <t xml:space="preserve">CleanMetrics. (2020). "Rye." Food Carbon Emissions Calculator. </t>
    </r>
    <r>
      <rPr>
        <u/>
        <sz val="10"/>
        <color rgb="FF1155CC"/>
        <rFont val="Arial"/>
      </rPr>
      <t>http://www.foodemissions.com/Calculator.</t>
    </r>
  </si>
  <si>
    <t>Wheat GHGE research</t>
  </si>
  <si>
    <t>Gluten Research</t>
  </si>
  <si>
    <t>Spaghetti research</t>
  </si>
  <si>
    <t>GHGE (kgCO2eq/lb)</t>
  </si>
  <si>
    <t>Protein Content (g protein per 100g product)</t>
  </si>
  <si>
    <t>Ratio</t>
  </si>
  <si>
    <t>Energy consumptions in the lifecycle (%)</t>
  </si>
  <si>
    <t>Environmental cost of Pasta vs. Wheat</t>
  </si>
  <si>
    <t>Wheat, Hard Red Spring Wheat (Eastern ID, USA)</t>
  </si>
  <si>
    <t>Wheat, hard red spring</t>
  </si>
  <si>
    <t>Wheat cultivation</t>
  </si>
  <si>
    <t>Wheat, Hard White Spring Wheat (Eastern ID, USA)</t>
  </si>
  <si>
    <t>Wheat, hard red winter</t>
  </si>
  <si>
    <t>Semolina Production</t>
  </si>
  <si>
    <t>Wheat, Soft White Spring Wheat (Eastern ID, USA)</t>
  </si>
  <si>
    <t>Wheat, soft red winter</t>
  </si>
  <si>
    <t>Pasta Production</t>
  </si>
  <si>
    <t>Wheat, Soft White Winter Wheat (Southcentral ID, USA)</t>
  </si>
  <si>
    <t>Wheat, hard white</t>
  </si>
  <si>
    <t>Wheat, Spring Wheat (Southwestern ID, USA)</t>
  </si>
  <si>
    <t>Wheat, soft white</t>
  </si>
  <si>
    <t>Total grain production</t>
  </si>
  <si>
    <t>Wheat, winter Wheat (Southwestern ID, USA)</t>
  </si>
  <si>
    <t>Average wheat:</t>
  </si>
  <si>
    <t>Vital wheat gluten</t>
  </si>
  <si>
    <t>Total</t>
  </si>
  <si>
    <t>WHEAT and 
wheat derivatives</t>
  </si>
  <si>
    <t>all-purpose flour</t>
  </si>
  <si>
    <t>same as all-purpose flour</t>
  </si>
  <si>
    <t>wheat flour all-purpose</t>
  </si>
  <si>
    <t>whole wheat flour</t>
  </si>
  <si>
    <t>wheat gluten</t>
  </si>
  <si>
    <t>wheat germ</t>
  </si>
  <si>
    <t>Mekonnen, M. M., &amp; Hoekstra, A. Y. (2011). "Wheat flour." The green, blue and grey water footprint of crops and derived crop products.</t>
  </si>
  <si>
    <t>Bevilacqua, M., Braglia, M., Carmignani, G., &amp; Zammori, F. A. (2007). Life cycle assessment of pasta production in Italy. Journal of Food Quality, 30(6), 932-952.</t>
  </si>
  <si>
    <t>LEGUMES</t>
  </si>
  <si>
    <t>PEA</t>
  </si>
  <si>
    <t>grean peas raw</t>
  </si>
  <si>
    <t>boiled peas</t>
  </si>
  <si>
    <t>Mekonnen, M. M., &amp; Hoekstra, A. Y. (2011). "Peas, green." The green, blue and grey water footprint of crops and derived crop products.</t>
  </si>
  <si>
    <t>CleanMetrics. (2020). "Peas, Spring Peas." Food Carbon Emissions Calculator. http://www.foodemissions.com/Calculator.</t>
  </si>
  <si>
    <t>The Culinary Institute of America. "Educator Lesson Plan “ʻKitchen Calculations.ʻ"  Available at https://www.ciachef.edu/uploadedFiles/Pages/Admissions_and_Financial_Aid/Educators/Educational_Materials/Technique_of_the_Quarter/techniques-calculations.pdf</t>
  </si>
  <si>
    <t>GREEN BEANS</t>
  </si>
  <si>
    <t>PEANUTS</t>
  </si>
  <si>
    <t>peanut raw</t>
  </si>
  <si>
    <t>Mekonnen, M. M., &amp; Hoekstra, A. Y. (2011). "Groundnuts shelled." The green, blue and grey water footprint of crops and derived crop products.</t>
  </si>
  <si>
    <r>
      <t xml:space="preserve">CleanMetrics. (2020). "Peanuts." Food Carbon Emissions Calculator. </t>
    </r>
    <r>
      <rPr>
        <u/>
        <sz val="10"/>
        <color rgb="FF1155CC"/>
        <rFont val="Arial"/>
      </rPr>
      <t>http://www.foodemissions.com/Calculator.</t>
    </r>
  </si>
  <si>
    <t>SOYBEANS and derivatives</t>
  </si>
  <si>
    <t>conversion %</t>
  </si>
  <si>
    <t>soybeans, basic</t>
  </si>
  <si>
    <t>soybeans, boiled, drained, unsalted</t>
  </si>
  <si>
    <t>made of 92% of soybean</t>
  </si>
  <si>
    <t>value fraction MH11 :(</t>
  </si>
  <si>
    <r>
      <t xml:space="preserve">Berk, Z. (1997). Chapter 5: Soybean Protein Concentrates (SPC) Technology of Production of Edible Flours and Protein Products from Soybeans. FAO Agricultural Services Bulletin, (97).  Available at </t>
    </r>
    <r>
      <rPr>
        <u/>
        <sz val="10"/>
        <color rgb="FF1155CC"/>
        <rFont val="Arial"/>
      </rPr>
      <t>http://www.fao.org/3/t0532e/t0532e05.htm</t>
    </r>
  </si>
  <si>
    <t xml:space="preserve">Middelbos, I. S., &amp; Fahey Jr, G. C. (2008). Soybean carbohydrates. In Soybeans (pp. 269-296). AOCS Press.  </t>
  </si>
  <si>
    <t>LENTILS</t>
  </si>
  <si>
    <t>Mekonnen, M. M., &amp; Hoekstra, A. Y. (2011). "Lentils." The green, blue and grey water footprint of crops and derived crop products.</t>
  </si>
  <si>
    <r>
      <t xml:space="preserve">CleanMetrics. (2020). "Lentils." Food Carbon Emissions Calculator. </t>
    </r>
    <r>
      <rPr>
        <u/>
        <sz val="10"/>
        <color rgb="FF1155CC"/>
        <rFont val="Arial"/>
      </rPr>
      <t>http://www.foodemissions.com/Calculator.</t>
    </r>
  </si>
  <si>
    <t>BEANS:
BLACK, LIMA, NAVY, KIDNEY</t>
  </si>
  <si>
    <t>black beans dry</t>
  </si>
  <si>
    <t>MEATS</t>
  </si>
  <si>
    <t>Beef Research</t>
  </si>
  <si>
    <t>Convert units in PNAS paper</t>
  </si>
  <si>
    <t>Mcal/kcal</t>
  </si>
  <si>
    <t>kcal/g</t>
  </si>
  <si>
    <t>raw to cooked ratio multiplier</t>
  </si>
  <si>
    <t>Unit Coefficient (Mcal/g cooked)</t>
  </si>
  <si>
    <t>Researched land needs (m2-yr/Mcal)</t>
  </si>
  <si>
    <t>Land needs (m2/1g cooked)</t>
  </si>
  <si>
    <t>Researched Nr Needs (gNr/Mcal)</t>
  </si>
  <si>
    <t>Nr Needs (gNr/g cooked)</t>
  </si>
  <si>
    <t>Researched Water needs (L/Mcal)</t>
  </si>
  <si>
    <t>Water needs (m3/g cooked)</t>
  </si>
  <si>
    <t>Researched GHGE kgCO2eq/lb</t>
  </si>
  <si>
    <t>GHGE (kgCO2eq/g cooked)</t>
  </si>
  <si>
    <t>raw (kcal/100g)</t>
  </si>
  <si>
    <t>cooked/raw</t>
  </si>
  <si>
    <t>GHGE (kgCO2eq/100g)</t>
  </si>
  <si>
    <t>Seafood (aquaculture)</t>
  </si>
  <si>
    <t>2.86 ha/ton</t>
  </si>
  <si>
    <t>Carp:</t>
  </si>
  <si>
    <t>1.5 E-6 ha/g Live weight and 4.0 E-6 ha/g edible product</t>
  </si>
  <si>
    <t>1.3 L/g Live weight and 3.4 L/g edible product  (carp)</t>
  </si>
  <si>
    <t>per eaten Mcal</t>
  </si>
  <si>
    <t>Tilapia:</t>
  </si>
  <si>
    <t>1.2 E-06 ha/g Live weight and 2.4 E-6 ha/g</t>
  </si>
  <si>
    <t>2.3 L/g Live weight and 4.7 L/g edible product</t>
  </si>
  <si>
    <t>beef bologna</t>
  </si>
  <si>
    <t>beef sausage</t>
  </si>
  <si>
    <t>beef hamburger</t>
  </si>
  <si>
    <t>BEEF</t>
  </si>
  <si>
    <t>Eshel, G., Shepon, A., Makov, T., &amp; Milo, R. (2015). Partitioning United States' feed consumption among livestock categories for improved environmental cost assessments. The Journal of Agricultural Science, 153(3), 432-445.</t>
  </si>
  <si>
    <t>USDA, (2019). FoodData Central. U.S. Department of Agriculture. &lt;https://fdc.nal.usda.gov/fdc-app.html#/food-details/768964/nutrients&gt;.</t>
  </si>
  <si>
    <t>Showell, B. A., Williams, J. R., Duvall, M., Howe, J. C., Patterson, K. Y., Roseland, J. M., &amp; Holden, J. M. (2012). USDA table of cooking yields for meat and poultry. United States Department of Agriculture: Baltimore, MD, USA. Available at https://www.ars.usda.gov/ARSUserFiles/80400525/data/retn/usda_cookingyields_meatpoultry.pdf.</t>
  </si>
  <si>
    <t>BEEF AND PORK BOLOGNA &amp; SAUSAGE</t>
  </si>
  <si>
    <t>Beef bologna/sausage</t>
  </si>
  <si>
    <t>Pork bologna/sausage</t>
  </si>
  <si>
    <t>Chicken Research</t>
  </si>
  <si>
    <t>CHICKEN</t>
  </si>
  <si>
    <t>Pork Research</t>
  </si>
  <si>
    <t>pork sausage/bologna</t>
  </si>
  <si>
    <t>Ham Research</t>
  </si>
  <si>
    <t>Bacon Research</t>
  </si>
  <si>
    <t>PORK</t>
  </si>
  <si>
    <t>pork bologna/sausage</t>
  </si>
  <si>
    <t>HAM</t>
  </si>
  <si>
    <t>BACON</t>
  </si>
  <si>
    <t>Turkey Research</t>
  </si>
  <si>
    <t>Land Needs (m2-yr/g cooked)</t>
  </si>
  <si>
    <t>turkey whole, breast, &amp; ground</t>
  </si>
  <si>
    <t>TURKEY</t>
  </si>
  <si>
    <t>Ha, Kim. (2019). Talking Turkey. U.S. Department of Agriculture. Available at https://www.usda.gov/media/blog/2019/12/11/talking-turkey</t>
  </si>
  <si>
    <t>NUTS</t>
  </si>
  <si>
    <t>ALMONDS and ALMOND BUTTER</t>
  </si>
  <si>
    <t>almond</t>
  </si>
  <si>
    <t>same</t>
  </si>
  <si>
    <t>Cashew Research</t>
  </si>
  <si>
    <t>Years</t>
  </si>
  <si>
    <t>nut-in-shell per tree (kg)</t>
  </si>
  <si>
    <t>NIS (nut-in-shell) to Kernel (kg kernel/tree)</t>
  </si>
  <si>
    <t>Grundon (kg kernal/tree)</t>
  </si>
  <si>
    <t>tree/ha</t>
  </si>
  <si>
    <t>Land Use (m2/100g kernal)</t>
  </si>
  <si>
    <t>Nr research (year)</t>
  </si>
  <si>
    <t>Queensland (gNr/tree/year)</t>
  </si>
  <si>
    <t>Grundon Nr research (gNr/tree/year)</t>
  </si>
  <si>
    <t>8-22.5</t>
  </si>
  <si>
    <t>Avg. yearly</t>
  </si>
  <si>
    <t>Total Average</t>
  </si>
  <si>
    <t>gN/100g</t>
  </si>
  <si>
    <t>Total Average (gNr/100g)</t>
  </si>
  <si>
    <t>CASHEWS</t>
  </si>
  <si>
    <r>
      <t xml:space="preserve">Kernot, I., &amp; Grundon, N. J. (1999). Cashew information kit. Nambour, Qld, Queensland Department of Primary Industries. Available at </t>
    </r>
    <r>
      <rPr>
        <u/>
        <sz val="10"/>
        <color rgb="FF1155CC"/>
        <rFont val="Arial"/>
      </rPr>
      <t>http://era.daf.qld.gov.au/id/eprint/1652/2/1befcas.pdf</t>
    </r>
  </si>
  <si>
    <t>Grundon, N. J. (2001). A desktop study to predict fertiliser requirements of cashew trees in northern Australia. CSIRO Land and Water.</t>
  </si>
  <si>
    <t>Pecan research</t>
  </si>
  <si>
    <t>Land Use</t>
  </si>
  <si>
    <t>kg/ha</t>
  </si>
  <si>
    <t>ha/kg</t>
  </si>
  <si>
    <t>NR</t>
  </si>
  <si>
    <t>kgN/ha</t>
  </si>
  <si>
    <t>kgN/kg yield</t>
  </si>
  <si>
    <t>Water needs</t>
  </si>
  <si>
    <t>nut yield (kg/m3)</t>
  </si>
  <si>
    <t>water needs (m3/kg)</t>
  </si>
  <si>
    <t>water needs (m3/g)</t>
  </si>
  <si>
    <t>PECANS</t>
  </si>
  <si>
    <t>pecan</t>
  </si>
  <si>
    <t>Wang, J., Miller, D. R., Sammis, T. W., Gutschick, V. P., Simmons, L. J., &amp; Andales, A. A. (2007). Energy balance measurements and a simple model for estimating pecan water use efficiency. Agricultural water management, 91(1-3), 92-101.</t>
  </si>
  <si>
    <t>Pistachio</t>
  </si>
  <si>
    <t>g</t>
  </si>
  <si>
    <t>acre</t>
  </si>
  <si>
    <t>g/acre</t>
  </si>
  <si>
    <t>Land Needs</t>
  </si>
  <si>
    <t>acre/gkernel</t>
  </si>
  <si>
    <t>m2/gkernel</t>
  </si>
  <si>
    <t>Estimates from graph, using figures from Almonds and Walnuts</t>
  </si>
  <si>
    <t>Water Needs</t>
  </si>
  <si>
    <t>Combined m3/ha</t>
  </si>
  <si>
    <t>m3/g</t>
  </si>
  <si>
    <t>kgCO2/kgkernel</t>
  </si>
  <si>
    <t>kgCO2/g</t>
  </si>
  <si>
    <t>CleanMetrics. (2020).  Food Carbon Emissions Calculator. http://www.foodemissions.com/Calculator.</t>
  </si>
  <si>
    <t>Year 2007</t>
  </si>
  <si>
    <t>Yearly emissions</t>
  </si>
  <si>
    <t>Year 1</t>
  </si>
  <si>
    <t>Yearly irrigation</t>
  </si>
  <si>
    <t>Nut GHGE article</t>
  </si>
  <si>
    <t>Year 2</t>
  </si>
  <si>
    <t>Mean Annual Yield (kernel)</t>
  </si>
  <si>
    <t>Year 3</t>
  </si>
  <si>
    <t>Pistachios research</t>
  </si>
  <si>
    <t>yield percentage</t>
  </si>
  <si>
    <t>Water needs m3/g</t>
  </si>
  <si>
    <t>GHGE kgCO2eq/g</t>
  </si>
  <si>
    <t>Year 4</t>
  </si>
  <si>
    <t>Pistachio in shell</t>
  </si>
  <si>
    <t>Year 5</t>
  </si>
  <si>
    <t>Edible yield</t>
  </si>
  <si>
    <t>Year 6</t>
  </si>
  <si>
    <t>PISTACHIOS</t>
  </si>
  <si>
    <t>Year 7-60</t>
  </si>
  <si>
    <t>Averages</t>
  </si>
  <si>
    <t>Total:</t>
  </si>
  <si>
    <r>
      <t xml:space="preserve">Kiger, Patrick J. (2021). "Why Pistachios Are Sold in Their Shells – Unlike Most Nuts." howstuffworks. Available at </t>
    </r>
    <r>
      <rPr>
        <u/>
        <sz val="10"/>
        <color rgb="FF1155CC"/>
        <rFont val="Arial"/>
      </rPr>
      <t>https://recipes.howstuffworks.com/why-pistachios-are-sold-in-their-shells.htm.</t>
    </r>
  </si>
  <si>
    <t>kgNr/ha</t>
  </si>
  <si>
    <t>or:</t>
  </si>
  <si>
    <t>AVERAGE:</t>
  </si>
  <si>
    <t>WALNUTS</t>
  </si>
  <si>
    <t>OILS</t>
  </si>
  <si>
    <t>Coconut Oil Research</t>
  </si>
  <si>
    <t>Researched land-needs (ha/ton)</t>
  </si>
  <si>
    <t>Researched fertilizer input (kgN/ton)</t>
  </si>
  <si>
    <t>Researched GHG emission (kgCO2eq/ton)</t>
  </si>
  <si>
    <t>COCONUT OIL</t>
  </si>
  <si>
    <r>
      <t xml:space="preserve">Dumelin, Erich E. (2009). "Life Cycle Assessments of Palm Oil and Vegetable Oils." SCI’s Oils &amp; Fats Group International lecture. pp. 16.  Available at </t>
    </r>
    <r>
      <rPr>
        <u/>
        <sz val="10"/>
        <color rgb="FF1155CC"/>
        <rFont val="Arial"/>
      </rPr>
      <t>https://www.soci.org/news/lipids/lipids-palm-oil-papers.</t>
    </r>
  </si>
  <si>
    <t>CORN OIL</t>
  </si>
  <si>
    <t>ether extract (%)</t>
  </si>
  <si>
    <t>dry matter (%)</t>
  </si>
  <si>
    <t>whole grain corn values</t>
  </si>
  <si>
    <r>
      <t xml:space="preserve">INRAE, CIRAD, AFZ, and FAO. (n.d.). </t>
    </r>
    <r>
      <rPr>
        <i/>
        <sz val="10"/>
        <rFont val="Arial"/>
      </rPr>
      <t>Maize grain: Nutritional Tables</t>
    </r>
    <r>
      <rPr>
        <sz val="10"/>
        <color rgb="FF000000"/>
        <rFont val="Arial"/>
      </rPr>
      <t xml:space="preserve">. Feedipedia, Animal feed resources information system. </t>
    </r>
    <r>
      <rPr>
        <u/>
        <sz val="10"/>
        <color rgb="FF1155CC"/>
        <rFont val="Arial"/>
      </rPr>
      <t>https://www.feedipedia.org/node/556</t>
    </r>
  </si>
  <si>
    <t>Cottonseed Research</t>
  </si>
  <si>
    <t>Cotton Land needs (ac/lb)</t>
  </si>
  <si>
    <t>Cottonseed Oil Land Needs (m2/g)</t>
  </si>
  <si>
    <t>Researched Nr Needs</t>
  </si>
  <si>
    <t>Nitrogen used for Cotton (lbN/acre)</t>
  </si>
  <si>
    <t>Cottonseed Oil Nitrogen Use (gN/g)</t>
  </si>
  <si>
    <t>Cotton Blue Water Needs (m3/ton)</t>
  </si>
  <si>
    <t>Cottonseed Oil Blue Water Needs (m3/ton)</t>
  </si>
  <si>
    <t>Arizona</t>
  </si>
  <si>
    <t xml:space="preserve">*Cottonseed oil is a byproduct of textile cotton, so the values for cottonseed oil equate to </t>
  </si>
  <si>
    <t>Arkansas</t>
  </si>
  <si>
    <t>California</t>
  </si>
  <si>
    <t>Louisiana</t>
  </si>
  <si>
    <t>Mississippi</t>
  </si>
  <si>
    <t>Texas</t>
  </si>
  <si>
    <t>COTTONSEED OIL</t>
  </si>
  <si>
    <r>
      <t xml:space="preserve">Baffes, J. (2010). Markets for cotton by-products: Global trends and implications for african cotton producers. The World Bank Available at </t>
    </r>
    <r>
      <rPr>
        <u/>
        <sz val="10"/>
        <color rgb="FF1155CC"/>
        <rFont val="Arial"/>
      </rPr>
      <t>https://openknowledge.worldbank.org/handle/10986/3840.</t>
    </r>
  </si>
  <si>
    <r>
      <t xml:space="preserve">Hundl, Wil Jr. 2019. Annual Cotton Review. USDA-NASS Texas Field Office. Available at </t>
    </r>
    <r>
      <rPr>
        <u/>
        <sz val="10"/>
        <color rgb="FF1155CC"/>
        <rFont val="Arial"/>
      </rPr>
      <t>https://www.nass.usda.gov/Statistics_by_State/Texas/Publications/Current_News_Release/2019_Rls/tx-cotton-review-2019.pdf.</t>
    </r>
  </si>
  <si>
    <r>
      <t xml:space="preserve">Gerik, T. J., Oosterhuis, D. M., &amp; Torbet, H. A. I998. Managing cotton nitrogen supply. Adv. Agron, 64(1).  Available at </t>
    </r>
    <r>
      <rPr>
        <u/>
        <sz val="10"/>
        <color rgb="FF1155CC"/>
        <rFont val="Arial"/>
      </rPr>
      <t>https://www.ars.usda.gov/ARSUserFiles/60100500/csr/ResearchPubs/torbert/torbert_98b.pdf</t>
    </r>
  </si>
  <si>
    <t>Olive Oil Blue Water Needs</t>
  </si>
  <si>
    <t>Olives (m3 water/100kg olives)</t>
  </si>
  <si>
    <t>kg oil/100kg olives</t>
  </si>
  <si>
    <t>Olive Oil (m3water/kg oil)</t>
  </si>
  <si>
    <t>Blue Water needs (m3/g olive oil)</t>
  </si>
  <si>
    <t>OLIVE OIL</t>
  </si>
  <si>
    <t>Di Giovacchino, L. (2013). Technological aspects. In Handbook of olive oil (pp. 57-96). Springer, Boston, MA.</t>
  </si>
  <si>
    <t>Palm Kernel Oil and Palm Oil Research</t>
  </si>
  <si>
    <t>Researched land needs (ha/ton)</t>
  </si>
  <si>
    <t>Land needs m2-yr/g</t>
  </si>
  <si>
    <t>Researched Nr needs (kgPO4/ton)</t>
  </si>
  <si>
    <t>Nr needs, gNr/1g</t>
  </si>
  <si>
    <t>Palm Kernel Oil</t>
  </si>
  <si>
    <t>Palm Oil</t>
  </si>
  <si>
    <t>PALM OILS &amp; PALM KERNEL OIL</t>
  </si>
  <si>
    <t>fractionated palm oil</t>
  </si>
  <si>
    <t>fully hydrogenated palm oil</t>
  </si>
  <si>
    <t>palm kernel oil</t>
  </si>
  <si>
    <t>partially hydrogenated palm oil</t>
  </si>
  <si>
    <t>PEANUT OIL</t>
  </si>
  <si>
    <t>lipids/100g</t>
  </si>
  <si>
    <t>Rapeseed Oil
Water Needs</t>
  </si>
  <si>
    <t>Blue Water Needs (m3/g)</t>
  </si>
  <si>
    <t>rapeseed</t>
  </si>
  <si>
    <t>rapeseed oil (canola)</t>
  </si>
  <si>
    <t>RAPESEED OIL (CANOLA OIL)</t>
  </si>
  <si>
    <t>value fraction MH11?</t>
  </si>
  <si>
    <t>INRAE, CIRAD, AFZ, and FAO. (n.d.). Rapeseeds: Nutritional Tables. Feedipedia, Animal feed resources information system. Available at https://www.feedipedia.org/node/15617</t>
  </si>
  <si>
    <t>Soybean Oil 
Water Needs</t>
  </si>
  <si>
    <t>soybean oil (plain, fully hydrogenated, interesterified; and partially hydrogenated)</t>
  </si>
  <si>
    <t>INRAE, CIRAD, AFZ, and FAO. (n.d.). Soybean seeds: Nutritional Tables. Feedipedia, Animal feed resources information system. Available at https://www.feedipedia.org/node/42</t>
  </si>
  <si>
    <t>Sunflower Oil 
Water Needs</t>
  </si>
  <si>
    <t>sunflower seed</t>
  </si>
  <si>
    <t>SUNFLOWER OIL</t>
  </si>
  <si>
    <t>Dumelin, Erich E. (2009). "Life Cycle Assessments of Palm Oil and Vegetable Oils." SCI’s Oils &amp; Fats Group International lecture. pp. 16.  Available at https://www.soci.org/news/lipids/lipids-palm-oil-papers.</t>
  </si>
  <si>
    <t>SEAFOOD</t>
  </si>
  <si>
    <t>Pollock</t>
  </si>
  <si>
    <t>sardine</t>
  </si>
  <si>
    <r>
      <t xml:space="preserve">National Agricultural Statistics Service (NASS), Agricultural Statistics Board, United States Department of Agriculture. (2018, July 20). </t>
    </r>
    <r>
      <rPr>
        <i/>
        <sz val="10"/>
        <rFont val="Arial"/>
      </rPr>
      <t>Catfish Production</t>
    </r>
    <r>
      <rPr>
        <sz val="10"/>
        <color rgb="FF000000"/>
        <rFont val="Arial"/>
      </rPr>
      <t xml:space="preserve">. Available at </t>
    </r>
    <r>
      <rPr>
        <u/>
        <sz val="10"/>
        <color rgb="FF1155CC"/>
        <rFont val="Arial"/>
      </rPr>
      <t>https://downloads.usda.library.cornell.edu/usda-esmis/files/bg257f046/w3763899g/d504rn59q/CatfProd-07-20-2018.pdf</t>
    </r>
  </si>
  <si>
    <r>
      <t xml:space="preserve">VIMS. (2017, May 24). </t>
    </r>
    <r>
      <rPr>
        <i/>
        <sz val="10"/>
        <rFont val="Arial"/>
      </rPr>
      <t>Virginia continues to lead in clam and oyster aquaculture</t>
    </r>
    <r>
      <rPr>
        <sz val="10"/>
        <color rgb="FF000000"/>
        <rFont val="Arial"/>
      </rPr>
      <t xml:space="preserve">. Available at </t>
    </r>
    <r>
      <rPr>
        <u/>
        <sz val="10"/>
        <color rgb="FF1155CC"/>
        <rFont val="Arial"/>
      </rPr>
      <t>https://www.vims.edu/newsandevents/topstories/2017/shellfish_aquaculture_report_16.php.</t>
    </r>
  </si>
  <si>
    <r>
      <t xml:space="preserve">Otterå, Håkon. (2004, January 1). </t>
    </r>
    <r>
      <rPr>
        <i/>
        <sz val="10"/>
        <rFont val="Arial"/>
      </rPr>
      <t>Gadus morhua</t>
    </r>
    <r>
      <rPr>
        <sz val="10"/>
        <color rgb="FF000000"/>
        <rFont val="Arial"/>
      </rPr>
      <t xml:space="preserve">. FAO Fisheries Division [online]. Available at </t>
    </r>
    <r>
      <rPr>
        <u/>
        <sz val="10"/>
        <color rgb="FF1155CC"/>
        <rFont val="Arial"/>
      </rPr>
      <t>http://www.fao.org/fishery/culturedspecies/Gadus_morhua/en.</t>
    </r>
  </si>
  <si>
    <r>
      <t xml:space="preserve">Cod. (2021, January 20). In </t>
    </r>
    <r>
      <rPr>
        <i/>
        <sz val="10"/>
        <rFont val="Arial"/>
      </rPr>
      <t>Wikipedia</t>
    </r>
    <r>
      <rPr>
        <sz val="10"/>
        <color rgb="FF000000"/>
        <rFont val="Arial"/>
      </rPr>
      <t xml:space="preserve">. Available at </t>
    </r>
    <r>
      <rPr>
        <u/>
        <sz val="10"/>
        <color rgb="FF1155CC"/>
        <rFont val="Arial"/>
      </rPr>
      <t>https://en.wikipedia.org/wiki/Cod.</t>
    </r>
  </si>
  <si>
    <r>
      <t xml:space="preserve">Flatfish. (2021, January 23). In </t>
    </r>
    <r>
      <rPr>
        <i/>
        <sz val="10"/>
        <rFont val="Arial"/>
      </rPr>
      <t>Wikipedia</t>
    </r>
    <r>
      <rPr>
        <sz val="10"/>
        <color rgb="FF000000"/>
        <rFont val="Arial"/>
      </rPr>
      <t xml:space="preserve">. Available at </t>
    </r>
    <r>
      <rPr>
        <u/>
        <sz val="10"/>
        <color rgb="FF1155CC"/>
        <rFont val="Arial"/>
      </rPr>
      <t>https://en.wikipedia.org/wiki/Flatfish.</t>
    </r>
  </si>
  <si>
    <r>
      <t xml:space="preserve">Alaskan Seafood Cooperative. (2011). </t>
    </r>
    <r>
      <rPr>
        <i/>
        <sz val="10"/>
        <rFont val="Arial"/>
      </rPr>
      <t>Background Information About The Alaska Seafood Cooperative</t>
    </r>
    <r>
      <rPr>
        <sz val="10"/>
        <color rgb="FF000000"/>
        <rFont val="Arial"/>
      </rPr>
      <t xml:space="preserve">. Available at </t>
    </r>
    <r>
      <rPr>
        <u/>
        <sz val="10"/>
        <color rgb="FF1155CC"/>
        <rFont val="Arial"/>
      </rPr>
      <t>http://alaskaseafoodcooperative.org/background-information-about-the-alaska-flatfish-fishery/</t>
    </r>
    <r>
      <rPr>
        <sz val="10"/>
        <color rgb="FF000000"/>
        <rFont val="Arial"/>
      </rPr>
      <t>.</t>
    </r>
  </si>
  <si>
    <r>
      <t xml:space="preserve">Alaska pollock. (2021 January 1).  In </t>
    </r>
    <r>
      <rPr>
        <i/>
        <sz val="10"/>
        <rFont val="Arial"/>
      </rPr>
      <t>Wikipedia</t>
    </r>
    <r>
      <rPr>
        <sz val="10"/>
        <color rgb="FF000000"/>
        <rFont val="Arial"/>
      </rPr>
      <t xml:space="preserve">. Available at </t>
    </r>
    <r>
      <rPr>
        <u/>
        <sz val="10"/>
        <color rgb="FF1155CC"/>
        <rFont val="Arial"/>
      </rPr>
      <t>https://en.wikipedia.org/wiki/Alaska_pollock.</t>
    </r>
  </si>
  <si>
    <r>
      <t xml:space="preserve">Tilapia. (2021, January 12).  In Wikipedia. Available at </t>
    </r>
    <r>
      <rPr>
        <u/>
        <sz val="10"/>
        <color rgb="FF1155CC"/>
        <rFont val="Arial"/>
      </rPr>
      <t>https://en.wikipedia.org/wiki/Tilapia.</t>
    </r>
  </si>
  <si>
    <r>
      <t xml:space="preserve">Banrie. (2012, April 8). </t>
    </r>
    <r>
      <rPr>
        <i/>
        <sz val="10"/>
        <rFont val="Arial"/>
      </rPr>
      <t>Tilapia Aquaculture in China</t>
    </r>
    <r>
      <rPr>
        <sz val="10"/>
        <color rgb="FF000000"/>
        <rFont val="Arial"/>
      </rPr>
      <t xml:space="preserve">. The Fish Site. Available at </t>
    </r>
    <r>
      <rPr>
        <u/>
        <sz val="10"/>
        <color rgb="FF1155CC"/>
        <rFont val="Arial"/>
      </rPr>
      <t>https://thefishsite.com/articles/tilapia-aquaculture-in-china.</t>
    </r>
  </si>
  <si>
    <r>
      <t xml:space="preserve">Aquatic Network. (2021). </t>
    </r>
    <r>
      <rPr>
        <i/>
        <sz val="10"/>
        <rFont val="Arial"/>
      </rPr>
      <t>U.S. Tilapia Imports</t>
    </r>
    <r>
      <rPr>
        <sz val="10"/>
        <color rgb="FF000000"/>
        <rFont val="Arial"/>
      </rPr>
      <t xml:space="preserve">. Available at </t>
    </r>
    <r>
      <rPr>
        <u/>
        <sz val="10"/>
        <color rgb="FF1155CC"/>
        <rFont val="Arial"/>
      </rPr>
      <t>https://www.aquanet.com/us-tilapia-imports.</t>
    </r>
  </si>
  <si>
    <r>
      <t xml:space="preserve">Hansen, Terrill R. (2006, April). </t>
    </r>
    <r>
      <rPr>
        <i/>
        <sz val="10"/>
        <rFont val="Arial"/>
      </rPr>
      <t>Catfish Farming in Mississippi</t>
    </r>
    <r>
      <rPr>
        <sz val="10"/>
        <color rgb="FF000000"/>
        <rFont val="Arial"/>
      </rPr>
      <t xml:space="preserve">. Mississippi History Now. Available at </t>
    </r>
    <r>
      <rPr>
        <u/>
        <sz val="10"/>
        <color rgb="FF1155CC"/>
        <rFont val="Arial"/>
      </rPr>
      <t>http://www.mshistorynow.mdah.ms.gov/articles/217/catfish-farming-in-mississippi.</t>
    </r>
  </si>
  <si>
    <t>Gephart, J. A., Troell, M., Henriksson, P. J., Beveridge, M. C., Verdegem, M., Metian, M., ... &amp; Deutsch, L. (2017). Theseafood gap'in the food-water nexus literature—issues surrounding freshwater use in seafood production chains. Advances in water resources, 110, 505-514.</t>
  </si>
  <si>
    <t>Gephart, J. A., Pace, M. L., &amp; D’Odorico, P. (2014). Freshwater savings from marine protein consumption. Environmental Research Letters, 9(1), 014005.</t>
  </si>
  <si>
    <t>Davis, K. F., Gephart, J. A., Emery, K. A., Leach, A. M., Galloway, J. N., &amp; D’Odorico, P. (2016). Meeting future food demand with current agricultural resources. Global Environmental Change, 39, 125-132.</t>
  </si>
  <si>
    <t>Henriksson, P. J. G., Zhang, W., Nahid, S. A. A., Newton, R., Phan, L. T., Dao, H. M., ... &amp; Guinée, J. B. (2014). Final LCA case study report. Results of LCA studies of Asian aquaculture systems for tilapia, catfish, shrimp, and freshwater prawn. Sustaining Ethical Aquaculture Trade (SEAT) Deliverable Ref: D, 3.</t>
  </si>
  <si>
    <t>Thrane, M. (2004). Energy consumption in the Danish fishery: identification of key factors. Journal of Industrial Ecology, 8(1‐2), 223-239.</t>
  </si>
  <si>
    <t>Cao, L., Diana, J. S., Keoleian, G. A., &amp; Lai, Q. M. (2011). Life Cycle Assessment of Chinese Shrimp Farming Systems Targeted for Export and Domestic Sales. Environmental Science &amp; Technology, 45(15), 6531-6538. doi:10.1021/es104058z</t>
  </si>
  <si>
    <r>
      <t xml:space="preserve">Southern Shrimp Alliance. (2018, Decmber 13). </t>
    </r>
    <r>
      <rPr>
        <i/>
        <sz val="10"/>
        <rFont val="Arial"/>
      </rPr>
      <t>Shrimp Hits Record High Levels of Consumption in United States</t>
    </r>
    <r>
      <rPr>
        <sz val="10"/>
        <color rgb="FF000000"/>
        <rFont val="Arial"/>
      </rPr>
      <t xml:space="preserve">. Available at </t>
    </r>
    <r>
      <rPr>
        <u/>
        <sz val="10"/>
        <color rgb="FF1155CC"/>
        <rFont val="Arial"/>
      </rPr>
      <t>https://www.shrimpalliance.com/shrimp-hits-record-high-levels-of-consumption-in-united-states/.</t>
    </r>
  </si>
  <si>
    <r>
      <t xml:space="preserve">Wood, J. F., Brown, J. H., MacLean, M. H., Rajendran, I. (1992, September).  </t>
    </r>
    <r>
      <rPr>
        <i/>
        <sz val="10"/>
        <rFont val="Arial"/>
      </rPr>
      <t>Feeds for artisanal shrimp culture in India - Their development and evaluation</t>
    </r>
    <r>
      <rPr>
        <sz val="10"/>
        <color rgb="FF000000"/>
        <rFont val="Arial"/>
      </rPr>
      <t xml:space="preserve">. Bay of Bengal Programme. Available at </t>
    </r>
    <r>
      <rPr>
        <u/>
        <sz val="10"/>
        <color rgb="FF1155CC"/>
        <rFont val="Arial"/>
      </rPr>
      <t>http://www.fao.org/tempref/FI/CDrom/bobp/cd1/Bobp/Publns/Reports/0052.pdf.</t>
    </r>
  </si>
  <si>
    <t>Schau, E. M., Ellingsen, H., Endal, A., &amp; Aanondsen, S. A. (2009). Energy consumption in the Norwegian fisheries. Journal of Cleaner Production, 17(3), 325-334.</t>
  </si>
  <si>
    <t>Tyedmers, P. (2001). Energy consumed by North Atlantic fisheries. Fisheries impacts on North Atlantic ecosystems: catch, effort, and national/regional data sets, 9, 12-34.</t>
  </si>
  <si>
    <t>Iribarren, D., Vázquez-Rowe, I., Hospido, A., Moreira, M. T., &amp; Feijoo, G. (2010). Estimation of the carbon footprint of the Galician fishing activity (NW Spain). Science of the Total Environment, 408(22), 5284-5294.</t>
  </si>
  <si>
    <t>Vázquez-Rowe, Ian, Villanueva-Rey, Pedro, Mallo, Juan, De la Cerda, Juan José, Moreira, Ma Teresa, &amp; Feijoo, Gumersindo. (2013). Carbon footprint of a multi-ingredient seafood product from a business-to-business perspective. Journal of Cleaner Production, 44, 200-210.</t>
  </si>
  <si>
    <t>Ziegler, F., Nilsson, P., Mattsson, B., &amp; Walther, Y. (2003). Life cycle assessment of frozen cod fillets including fishery-specific environmental impacts. The International Journal of Life Cycle Assessment, 8(1), 39-47.</t>
  </si>
  <si>
    <t>Ramos, Saioa, Vázquez-Rowe, Ian, Artetxe, Iñaki, Moreira, Maria Teresa, Feijoo, Gumersindo, &amp; Zufía, Jaime. (2011). Environmental assessment of the Atlantic mackerel (Scomber scombrus) season in the Basque Country. Increasing the timeline delimitation in fishery LCA studies. The International Journal of Life Cycle Assessment, 16(7), 599-610.</t>
  </si>
  <si>
    <t>Buchspies B, Tölle SJ, Jungbluth N (2011) Life cycle assessment of high-sea fish and salmon aquaculture. ESU services Ttd.</t>
  </si>
  <si>
    <t>Driscoll, John, &amp; Tyedmers, Peter. (2010). Fuel use and greenhouse gas emission implications of fisheries management: The case of the new england atlantic herring fishery. Marine Policy, 34(3), 353-359.</t>
  </si>
  <si>
    <t>Parker, Robert W. R, Blanchard, Julia L, Gardner, Caleb, Green, Bridget S, Hartmann, Klaas, Tyedmers, Peter H, &amp; Watson, Reg A. (2018). Fuel use and greenhouse gas emissions of world fisheries. Nature Climate Change, 8(4), 333-337.</t>
  </si>
  <si>
    <t>Heller, Martin C, Willits-Smith, Amelia, Meyer, Robert, Keoleian, Gregory A, &amp; Rose, Donald. (2017). Greenhouse gas emissions and energy use associated with production of individual self-selected US diets. Environmental Research Letters, 13(4), 044004.</t>
  </si>
  <si>
    <t>Bosma, R.H, Pham Thi Ahn, &amp; Potting, J. (2011). Life cycle assessment of intensive striped catfish farming in the Mekong Delta for screening hotspots as input to environmental policy and research agenda. The International Journal of Life Cycle Assessment, 16(9), 903-915.</t>
  </si>
  <si>
    <t>Oysters</t>
  </si>
  <si>
    <t>Classic</t>
  </si>
  <si>
    <t>.0000258/6</t>
  </si>
  <si>
    <t>.170/6</t>
  </si>
  <si>
    <t>Shigoku</t>
  </si>
  <si>
    <t>.0000349/6</t>
  </si>
  <si>
    <t>.202/6</t>
  </si>
  <si>
    <t>Pucylowski average</t>
  </si>
  <si>
    <t>Demersal molluscs</t>
  </si>
  <si>
    <t>.24kgCO2eq/100g</t>
  </si>
  <si>
    <t>Mollusks</t>
  </si>
  <si>
    <t>.3143kgCO2eq/100g</t>
  </si>
  <si>
    <t>OYSTERS</t>
  </si>
  <si>
    <t>Pucylowski, T. (2017). Life cycle assessment (LCA) of oyster farming in Washington State (Doctoral dissertation).</t>
  </si>
  <si>
    <t>Parker, R. W., Blanchard, J. L., Gardner, C., Green, B. S., Hartmann, K., Tyedmers, P. H., &amp; Watson, R. A. (2018). Fuel use and greenhouse gas emissions of world fisheries. Nature Climate Change, 8(4), 333-337.</t>
  </si>
  <si>
    <r>
      <t xml:space="preserve">USDA. (2019). </t>
    </r>
    <r>
      <rPr>
        <i/>
        <sz val="10"/>
        <rFont val="Arial"/>
      </rPr>
      <t>Mollusks, oyster, Pacific, raw</t>
    </r>
    <r>
      <rPr>
        <sz val="10"/>
        <color rgb="FF000000"/>
        <rFont val="Arial"/>
      </rPr>
      <t xml:space="preserve">.  FoodData Central. U.S. Department of Agriculture. Available at </t>
    </r>
    <r>
      <rPr>
        <u/>
        <sz val="10"/>
        <color rgb="FF1155CC"/>
        <rFont val="Arial"/>
      </rPr>
      <t>https://fdc.nal.usda.gov/fdc-app.html#/food-details/174219/nutrients.</t>
    </r>
  </si>
  <si>
    <t>SALMON</t>
  </si>
  <si>
    <t>Ayer, N. W., &amp; Tyedmers, P. H. (2009). Assessing alternative aquaculture technologies: life cycle assessment of salmonid culture systems in Canada. Journal of Cleaner production, 17(3), 362-373.</t>
  </si>
  <si>
    <t>Ellingsen, H., Olaussen, J. O., &amp; Utne, I. B. (2009). Environmental analysis of the Norwegian fishery and aquaculture industry—A preliminary study focusing on farmed salmon. Marine Policy, 33(3), 479-488.</t>
  </si>
  <si>
    <t>Pelletier, N., Tyedmers, P., Sonesson, U., Scholz, A., Ziegler, F., Flysjo, A., ... &amp; Silverman, H. (2009). Not all salmon are created equal: life cycle assessment (LCA) of global salmon farming systems.</t>
  </si>
  <si>
    <t>Raw-Cooked Conversion</t>
  </si>
  <si>
    <t>Raw (cal/100g)</t>
  </si>
  <si>
    <t>Cooked (cal/100g)</t>
  </si>
  <si>
    <t>Conversion raw to cooked</t>
  </si>
  <si>
    <t>TUNA</t>
  </si>
  <si>
    <t>canned tuna</t>
  </si>
  <si>
    <t>Hospido, Almudena, &amp; Tyedmers, Peter. (2005). Life cycle environmental impacts of Spanish tuna fisheries. Fisheries Research, 76(2), 174-186.</t>
  </si>
  <si>
    <t>VEGETABLES</t>
  </si>
  <si>
    <t>BRUSSEL SPROUTS</t>
  </si>
  <si>
    <t>Brussel Sprouts</t>
  </si>
  <si>
    <t>0.6 m2/kg</t>
  </si>
  <si>
    <t>21 m3 ton−1</t>
  </si>
  <si>
    <t>0.49 CO2eq/kg</t>
  </si>
  <si>
    <t>Cabbage</t>
  </si>
  <si>
    <t>Broccoli</t>
  </si>
  <si>
    <t>BRASSICAS</t>
  </si>
  <si>
    <t>Brussels Sprouts</t>
  </si>
  <si>
    <t>Cauliflower</t>
  </si>
  <si>
    <t>Mekonnen, M. M., &amp; Hoekstra, A. Y. (2011). The green, blue and grey water footprint of crops and derived crop products. Hydrology and Earth System Sciences, 15(5), 1577-1600.</t>
  </si>
  <si>
    <t>Poore, J., &amp; Nemecek, T. (2018). Reducing food’s environmental impacts through producers and consumers. Science, 360(6392), 987-992.</t>
  </si>
  <si>
    <r>
      <t xml:space="preserve">The Culinary Institute of America. "Educator Lesson Plan “ʻKitchen Calculations.ʻ"  Available at </t>
    </r>
    <r>
      <rPr>
        <u/>
        <sz val="10"/>
        <color rgb="FF1155CC"/>
        <rFont val="Arial"/>
      </rPr>
      <t>https://www.ciachef.edu/uploadedFiles/Pages/Admissions_and_Financial_Aid/Educators/Educational_Materials/Technique_of_the_Quarter/techniques-calculations.pdf</t>
    </r>
  </si>
  <si>
    <t>CARROT</t>
  </si>
  <si>
    <t>CARROTS (COOKED)</t>
  </si>
  <si>
    <t>calories</t>
  </si>
  <si>
    <t>cooked carrot without salt</t>
  </si>
  <si>
    <r>
      <t xml:space="preserve">USDA, (2020). "Carrots, raw." FoodData Central. U.S. Department of Agriculture. Available at </t>
    </r>
    <r>
      <rPr>
        <u/>
        <sz val="10"/>
        <color rgb="FF1155CC"/>
        <rFont val="Arial"/>
      </rPr>
      <t>https://fdc.nal.usda.gov/fdc-app.html#/food-details/1103193/nutrients)</t>
    </r>
    <r>
      <rPr>
        <sz val="10"/>
        <color rgb="FF000000"/>
        <rFont val="Arial"/>
      </rPr>
      <t>.</t>
    </r>
  </si>
  <si>
    <r>
      <t xml:space="preserve">USDA, (2019). "Carrots, cooked, boiled, drained, without salt." FoodData Central. U.S. Department of Agriculture. Available at </t>
    </r>
    <r>
      <rPr>
        <u/>
        <sz val="10"/>
        <color rgb="FF1155CC"/>
        <rFont val="Arial"/>
      </rPr>
      <t>https://fdc.nal.usda.gov/fdc-app.html#/food-details/170394/nutrients</t>
    </r>
    <r>
      <rPr>
        <sz val="10"/>
        <color rgb="FF000000"/>
        <rFont val="Arial"/>
      </rPr>
      <t>.</t>
    </r>
  </si>
  <si>
    <t>Raw/Fresh Corn Water needs</t>
  </si>
  <si>
    <t>Corn, Sweet Corn</t>
  </si>
  <si>
    <t>CORN 
(SWEET, RAW)</t>
  </si>
  <si>
    <t>gwater/100g</t>
  </si>
  <si>
    <t>corn, raw (fresh)</t>
  </si>
  <si>
    <t>Corn, sweet, yellow, frozen, kernels cut off cob, boiled, drained, without salt</t>
  </si>
  <si>
    <t>CleanMetrics. (2020). "Corn, Sweet Corn." Food Carbon Emissions Calculator. http://www.foodemissions.com/Calculator.</t>
  </si>
  <si>
    <t>Stall, W. M., Waters Jr, L., Davis, D. W., Rosen, C., &amp; Clough, G. H. (2014). Sweet corn production. National Corn Handbook-43. Purdue University Cooperative Extension Service. Available online at https://www.extension.purdue.edu/extmedia/NCH/NCH-43. html.</t>
  </si>
  <si>
    <t>Van Denburgh, R. W. (2001). Sweet Corn. Cooperative Extension, Washington State University. Available at http://pubs.cahnrs.wsu.edu/publications/pubs/em4815/</t>
  </si>
  <si>
    <t>Smajstrla, A. G. (1993). Measuring irrigation water. University of Florida, Florida Cooperative Extension Service. Available at http://irrigationtoolbox.com/ReferenceDocuments/Extension/Florida/AE04100.pdf</t>
  </si>
  <si>
    <t>Water Use
Celery</t>
  </si>
  <si>
    <t>inches/acre</t>
  </si>
  <si>
    <t>acre/ton yield</t>
  </si>
  <si>
    <t>m2/g yield</t>
  </si>
  <si>
    <t>m3/g blue water
celery</t>
  </si>
  <si>
    <t>CELERY</t>
  </si>
  <si>
    <t>CleanMetrics. (2020). "Celery." Food Carbon Emissions Calculator. http://www.foodemissions.com/Calculator.</t>
  </si>
  <si>
    <r>
      <t xml:space="preserve">Daugovish, O., et al. (2008) "Celery Production in California." University of California Division of Agriculture and Natural Resources. Available at </t>
    </r>
    <r>
      <rPr>
        <u/>
        <sz val="10"/>
        <color rgb="FF1155CC"/>
        <rFont val="Arial"/>
      </rPr>
      <t>https://anrcatalog.ucanr.edu/pdf/7220.pdf</t>
    </r>
  </si>
  <si>
    <t>CUCUMBER</t>
  </si>
  <si>
    <t>GARLIC</t>
  </si>
  <si>
    <t>garlic, dry</t>
  </si>
  <si>
    <t>garlic, fresh</t>
  </si>
  <si>
    <r>
      <t xml:space="preserve">USDA, (2019). FoodData Central. U.S. Department of Agriculture. Available at </t>
    </r>
    <r>
      <rPr>
        <u/>
        <sz val="10"/>
        <color rgb="FF1155CC"/>
        <rFont val="Arial"/>
      </rPr>
      <t>https://fdc.nal.usda.gov/fdc-app.html#/food-details/1103193/nutrients)</t>
    </r>
    <r>
      <rPr>
        <sz val="10"/>
        <color rgb="FF000000"/>
        <rFont val="Arial"/>
      </rPr>
      <t>.</t>
    </r>
  </si>
  <si>
    <t>KALE &amp; MUSTARD GREENS</t>
  </si>
  <si>
    <t>references:</t>
  </si>
  <si>
    <t>ICEBERG
Land Use</t>
  </si>
  <si>
    <t>acre/U.S.ton</t>
  </si>
  <si>
    <t>ICEBERG
Nitrogen</t>
  </si>
  <si>
    <t>lbN/acre</t>
  </si>
  <si>
    <t>average
gN/m2</t>
  </si>
  <si>
    <t>gN/g</t>
  </si>
  <si>
    <t>ICEBERG
Water</t>
  </si>
  <si>
    <t>m3/g iceberg</t>
  </si>
  <si>
    <t>NPK 8-8-8</t>
  </si>
  <si>
    <t>UN32 32-0-0</t>
  </si>
  <si>
    <t>LETTUCE</t>
  </si>
  <si>
    <r>
      <rPr>
        <sz val="10"/>
        <color rgb="FF000000"/>
        <rFont val="Arial"/>
      </rPr>
      <t xml:space="preserve">Smith, R.F., Klonsky, K.M., &amp; De Moura, R.L. (2009). Sample Costs to Produce Iceberg Lettuce. University of California Cooperative Extension. Available at </t>
    </r>
    <r>
      <rPr>
        <u/>
        <sz val="10"/>
        <color rgb="FF1155CC"/>
        <rFont val="Arial"/>
      </rPr>
      <t>https://coststudyfiles.ucdavis.edu/uploads/cs_public/92/af/92af15bd-a003-4e2e-a796-fc33e253edb8/lettuceicecc09.pdf</t>
    </r>
  </si>
  <si>
    <t>LAND USE
Mushrooms</t>
  </si>
  <si>
    <t>m2/yr/kg mushroom</t>
  </si>
  <si>
    <t>NITROGEN
Mushrooms</t>
  </si>
  <si>
    <t>gN/g mushroom</t>
  </si>
  <si>
    <t>BLUE WATER
Mushrooms</t>
  </si>
  <si>
    <t>gal/kg mushroom</t>
  </si>
  <si>
    <t>GHGE
Mushrooms</t>
  </si>
  <si>
    <t>kgCO2eq/kg mushroom</t>
  </si>
  <si>
    <t>SureHarvest</t>
  </si>
  <si>
    <t>MUSHROOMS</t>
  </si>
  <si>
    <t>Robinson, B., Winans, K., Kendall, A., Dlott, J., Dlott, F. (2017) A Life Cycle Assessment of Agaricus Bisporus Mushroom Production in the United States. International Journal of Life Cycle Assessment.</t>
  </si>
  <si>
    <r>
      <t xml:space="preserve">BIS. (2011). "Specification for the assessment of the life cycle greenhouse gas emissions of goods and services." Publicly Available Specification 2050. Available at </t>
    </r>
    <r>
      <rPr>
        <u/>
        <sz val="10"/>
        <color rgb="FF1155CC"/>
        <rFont val="Arial"/>
      </rPr>
      <t>https://shop.bsigroup.com/upload/shop/download/pas/pas2050.pdf</t>
    </r>
  </si>
  <si>
    <t>ONION</t>
  </si>
  <si>
    <t>onions, dry</t>
  </si>
  <si>
    <t>onions, fresh</t>
  </si>
  <si>
    <t>PARSLEY</t>
  </si>
  <si>
    <t>dried</t>
  </si>
  <si>
    <t>Gidon correspondence = equals spinach</t>
  </si>
  <si>
    <r>
      <t xml:space="preserve">USDA, (2019). FoodData Central. U.S. Department of Agriculture. Available at </t>
    </r>
    <r>
      <rPr>
        <u/>
        <sz val="10"/>
        <color rgb="FF1155CC"/>
        <rFont val="Arial"/>
      </rPr>
      <t>https://fdc.nal.usda.gov/fdc-app.html#/food-details/168463/nutrients</t>
    </r>
  </si>
  <si>
    <t>PEPPERS
(GREEN,
RED, &amp; HOT)</t>
  </si>
  <si>
    <t>Green and Red</t>
  </si>
  <si>
    <t>Hot</t>
  </si>
  <si>
    <t>POTATOES</t>
  </si>
  <si>
    <t>potatoes, raw</t>
  </si>
  <si>
    <t>potatoes, cooked</t>
  </si>
  <si>
    <t>SPINACH</t>
  </si>
  <si>
    <t>spinach, raw</t>
  </si>
  <si>
    <t>spinach, cooked</t>
  </si>
  <si>
    <t>SQUASH</t>
  </si>
  <si>
    <t>summer squash, raw</t>
  </si>
  <si>
    <t>summer squash, cooked, boiled and drained</t>
  </si>
  <si>
    <t>winter squash, raw</t>
  </si>
  <si>
    <t>winter squash, baked</t>
  </si>
  <si>
    <t>Sweet Potato</t>
  </si>
  <si>
    <t>FFQ recipe</t>
  </si>
  <si>
    <t>Water needs (m3/g)</t>
  </si>
  <si>
    <t>Water needs final (m3/g)</t>
  </si>
  <si>
    <t>GHGE final (kgCO2eq/g)</t>
  </si>
  <si>
    <t>sweet potato, raw</t>
  </si>
  <si>
    <t>sweet potato, baked</t>
  </si>
  <si>
    <t>sweet potato, syrup</t>
  </si>
  <si>
    <t>SWEET POTATO</t>
  </si>
  <si>
    <t>sweet potato, cooked</t>
  </si>
  <si>
    <t>TOMATO</t>
  </si>
  <si>
    <t>TOMATO PASTE</t>
  </si>
  <si>
    <t>Yield (kg)</t>
  </si>
  <si>
    <t>Tomato paste</t>
  </si>
  <si>
    <t>Rodríguez-Azúa, R., Treuer, A., Moore-Carrasco, R., Cortacáns, D., Gutiérrez, M., Astudillo, L., ... &amp; Palomo, I. (2014). Effect of tomato industrial processing (different hybrids, paste, and pomace) on inhibition of platelet function in vitro, ex vivo, and in vivo. Journal of medicinal food, 17(4), 505-511.</t>
  </si>
  <si>
    <t>Mekonnen, M. M., &amp; Hoekstra, A. Y. (2011). "Tomato paste" The green, blue and grey water footprint of crops and derived crop products.</t>
  </si>
  <si>
    <t>SWEETS</t>
  </si>
  <si>
    <t>CORN SYRUP</t>
  </si>
  <si>
    <t>Corn syrup yield from dried corn</t>
  </si>
  <si>
    <t>Conversion calculation</t>
  </si>
  <si>
    <t>BLUE WATER NEEDS m^3/1g</t>
  </si>
  <si>
    <t>Corn kernels</t>
  </si>
  <si>
    <t>Corn Syrup</t>
  </si>
  <si>
    <t>*56/0.00220462*0.00220462</t>
  </si>
  <si>
    <t>Amare, D., Endalew, W., Yayu, N., Endeblihatu, A., &amp; Biweta, W. (2017). Evaluation and demonstration of maize shellers for small-scale farmers. MOJ App Bio Biomech, 1(3), 00014.</t>
  </si>
  <si>
    <t>Cane Sugar - Nitrogen</t>
  </si>
  <si>
    <t>cane (kgN/ton)</t>
  </si>
  <si>
    <t>calculation
ton to kg</t>
  </si>
  <si>
    <t>kgN/kg cane</t>
  </si>
  <si>
    <t>kg cane/kg juice</t>
  </si>
  <si>
    <t>kg juice/kg sugar</t>
  </si>
  <si>
    <t>kg N/ kg sugar</t>
  </si>
  <si>
    <t>gN/g sugar</t>
  </si>
  <si>
    <t>cane</t>
  </si>
  <si>
    <t>Cane Sugar - 
Blue Water Needs</t>
  </si>
  <si>
    <t>cane (m3/ton)</t>
  </si>
  <si>
    <t>m3H2O/kg cane</t>
  </si>
  <si>
    <t>m3H2O/kg sugar</t>
  </si>
  <si>
    <t>m3H2O/gsugar</t>
  </si>
  <si>
    <t>Cane Sugar - 
GHGE</t>
  </si>
  <si>
    <t>cane (kgCO2eq/lb)</t>
  </si>
  <si>
    <t>calculation
lb to gram</t>
  </si>
  <si>
    <t>kgCO2eq/g cane</t>
  </si>
  <si>
    <t>g cane/g juice</t>
  </si>
  <si>
    <t>g juice/g sugar</t>
  </si>
  <si>
    <t>kgCO2eq/g sugar</t>
  </si>
  <si>
    <t>Cane Sugar derivative conversions</t>
  </si>
  <si>
    <t>Conversion Calculation
Cane Syrup 
to...</t>
  </si>
  <si>
    <t>Conversion Calculation
Cane sugar to...</t>
  </si>
  <si>
    <t>cane syrup</t>
  </si>
  <si>
    <t>brown sugar</t>
  </si>
  <si>
    <t>cane sugar</t>
  </si>
  <si>
    <t>CANE SUGAR</t>
  </si>
  <si>
    <t>cane sugar, white sugar, sugar</t>
  </si>
  <si>
    <r>
      <t xml:space="preserve">Haifa Group. (2020). Using the right fertilizers in order to provide the sugar cane necessities. Available at </t>
    </r>
    <r>
      <rPr>
        <u/>
        <sz val="10"/>
        <color rgb="FF1155CC"/>
        <rFont val="Arial"/>
      </rPr>
      <t>https://www.haifa-group.com/using-right-fertilizers-order-provide-sugar-cane-necessities.</t>
    </r>
  </si>
  <si>
    <r>
      <t xml:space="preserve">Practical Action. </t>
    </r>
    <r>
      <rPr>
        <i/>
        <sz val="10"/>
        <rFont val="Arial"/>
      </rPr>
      <t>Sugar Production from Cane Sugar</t>
    </r>
    <r>
      <rPr>
        <sz val="10"/>
        <color rgb="FF000000"/>
        <rFont val="Arial"/>
      </rPr>
      <t xml:space="preserve">. Appropedia. Available at </t>
    </r>
    <r>
      <rPr>
        <u/>
        <sz val="10"/>
        <color rgb="FF1155CC"/>
        <rFont val="Arial"/>
      </rPr>
      <t>https://www.appropedia.org/Sugar_Production_from_Cane_Sugar_(Practical_Action_Technical_Brief)</t>
    </r>
    <r>
      <rPr>
        <sz val="10"/>
        <color rgb="FF000000"/>
        <rFont val="Arial"/>
      </rPr>
      <t>.</t>
    </r>
  </si>
  <si>
    <t>Neira</t>
  </si>
  <si>
    <t>Ntiamoah</t>
  </si>
  <si>
    <t>Conversion</t>
  </si>
  <si>
    <t>CACAO - Land Use</t>
  </si>
  <si>
    <t>Land Use, Yield (m2/100g)</t>
  </si>
  <si>
    <t>Average for each article (m2/100g)</t>
  </si>
  <si>
    <t>AVERAGE between 3 articles (m2/100g cacao)</t>
  </si>
  <si>
    <t>CACAO - Nitrogen</t>
  </si>
  <si>
    <t>%N of NPK ratio</t>
  </si>
  <si>
    <t>gmwt NPK (gNPK/100g cacao per yr)</t>
  </si>
  <si>
    <t>Yield (kg/ha)</t>
  </si>
  <si>
    <t>Weighted average for each article (gNr/100g)</t>
  </si>
  <si>
    <t>AVERAGE between 3 articles (gNr/100g cacao)</t>
  </si>
  <si>
    <t>CACAO - GHGE</t>
  </si>
  <si>
    <t>GHGE 
(kgCO2eq/m2)</t>
  </si>
  <si>
    <t>Yield (m2/100g)</t>
  </si>
  <si>
    <t>Average for each article (kgCO2eq/100g)</t>
  </si>
  <si>
    <t>AVERAGE between 4 articles (kgCO2eq/100g cacao)</t>
  </si>
  <si>
    <t>CHOCOLATE</t>
  </si>
  <si>
    <t>Products per 1.78kg cacao</t>
  </si>
  <si>
    <t>Percentage of whole cacao</t>
  </si>
  <si>
    <t>Products per 1kg cacao</t>
  </si>
  <si>
    <t>percentage of bean</t>
  </si>
  <si>
    <t>Neira traditional</t>
  </si>
  <si>
    <t>Whole dried cacao bean</t>
  </si>
  <si>
    <t>Neira technified</t>
  </si>
  <si>
    <t>Products</t>
  </si>
  <si>
    <t>Ortiz</t>
  </si>
  <si>
    <t>Farm 1</t>
  </si>
  <si>
    <t>Farm 2</t>
  </si>
  <si>
    <t>-</t>
  </si>
  <si>
    <t>Butter</t>
  </si>
  <si>
    <t>Farm 3</t>
  </si>
  <si>
    <t>By-Products</t>
  </si>
  <si>
    <t>Farm 4</t>
  </si>
  <si>
    <t>Cocoa Press Cake</t>
  </si>
  <si>
    <t>Farm 5</t>
  </si>
  <si>
    <t>Cocoa Powder</t>
  </si>
  <si>
    <t>Farm 6</t>
  </si>
  <si>
    <t>Cacao Shells</t>
  </si>
  <si>
    <t>Farm 7</t>
  </si>
  <si>
    <t>CHOCOLATE CANDY COMPOSITION</t>
  </si>
  <si>
    <t>Land Needs, loss-adjusted, m2-yr/1g</t>
  </si>
  <si>
    <t>Nr needs, loss-adjusted, gNr/1g</t>
  </si>
  <si>
    <t>Farm 8</t>
  </si>
  <si>
    <t>Farm 9</t>
  </si>
  <si>
    <t>chocolate liquor</t>
  </si>
  <si>
    <t>Farm 10</t>
  </si>
  <si>
    <t>Farm 11</t>
  </si>
  <si>
    <t>Farm 12</t>
  </si>
  <si>
    <t>Milk chocolate</t>
  </si>
  <si>
    <t>&gt;10% chocolate (sugar, cocoa butter, milk powder, chocolate liquor)</t>
  </si>
  <si>
    <t>Farm 13</t>
  </si>
  <si>
    <t>Dark chocolate</t>
  </si>
  <si>
    <t>55% chocolate (sugar, cocoa butter, chocolate liquor)</t>
  </si>
  <si>
    <t>Farm 14</t>
  </si>
  <si>
    <t>Farm 15</t>
  </si>
  <si>
    <t>Farm 16</t>
  </si>
  <si>
    <t>organic+NPK</t>
  </si>
  <si>
    <t>Farm 17</t>
  </si>
  <si>
    <t>Farm 18</t>
  </si>
  <si>
    <t>Farm 19</t>
  </si>
  <si>
    <t>Farm 20</t>
  </si>
  <si>
    <t>Farm 21</t>
  </si>
  <si>
    <t>CHOCOLATE and its DERIVATIVES</t>
  </si>
  <si>
    <t>conversion calculation from raw cacao in shell</t>
  </si>
  <si>
    <t>conversion from refined chocolate</t>
  </si>
  <si>
    <t>Farm 22</t>
  </si>
  <si>
    <t>raw cacao in shell</t>
  </si>
  <si>
    <t>Farm 23</t>
  </si>
  <si>
    <t>unsweetened baking chocolate</t>
  </si>
  <si>
    <t>Farm 24</t>
  </si>
  <si>
    <t>*</t>
  </si>
  <si>
    <t>Farm 25</t>
  </si>
  <si>
    <t>milk chocolate</t>
  </si>
  <si>
    <t>Farm 26</t>
  </si>
  <si>
    <t>milk chocolate bar</t>
  </si>
  <si>
    <t>Farm 27</t>
  </si>
  <si>
    <t>dark chocolate bar</t>
  </si>
  <si>
    <t>Farm 28</t>
  </si>
  <si>
    <t>Farm 29</t>
  </si>
  <si>
    <t>Farm 30</t>
  </si>
  <si>
    <t>Food Emissions Calculator</t>
  </si>
  <si>
    <r>
      <t xml:space="preserve">Department of Health and Human Services. (2020, April 1). </t>
    </r>
    <r>
      <rPr>
        <i/>
        <sz val="10"/>
        <rFont val="Arial"/>
      </rPr>
      <t>Cacao Products</t>
    </r>
    <r>
      <rPr>
        <sz val="10"/>
        <color rgb="FF000000"/>
        <rFont val="Arial"/>
      </rPr>
      <t xml:space="preserve">. Code of Federal Regulations, Food and Drug Administration. 21(1). Available at </t>
    </r>
    <r>
      <rPr>
        <u/>
        <sz val="10"/>
        <color rgb="FF1155CC"/>
        <rFont val="Arial"/>
      </rPr>
      <t>https://www.accessdata.fda.gov/scripts/cdrh/cfdocs/cfcfr/CFRSearch.cfm?CFRPart=163.</t>
    </r>
  </si>
  <si>
    <t>Neira, D. P. (2016). Energy sustainability of Ecuadorian cacao export and its contribution to climate change. A case study through product life cycle assessment. Journal of Cleaner Production, 112, 2560-2568.</t>
  </si>
  <si>
    <t>Ntiamoah, A., &amp; Afrane, G. (2008). Environmental impacts of cocoa production and processing in Ghana: life cycle assessment approach. Journal of Cleaner Production, 16(16), 1735-1740.  Available at https://www.worldcocoafoundation.org/wp-content/uploads/files_mf/ntiamoah2008.pdf</t>
  </si>
  <si>
    <t>Ortiz-R, O. O., Villamizar Gallardo, R. A., &amp; Rangel, J. M. (2014). Applying life cycle management of colombian cocoa production. Food Science and Technology, 34(1), 62-68.</t>
  </si>
  <si>
    <t>*There is no standard recipe for milk chocolate or dark chocolate.  We have used the environmental attributes of unsweetened baking chocolate in place of chocolate, chocolate candies, milk chocolate, milk chocolate bar, and dark chocolate bar, which undeniably have various measures of cocoa butter, chocolate liquer, milk powder, sugar, and other ingredients.  For NHS aggregation, these items contribute a small percentage of an individual's overall diet.</t>
  </si>
  <si>
    <t>MISCELLANEOUS</t>
  </si>
  <si>
    <t>Cinnamon Nr 
Research</t>
  </si>
  <si>
    <t>%N in mixture</t>
  </si>
  <si>
    <t>Qty mixture (kg/ha per year)</t>
  </si>
  <si>
    <t>gN/ha</t>
  </si>
  <si>
    <t>Cinnamon yield (ha/100g)</t>
  </si>
  <si>
    <t>Nr needs (gNr/100g)</t>
  </si>
  <si>
    <t>Cinnamon Research</t>
  </si>
  <si>
    <t>Land Needs (ha/t)</t>
  </si>
  <si>
    <t>Land Needs (m2/100g)</t>
  </si>
  <si>
    <t>GHGE (tCO2e/t)</t>
  </si>
  <si>
    <t>GHGE (kgCO2/100g)</t>
  </si>
  <si>
    <t>Nr needs</t>
  </si>
  <si>
    <t>Nr (gNr/100g)</t>
  </si>
  <si>
    <t>Blue Water (m3/ton)</t>
  </si>
  <si>
    <t>Blue Water (m3/100g)</t>
  </si>
  <si>
    <t>CINNAMON</t>
  </si>
  <si>
    <r>
      <rPr>
        <sz val="10"/>
        <color rgb="FF000000"/>
        <rFont val="Helvetica"/>
      </rPr>
      <t xml:space="preserve">Audsley, E., Brander, M., Chatterton, J., Murphy-Bokern, D., Webster, C., and Williams, A. (2009). How low can we go? An assessment of greenhouse gas emissions from the UK food system and the scope to reduce them by 2050. FCRN-WWF-UK. Available at </t>
    </r>
    <r>
      <rPr>
        <u/>
        <sz val="10"/>
        <color rgb="FF1155CC"/>
        <rFont val="Helvetica"/>
      </rPr>
      <t>http://assets.wwf.org.uk/downloads/how_low_report_1.pdf</t>
    </r>
  </si>
  <si>
    <t>Dept. of Export Agriculture, Sri Lanka. (2021). "Cinnamon." Available at  http://www.dea.gov.lk/cinnamon/</t>
  </si>
  <si>
    <t>Mekonnen, M. M., &amp; Hoekstra, A. Y. (2011). "Cinnamon (canella)." The green, blue and grey water footprint of crops and derived crop products.</t>
  </si>
  <si>
    <t>Guar Gum Research</t>
  </si>
  <si>
    <t>guar yield (t/ha)</t>
  </si>
  <si>
    <t>guar gum % of guar</t>
  </si>
  <si>
    <t>guar gum yield (t/ha)</t>
  </si>
  <si>
    <t>Land needs (ha/ton)</t>
  </si>
  <si>
    <t>Land needs (m2/100g)</t>
  </si>
  <si>
    <t>Nr needs (kgN/ha)</t>
  </si>
  <si>
    <t>Water needs (m3/ha)</t>
  </si>
  <si>
    <t>Blue Water Needs (m3/100g)</t>
  </si>
  <si>
    <t>GHGE (kgCO2eq/ha)</t>
  </si>
  <si>
    <t>GUAR GUM</t>
  </si>
  <si>
    <t>Gresta, F., De Luca, A. I., Strano, A., Falcone, G., Santonoceto, C., Anastasi, U., &amp; Gulisano, G. (2014). Economic and environmental sustainability analysis of guar (Cyamopsis tetragonoloba L.) farming process in a Mediterranean area: two case studies. Italian Journal of Agronomy, 9(1), 20-24.</t>
  </si>
  <si>
    <t>VINEGAR</t>
  </si>
  <si>
    <t>Conversion Corn to Vinegar (g corn/ g100-proof bev)</t>
  </si>
  <si>
    <t>Conversion Alcohol Content</t>
  </si>
  <si>
    <t>FINAL CONVERSION RATIO 
(g corn/
g vinegar)</t>
  </si>
  <si>
    <t>Corn</t>
  </si>
  <si>
    <t>*this is whole grain corn</t>
  </si>
  <si>
    <t>White distilled Vinegar</t>
  </si>
  <si>
    <t>INPUT INTO ASSUMPTIONS</t>
  </si>
  <si>
    <r>
      <t xml:space="preserve">Clawhammer Supply, (2018). "How to Make Moonshine." Available at </t>
    </r>
    <r>
      <rPr>
        <u/>
        <sz val="10"/>
        <color rgb="FF1155CC"/>
        <rFont val="Arial"/>
      </rPr>
      <t>https://www.clawhammersupply.com/blogs/moonshine-still-blog/how-to-make-moonshine.</t>
    </r>
    <r>
      <rPr>
        <sz val="10"/>
        <color rgb="FF000000"/>
        <rFont val="Arial"/>
      </rPr>
      <t xml:space="preserve"> </t>
    </r>
  </si>
  <si>
    <r>
      <t xml:space="preserve">Clawhammer Supply, (2013). "Alcohol Yields." Available at </t>
    </r>
    <r>
      <rPr>
        <u/>
        <sz val="10"/>
        <color rgb="FF1155CC"/>
        <rFont val="Arial"/>
      </rPr>
      <t>https://www.clawhammersupply.com/blogs/moonshine-still-blog/7208742-alcohol-yields.</t>
    </r>
    <r>
      <rPr>
        <sz val="10"/>
        <color rgb="FF000000"/>
        <rFont val="Arial"/>
      </rPr>
      <t xml:space="preserve"> </t>
    </r>
  </si>
  <si>
    <r>
      <rPr>
        <sz val="10"/>
        <color rgb="FF000000"/>
        <rFont val="Arial"/>
      </rPr>
      <t xml:space="preserve">"Alcoholic beverage, distilled, all (gin, rum, vodka, whiskey) 100 proof." Calculate weight of generic and branded foods per volume. Available at </t>
    </r>
    <r>
      <rPr>
        <u/>
        <sz val="10"/>
        <color rgb="FF1155CC"/>
        <rFont val="Arial"/>
      </rPr>
      <t>https://www.aqua-calc.com/calculate/food-volume-to-weight.</t>
    </r>
  </si>
  <si>
    <r>
      <rPr>
        <sz val="11"/>
        <rFont val="Calibri"/>
      </rPr>
      <t xml:space="preserve">Mizkan America, Inc. (2021). "How It's Made," </t>
    </r>
    <r>
      <rPr>
        <u/>
        <sz val="11"/>
        <color rgb="FF1155CC"/>
        <rFont val="Calibri"/>
      </rPr>
      <t>VinegarTips.com</t>
    </r>
    <r>
      <rPr>
        <sz val="11"/>
        <rFont val="Calibri"/>
      </rPr>
      <t xml:space="preserve">. Available at </t>
    </r>
    <r>
      <rPr>
        <u/>
        <sz val="11"/>
        <color rgb="FF1155CC"/>
        <rFont val="Calibri"/>
      </rPr>
      <t>https://vinegartips.com/vinegar-101/how-its-made</t>
    </r>
  </si>
  <si>
    <t>See Corn (whole grain) above</t>
  </si>
  <si>
    <t>YEAST</t>
  </si>
  <si>
    <t>Gidon Correspondence (3/22/20)</t>
  </si>
  <si>
    <t>RULES</t>
  </si>
  <si>
    <t>NR NEEDS</t>
  </si>
  <si>
    <t>We derive our values for eutrophication potential from fertilizer inputs rather than any values for "eutrophication potential" published in papers due to the lack of uniformity between methods.</t>
  </si>
  <si>
    <t>Gidon Correspondence "Nitrogen" (cell BP55)</t>
  </si>
  <si>
    <r>
      <t xml:space="preserve">GHK/BioIS. (2006), “A study to examine the costs and benefits of the ELV Directive – final report”, Birmingham, UK. Available at: </t>
    </r>
    <r>
      <rPr>
        <u/>
        <sz val="10"/>
        <color rgb="FF1155CC"/>
        <rFont val="Arial"/>
      </rPr>
      <t>http://ec.europa.eu/environment/waste/pdf/study/final_report.pdf.</t>
    </r>
  </si>
  <si>
    <t>EDIBLE YIELD</t>
  </si>
  <si>
    <t>SOURCE</t>
  </si>
  <si>
    <t>Includes edible yield?</t>
  </si>
  <si>
    <t>Yes</t>
  </si>
  <si>
    <t>No</t>
  </si>
  <si>
    <t>Other sources</t>
  </si>
  <si>
    <t>Varies</t>
  </si>
  <si>
    <t>Caloriic Ratio was used when converting food items between fresh and dried forms (i.e. apple to dried apple)</t>
  </si>
  <si>
    <r>
      <t xml:space="preserve">We've used this reference to convert the environmental attributes of harvested fruits and vegetables to the envrionmental attributes of their edible yields: The Culinary Institute of America. "Educator Lesson Plan “ʻKitchen Calculations.ʻ"  Available at </t>
    </r>
    <r>
      <rPr>
        <u/>
        <sz val="10"/>
        <color rgb="FF1155CC"/>
        <rFont val="Arial"/>
      </rPr>
      <t>https://www.ciachef.edu/uploadedFiles/Pages/Admissions_and_Financial_Aid/Educators/Educational_Materials/Technique_of_the_Quarter/techniques-calculations.pdf</t>
    </r>
  </si>
  <si>
    <t>BYPRODUCTS</t>
  </si>
  <si>
    <t>By byproduct, we refer to food items that are only available through the production of another food item.</t>
  </si>
  <si>
    <t>Rather than considering the environmental impact of these food items independant of their primary counterpart, we measure these food items as their percentage of the total product.</t>
  </si>
  <si>
    <t>Examples:</t>
  </si>
  <si>
    <t>Primary Product</t>
  </si>
  <si>
    <t>Byproduct</t>
  </si>
  <si>
    <t>Cotton fiber</t>
  </si>
  <si>
    <t>Cottonseed oil</t>
  </si>
  <si>
    <t>Corn Bran</t>
  </si>
  <si>
    <t>Oat</t>
  </si>
  <si>
    <t>Oat Germ</t>
  </si>
  <si>
    <t>Oat Fiber</t>
  </si>
  <si>
    <t>Oat Bran</t>
  </si>
  <si>
    <t>Rice</t>
  </si>
  <si>
    <t>Rice Bran</t>
  </si>
  <si>
    <t>Wheat</t>
  </si>
  <si>
    <t>Wheat Germ</t>
  </si>
  <si>
    <t>Wheat Bran</t>
  </si>
  <si>
    <t>whole pomegranates (with peel)</t>
  </si>
  <si>
    <t>cal/g</t>
  </si>
  <si>
    <t>Di Giacomo Carrot Juice Article</t>
  </si>
  <si>
    <r>
      <t>USDA. "Coca-Cola Bottle, 1.25 Liters." (2020) FoodData Central. U.S. Department of Agriculture. &lt;</t>
    </r>
    <r>
      <rPr>
        <u/>
        <sz val="10"/>
        <color rgb="FF1155CC"/>
        <rFont val="Arial"/>
      </rPr>
      <t>https://fdc.nal.usda.gov/fdc-app.html#/food-details/768964/nutrients</t>
    </r>
    <r>
      <rPr>
        <sz val="10"/>
        <color rgb="FF000000"/>
        <rFont val="Arial"/>
      </rPr>
      <t>&gt;.</t>
    </r>
  </si>
  <si>
    <t>Nitrogen Runoff</t>
  </si>
  <si>
    <t>100% chemical fertilizer</t>
  </si>
  <si>
    <t>NH4 Nitrogen</t>
  </si>
  <si>
    <t>NO3 Nitrogen</t>
  </si>
  <si>
    <t>- make sure the average of these 3 values from 2 articles (all weighted equally) is correct.</t>
  </si>
  <si>
    <t>Xie, S., Feng, H., Yang, F., Zhao, Z., Hu, X., Wei, C., ... &amp; Geng, Y. (2019). Does dual reduction in chemical fertilizer and pesticides improve nutrient loss and tea yield and quality? A pilot study in a green tea garden in Shaoxing, Zhejiang Province, China. Environmental Science and Pollution Research, 26(3), 2464-2476.</t>
  </si>
  <si>
    <t>RED WINE</t>
  </si>
  <si>
    <t>WHITE WINE</t>
  </si>
  <si>
    <t>lemon</t>
  </si>
  <si>
    <t>Chapter 31 - Vitamins and hormones. (n.d.). In Trease and Evans Pharmacognosy (pp. 451-458). Elsevier Health Sciences.</t>
  </si>
  <si>
    <t>Eriksson, O., Jonsson, D., &amp; Hillman, K. (2016). Life cycle assessment of Swedish single malt whisky. Journal of Cleaner Production, 112, 229-237.</t>
  </si>
  <si>
    <t>Material balance on orange processing (kg)</t>
  </si>
  <si>
    <t>TOMATO JUICE and PASTE</t>
  </si>
  <si>
    <t>Source Item</t>
  </si>
  <si>
    <t>Source Cell</t>
  </si>
  <si>
    <t>tom</t>
  </si>
  <si>
    <t>A170</t>
  </si>
  <si>
    <t>Food</t>
  </si>
  <si>
    <t xml:space="preserve">Reference (if necessary) </t>
  </si>
  <si>
    <t>Assumption</t>
  </si>
  <si>
    <t>12/7/2017 Marie Questions</t>
  </si>
  <si>
    <t>12/9/2017 Gidon Answers</t>
  </si>
  <si>
    <t>12/12/2017 Marie Questions</t>
  </si>
  <si>
    <t>12/18/2017 Gidon Answers</t>
  </si>
  <si>
    <t>1/31 Marie Questions</t>
  </si>
  <si>
    <t>2/4/2018 Gidon Answers</t>
  </si>
  <si>
    <t>3/13/2018 Marie Questions</t>
  </si>
  <si>
    <t>3/15/2018 Gidon Answers</t>
  </si>
  <si>
    <t>4/19/2018 Marie Questions</t>
  </si>
  <si>
    <t>4/21/2018 Gidon Answers</t>
  </si>
  <si>
    <t>4/24/2018 Marie Questions</t>
  </si>
  <si>
    <t>4/27/2018 Gidon Answers</t>
  </si>
  <si>
    <t>5/4/2018 Marie Questions</t>
  </si>
  <si>
    <t>5/4/18 Gidon Answers</t>
  </si>
  <si>
    <t>10/10/18 Marie Questions</t>
  </si>
  <si>
    <t>10/11/18 Gidon Answers</t>
  </si>
  <si>
    <t>10/19/18 Marie Questions</t>
  </si>
  <si>
    <t>10/24/18 Gidon Answers</t>
  </si>
  <si>
    <t>11/17/18 Marie Questions</t>
  </si>
  <si>
    <t>11/20/18 Gidon Answers</t>
  </si>
  <si>
    <t>12/12/18 Marie Questions</t>
  </si>
  <si>
    <t>12/27/18 Marie Questions</t>
  </si>
  <si>
    <t>1/3/19 Gidon Answers</t>
  </si>
  <si>
    <t>1/25/19 Marie Questions</t>
  </si>
  <si>
    <t>1/28/19 Gidon Answers</t>
  </si>
  <si>
    <t>2/17/2019 Marie Questions</t>
  </si>
  <si>
    <t>2/21/19 Gidon Answers</t>
  </si>
  <si>
    <t>2/26/19 Marie Questions</t>
  </si>
  <si>
    <t>2/28/19 Gidon Answers</t>
  </si>
  <si>
    <t>3/15/19 Marie Questions</t>
  </si>
  <si>
    <t>3/17/19 Gidon Answers</t>
  </si>
  <si>
    <t>4/3/19 Marie Questions</t>
  </si>
  <si>
    <t>4/8/19 Gidon Answers</t>
  </si>
  <si>
    <t>4/11/19 Marie Questions</t>
  </si>
  <si>
    <t>4/16/19 Chris Golden Answer</t>
  </si>
  <si>
    <t>4/20/19 Gidon Answer</t>
  </si>
  <si>
    <t>4/26/19 Marie Question</t>
  </si>
  <si>
    <t>6/7/19 Marie Question</t>
  </si>
  <si>
    <t>6/10/19 Gidon Answers</t>
  </si>
  <si>
    <t>6/11/19 Marie Questions</t>
  </si>
  <si>
    <t>6/13/19 Jessica Gephart Answers</t>
  </si>
  <si>
    <t>7/31/19 Marie Questions</t>
  </si>
  <si>
    <t>8/1/19 Gidon Answers</t>
  </si>
  <si>
    <t>8/15/19 Marie Questions</t>
  </si>
  <si>
    <t>8/16/19 Gidon Answers</t>
  </si>
  <si>
    <t>8/27/19 Marie Questions</t>
  </si>
  <si>
    <t>8/28/19 Gidon Answer</t>
  </si>
  <si>
    <t>8/28/19 Marie Question</t>
  </si>
  <si>
    <t>8/29/19 Gidon Answer</t>
  </si>
  <si>
    <t>9/1/19 Meir email to SureHarvest</t>
  </si>
  <si>
    <t>9/3/19 Alissa email</t>
  </si>
  <si>
    <t>9/6/19 Marie email</t>
  </si>
  <si>
    <t>9/9/19 Alissa email</t>
  </si>
  <si>
    <t>9/10/19 Marie Question</t>
  </si>
  <si>
    <t>9/16/19 Gidon Response</t>
  </si>
  <si>
    <t>10/4/19 Marie Questions</t>
  </si>
  <si>
    <t>10/12/19 Marie Question</t>
  </si>
  <si>
    <t>10/14/19 Gidon Response</t>
  </si>
  <si>
    <t>10/18/19 Call with Jessica Gephart</t>
  </si>
  <si>
    <t>10/28/19 Marie Questions</t>
  </si>
  <si>
    <t>10/31/19 Gidon Answers</t>
  </si>
  <si>
    <t>11/16/19 Marie Question</t>
  </si>
  <si>
    <t>11/21/19 Gidon Answers</t>
  </si>
  <si>
    <t>12/10/19 Marie Questions</t>
  </si>
  <si>
    <t>12/11/19 Gidon Answers</t>
  </si>
  <si>
    <t>12/14/19 Marie Answers</t>
  </si>
  <si>
    <t>3/20/20 Marie Questions</t>
  </si>
  <si>
    <t>3/22/20 Gidon Answers</t>
  </si>
  <si>
    <t>3/25/20 Marie Questions</t>
  </si>
  <si>
    <t>3/26/20 Gidon Answers</t>
  </si>
  <si>
    <t>4/8/20 Marie Questions</t>
  </si>
  <si>
    <t>4/9/20 Gidon Answer</t>
  </si>
  <si>
    <t>4/9/20 Marie Question</t>
  </si>
  <si>
    <t>4/22/20 Marie Question</t>
  </si>
  <si>
    <t>4/23/20 Gidon Answer</t>
  </si>
  <si>
    <t>12/27/20 Marie Question</t>
  </si>
  <si>
    <t>12/27/20 Gidon Answer</t>
  </si>
  <si>
    <t>12/28/20 Marie Question</t>
  </si>
  <si>
    <t>12/28/20 Gidon Answer</t>
  </si>
  <si>
    <t>12/30/20 Marie Question</t>
  </si>
  <si>
    <t>1/5/21 Marie Question</t>
  </si>
  <si>
    <t>1/6/21 Gidon Answer</t>
  </si>
  <si>
    <t>1/6/21 Marie Question</t>
  </si>
  <si>
    <t>1/6/21 Gidon Answers</t>
  </si>
  <si>
    <t>1/6/21 Marie Questions</t>
  </si>
  <si>
    <t>1/8/21 Marie Questions</t>
  </si>
  <si>
    <t>1/20/21 Marie Questions</t>
  </si>
  <si>
    <t>1/26/21 Gidon Answer</t>
  </si>
  <si>
    <t>2/2/21 Marie Question</t>
  </si>
  <si>
    <t>2/3/21 Gidon Answer</t>
  </si>
  <si>
    <t>2/6/21 Marie Question</t>
  </si>
  <si>
    <t>3/10/21 Marie Question</t>
  </si>
  <si>
    <t>3/14/21 Gion Answer</t>
  </si>
  <si>
    <t>3/16/21 Marie Question</t>
  </si>
  <si>
    <t>3/17/21 Gidon Answer</t>
  </si>
  <si>
    <t>3/17/21 Marie Question</t>
  </si>
  <si>
    <t>3/17/21 Gidon Question</t>
  </si>
  <si>
    <t>3/22/21 Marie Question</t>
  </si>
  <si>
    <t>3/23/21 Gidon Answer</t>
  </si>
  <si>
    <t>3/23/21 Marie Question</t>
  </si>
  <si>
    <t>3/26/21 Marie Question</t>
  </si>
  <si>
    <t>3/27/21 Gidon Answer</t>
  </si>
  <si>
    <t>4/7/21 Gidon Question</t>
  </si>
  <si>
    <t>4/8/21 Dong Wang Answer</t>
  </si>
  <si>
    <t>4/8/21 Gidon Question</t>
  </si>
  <si>
    <t>4/9/21 Marie Answer</t>
  </si>
  <si>
    <t>4/11/21 Marie Question</t>
  </si>
  <si>
    <t>4/11/21 Gidon Answer</t>
  </si>
  <si>
    <t>6/16/21 Marie Question</t>
  </si>
  <si>
    <t>6/16/21 Gidon Answer</t>
  </si>
  <si>
    <t>6/16/21 Marie</t>
  </si>
  <si>
    <t>1/31: In Akshay's document, he references walnuts for his calculations of “Onut” (or "other nut" cell I236). Can we use this calculation for cashew, pistachio, almonds, and pecans? If not, where can I find the information?</t>
  </si>
  <si>
    <t>2/4: For all except almonds that would be OK. Better still, there is an LCA paper that addressed several key CA nuts, inc. definitely almonds and walnuts.​ I don't remember the exact ref, but I know it's there. Start from http://onlinelibrary.wiley.com/doi/10.1111/jiec.12333/full, and look for this in the refs. If you do not find it, the approach is valid tentatively, until we find that paper, which i am confident I remember. Addition: Just found it, I just KNEW it was there... http://www.lcafood2014.org/papers/52.pdf.</t>
  </si>
  <si>
    <t>4/19: That's it thus far! For the home stretch, I still have yet to find values for:  Almonds</t>
  </si>
  <si>
    <t>4/21: ​There is a specific LCA for the nuts grown in CA. Did I share it with you? If not, I'll have to dig it, lemme know.</t>
  </si>
  <si>
    <t>4/24: Do you mean this paper: http://www.lcafood2014.org/papers/52.pdf? You shared it with me recently. I have yet to look into it, and I look forward to it. If this isn't the one, please send your recommendation my way!</t>
  </si>
  <si>
    <t>4/27: ​yes, that's the one!​</t>
  </si>
  <si>
    <t>In Rows 123-128, we calculated the environmental attributes for almonds, hazelnuts, walnuts, pecans, and peanuts.  We found the land, Nr, and water needs from the USDA (table attached), and we derived the GHGEs for these nuts from the Heller article (attached).  Please confirm that these values are correct.
*Note: The USDA table calculates the land needs in m2/lb, in contrast to our database's m2-year/100g.  Do we need to do additional calculations or research to convert m2 to m2-year?</t>
  </si>
  <si>
    <t>Treen nuts and peanuts are REALLY different in every way possible. They really should not bve lumped together. For the tree nuts, I shared with you a while back a paper about pistachios, almonds and so on in CA. Use that one. For peanuts use the raw results in https://www.sciencedirect.com/science/article/pii/S0959652614010518 BEFORE they convert to peanut oil.
No, the USDA are being sloppy, but thankfully n an understandable way. They mean well, and they mean m2-yr, they just don't know it. To convert m2-yr/lb to m2-yr/kg, multiply  by 2.2.</t>
  </si>
  <si>
    <t>"Nuts: Cells A154 - X207 of &lt;https://docs.google.com/spreadsheets/d/1lO1x9I6EjmGt_BwrKnWoc3WBTpN-Njdj49zAu2-26qA/edit#gid=1770045826&gt;. RED HIGHLIGHTS:I am uncertain about a few of the values because the two articles provide different values and I’m not sure which you’d recommend I use.  The notes in each red cell should describe the situation for which I’m seeking your input.
Also concerning Nuts: Can we derive pecans and cashews from the almond, walnut, and pistachio values?  In our shared database, these two nuts are only a fraction of the recipe for the food item “other nut”.  This recipe consists of: 26% cashews; 14% pistachio; 37% almonds; 23% pecans 
On the other hand, the GHGE values and Water needs are very different from the other nut trees: Heller GHGE (CO2 eq / kg): Pecan: 2.057; Cashew: 4.999; Almond: 2.272; Walnut: 1.657; Pistachio: 1.792
Mekonnen and Hoekstra global average Blue water footprint (m3/ton): Cashew: 921; Almond: 3816; Walnut: 2451; Pistachio: 7602
Please let me know what you'd recommend for determining the environmental attributes of cashews and pecans."</t>
  </si>
  <si>
    <t>Re: cells: It is actually far more robust to have multiple values and take a representative value than it is to rely on a single one. So take the mean, or if the values span a wide range, use the geometric mean,
Re: deriving pecans and cashews from other nuts: these are REALLY different. We liken them and lump them in a group, but from the life history sxtandpoint they are really distinct. How is https://www.researchgate.net/publication/283642327_Carbon_Footprint_of_Tree_Nuts_Based_Consumer_Products for the GHGs? 
When multiple sources exist - average. As always. But one value is better than none...</t>
  </si>
  <si>
    <t>yes, this seems reasonable as we buy it from wherever it is available at a given time, which over time samples the world</t>
  </si>
  <si>
    <t>Barley flour, malted</t>
  </si>
  <si>
    <t>same as barley</t>
  </si>
  <si>
    <t>1/31: Can we use the values for "barley" for malted barley flour?</t>
  </si>
  <si>
    <t>2/4: That is reasonable in this business, although there is the added bit of malting that surely requires some energy, but it's surely modest by comparison to production of the barley itself.</t>
  </si>
  <si>
    <t>As the value fraction method is indefensible (as articulated in the Corn Oil email), it is important to note that there are a few other food items for which I had used M&amp;H "derived crop" values (which are determined with the value fraction).  M&amp;H don't say specifically which food items are primary vs. derived, but I think it is fairly obvious (in the following examples, I underlined what I perceive to be the primary food items).
For example, MH11's corn products values are: maize (corn) (81m3/ton), corn flour (83m3/ton), corn starch (111m3/ton), and corn groats and meal (72m3/ton).  
Other examples are: 
soybeans/soybean flour/tofu
paddy rice/rice flour/brown husked rice
grapes/raisins/wine
apples/dried apples/apple juice
tomatoes/tomato juice
pineapples/pineapple juice
oranges/oj
green coffee/roasted coffee
barley/malt/beer made from malt
For the environmental attributes of dry whole grain corn, I've used your LU and Nr values for "CORN FLR,WHOLE-GRAIN,YEL", MH11's Water values for "Maize (corn)", and the Food emissions calculator's GHGE values for "corn".
For its derivatives, I've used the attached article which expresses the average maize kernel anatomy - 83% endosperm, 5% pericarp, 11% germ, 1% tip cap.  As corn flour and corn meal are degermed and have the pericarp and tip cap removed, only the endosperm (83%) of the maize is used.  In this case, we can divide our whole grain corn values by 0.83 for corn meal and corn flour.  
This link that you sent - https://www.feedipedia.org/node/556 - articulates that corn is 73.4% starch, so we can determine cornstarch by dividing our whole grain corn values by 0.734.
I can easily follow this system regarding all the other food items for which I've otherwise used MH11's "derived crop" values.  If there is an alternative system that you'd prefer, please let me know what it is and how to apply it for the derived crop products.</t>
  </si>
  <si>
    <t>This is good</t>
  </si>
  <si>
    <t>New values</t>
  </si>
  <si>
    <t>12/12: For beef, we utilized the calculations from cell N108 in your dataset, is this correct?</t>
  </si>
  <si>
    <t>12/18: ​You can check that against  http://www.pnas.org/content/111/33/11996.abstract. It must be the same values we report there</t>
  </si>
  <si>
    <t>4/19: For beef, you recommended that I compare the values in Akshay's document:                                                                                                                                                                                                                                                            Beef                                                                                                                                                                                                                                                                    Land needs              Nr                           Water needs             GHGEs                                                                                                                                                                                                                                                             5.26193 m^2/100g   50.5197 gNr/100g  1.5415 m^3/100g.    1.754 kgCO2eq/100g                                                                                                                                                                                                                                                            to the values in http://www.pnas.org/content/111/33/11996#abstract-2.  From the figure in your paper ["Animal derived calories in mean US diet"] what is the Mcal to 100g conversion ratio for a generic "beef" food item?  In the USDA database and the Nutrition Data website, caloric information is provided on hundreds of specific cuts and organs of beef with varied raising/processing methods (grass-fed, New Zealand, cured, choice, select, etc).  Can you recommend a ratio or a system for converting the values in your paper to the environmental database?</t>
  </si>
  <si>
    <t>4/21: So we did it differently. We obtained this not for a specific cut but instead using national calories eaten/population retail disappearance weight. This given 3.35 Mcal/(eaten kg) = 3350 kcal/(eaten kg) = 335 kcal/(eaten 100 g). Does this make sense? let's see. http://nutritiondata.self.com/facts/beef-products/3460/2 tells us that fr an individual burger, it is 296/(100 g). But we need to produce more than 100 g to get to EAT 100 g. We also need to produce more to account for water mass loss during cooking. So the added 39 kcals (order 10%) seems reasonable. If the rest of the items are per farm gate, then I'd say let's use 300 kcal/100 g beef.</t>
  </si>
  <si>
    <t>4/24: Just to be clear, is this how you'd like me to calculate the final values?: To derive the land use values of beef from your paper, I will use this equation: (147m^2/yMcal) x (1 yMcal/1000kcal) x (300kcal/100g) = 44.1m^2/100g; For Nr: (176gNr/Mcal) x (1Mcal/1000kcal) x (300kcal/100g) = 52.8 gNr/100g; For Water: (1.6 m^3/Mcal) x (1Mcal/1000kcal) x (300kcal/100g) = 0.48 m^3/100g; For GHGEs: (10 kgCO2eq/Mcal) x (1Mcal/1000kcal) x (300kcal/100g) = 3kgCO2eq/100g                                                                                                 One more thing - for my question about beef, I forgot to mention that I found these values  for "BEEF CARCASS LN&amp;FAT CHOIC RAW" in the MAD sheet of your database:  Land Use: 5.261929188 m^2-yr/100g; Nr: 50.51970716 gNr/100g; I recognize these values need to be converted to their cooked values, but I thought I'd share this additional information in case it influences our final values.</t>
  </si>
  <si>
    <t>4/27: slight error in the units: 147 [m^2-y/Mcal] = 0.147 [m^2-y/kcal] = 0.147*300 [m^2-y/100g] = 44.1 [m^2-y/100g]. The rest is good.</t>
  </si>
  <si>
    <t>I also want to confirm the use of the supplementary dataset from your PNAS article to derive all the environmental attributes for our meat items.  While the majority of our dataset uses the CleanMetrics Food Carbon Emissions Calculator, I feel that your figures are more defensible and applicable because they have the background data included.  Would you prefer that I keep consistent with the rest of the database or prioritize your PNAS dataset?</t>
  </si>
  <si>
    <t>use our PNAS information, for the reasons you invoke</t>
  </si>
  <si>
    <t>equals beef</t>
  </si>
  <si>
    <t>3/13: Can we assume the same environmental attributes for beef and beef liver?</t>
  </si>
  <si>
    <t>3/15: ​again, we should do just that, but we know that liver is almost a byproduct because the demand for it is so low ​in recent years.</t>
  </si>
  <si>
    <t>bologna</t>
  </si>
  <si>
    <t>I will use the environmental attributes of "pork" for "bologna", "sausage", and "ham", unless you advise otherwise.</t>
  </si>
  <si>
    <t>This seems right, but I really don't know what's in this concoction. Sausage making is the best and most frequently used example of what "you don't wanna know". I correspondingly do not know. I would imagine it has all kinds of crap other than pork, so it seems reasonable to give it some discount. I am not sure at all what discount would be appropriate though, sorry!</t>
  </si>
  <si>
    <t>Regarding bologna/sausage/ham, I've done a bit more research into the composition of these items. Ham, of course, can be considered the same as pork because it is a cured leg of pig. Otherwise, our database specifically calls for "beef and pork bologna" and "pork and beef sausage". And the USDA Federal Standards of Identity &lt;https://www.fsis.usda.gov/wps/portal/fsis/topics/food-safety-education/get-answers/food-safety-fact-sheets/meat-preparation/hot-dogs-and-food-safety/CT_Index&gt; require that hotdogs/sausage/bologna have no more than 30% fat (of which I'd allocate to the beef/pork), no more than 10% water, and no more than 3.5% non-meat binders and extenders. Therefore, the majority of these processed meats are derived from the beef and pork products, which leads me to allocate the recipe of 50% beef, 50% pork to both "beef and pork bologna" and "pork and beef sausage". Would you agree? If not, please provide guidance otherwise.</t>
  </si>
  <si>
    <t>Cohort row 342</t>
  </si>
  <si>
    <t>RESEARCH</t>
  </si>
  <si>
    <t>12/12: Environmental Attributes needed:</t>
  </si>
  <si>
    <t>12/18: Beyond that, most above items are trivial, they are consumed in minute amounts. Turkey and B sprouts are sort of exceptions, and whatever we do not have, use the Tilman respective category instead.</t>
  </si>
  <si>
    <t>4/19: And I'll either find these values or substitute the environmental attributes of another food item for: Brussel Sprouts</t>
  </si>
  <si>
    <t>4/21: likely exist someplace in the lit.</t>
  </si>
  <si>
    <t>4/24: Great, I'll take a look as soon as I can.  And I'll certainly consult with you about my findings.</t>
  </si>
  <si>
    <t>(Stacy Blondin's research):
GHGE: 0.49 CO2eq/kg (Heller et al. 2018)
Green: 189 m3 ton−1  (Mekonnen and Hoekstra 2011)
Blue: 21 m3 ton−1  (Mekonnen and Hoekstra 2011), 119 L/kg (Poore et al. 2018, Mean for Brassicas (n=32))
Grey: 75 m3 ton−1  (Mekonnen and Hoekstra 2011)
Land Use: 0.6 m2/kg (Poore et al. 2018, Mean for Brassicas (n=32))</t>
  </si>
  <si>
    <t>For these last 5 food items, here are the values we've found so far.  We are still missing the many of the values for land use and Nr needs.  Would you support the method of substituting the LU and Nr values of similar food items in our database (with comparable GHGE and water values) for each of these food items?:: Brussells Sprouts
GHGE:    0.49 CO2eq/kg (Heller et al. 2018)
WATER:
Green:    189 m3 ton−1  (Mekonnen and Hoekstra 2011)
Blue:         21 m3 ton−1  (Mekonnen and Hoekstra 2011)
         or    119 L/kg          (Poore et al. 2018, mean for Brassicas (n=32))
Do you recommend one of these blue water calculations over the other, or would it be best for us to find the mean?
Grey:        75 m3 ton−1  (Mekonnen and Hoekstra 2011)
LAND USE:  0.6 m2/kg (Poore et al. 2018, Mean for Brassicas (n=32))</t>
  </si>
  <si>
    <t>do not use green or grey at all, only blue. These concepts are shaky.</t>
  </si>
  <si>
    <t>Would you support the method of substituting the Nr values of similar food items in our database (with comparable GHGE, NR and water values) for this food item? Perhaps a similar brassica?  For example:
                Land Use (m2/g)     NR (gNr/g)            Water Needs (m^3/g)           GHG (kgCO2/g)
Brussels:         ?                              ?                    0.000021                              0.00049
Cabbage: 0.0005892              0.0102569             0.000026                              0.00012
Broccoli:   0.0015086              0.0319393             0.000026                              0.00036</t>
  </si>
  <si>
    <t xml:space="preserve">Yes, I would with proper acknowledgment of the imperfection. This is done very commonly. </t>
  </si>
  <si>
    <t>Bulgur</t>
  </si>
  <si>
    <t>Without information on the environmental impacts of bulgur, is it defensible to derive them from the average of barley and wheat (and spelt where available)?  We only have the LU and Nr needs for spelt.  In this table you'll see the averages of these grains:
BULGUR	             Land needs            Nr needs             Water needs    GHG emission
                             (m2-yr/1g)              (gNr/1g)               (m^3/1g)          (kg CO2eq/1g)
Barley	             0.005119353842    0.09929072094    0.000079        0.0003086474188
Spelt (Wheat)	     0.004461040009.   0.07334253248		
Whole wheat	     0.005085193004    0.05999541773    0.000347        0.0002976242967
Average=Bulgur   0.004888528951    0.07754289038    0.000213        0.0003031358578
Please confirm that the average is a valid assumption or provide an alternative solution.</t>
  </si>
  <si>
    <t>No, no need. Whest alone. Bulgar is made of wheat alone, and luckily we have the necessary info for wheat</t>
  </si>
  <si>
    <t>Canteloupe</t>
  </si>
  <si>
    <t>Mekonnen and Hoekstra don't have a water value for canteloupes. Can we use the same water needs for canteloupe as we do for watermelon?</t>
  </si>
  <si>
    <t>Better to use honeydew melon, which I believe they have</t>
  </si>
  <si>
    <t>I agree that honeydew melon would be more appropriate, but I haven't find the blue water needs for honeydews in any of their databases - only watermelon.</t>
  </si>
  <si>
    <t xml:space="preserve">No idea. But let's try. In Tab. 2 of https://journals.ashs.org/hortsci/downloadpdf/journals/hortsci/36/2/article-p286.xml we see WUE (water use efficiency) of about 50 kg/ha/mm (I am eyeballing furrow rows).
 So add 1 mm of irrigated water to your cantaloupe field, get additional 50 kg/ha above no-irrigation 
yields (which is trivial, see fig. 2 in the following page). 1 mm is the same as 
1e-3 m/mm * 4047 m2/acre = 0.4 m3/ac. From this, and the yield you have, you can get the water
needs per kg yield. This will be a rough check on how appropriate your idea of using watermelon 
values is. </t>
  </si>
  <si>
    <t>Using the article you shared &lt;https://journals.ashs.org/hortsci/downloadpdf/journals/hortsci/36/2/article-p286.xml&gt;, I calculated that the water needs for canteloupe are 0.0027m3/100g, as compared to Mekonnen and Hoekstra's value of 0.0025m3/100g watermelon. With your approval I will use the more specified 0.0027m3/100g value for canteloupe.</t>
  </si>
  <si>
    <t>we do not know this value with better precision the the difference, 0.0002. So either choice is reasonable, which means the 27 value is fine.</t>
  </si>
  <si>
    <t>4/19: That's it thus far! For the home stretch, I still have yet to find values for: Cashews</t>
  </si>
  <si>
    <t>Nuts: Cells A154 - X207 of &lt;https://docs.google.com/spreadsheets/d/1lO1x9I6EjmGt_BwrKnWoc3WBTpN-Njdj49zAu2-26qA/edit#gid=1770045826&gt;. RED HIGHLIGHTS:I am uncertain about a few of the values because the two articles provide different values and I’m not sure which you’d recommend I use.  The notes in each red cell should describe the situation for which I’m seeking your input.
Also concerning Nuts: Can we derive pecans and cashews from the almond, walnut, and pistachio values?  In our shared database, these two nuts are only a fraction of the recipe for the food item “other nut”.  This recipe consists of: 26% cashews; 14% pistachio; 37% almonds; 23% pecans 
On the other hand, the GHGE values and Water needs are very different from the other nut trees: Heller GHGE (CO2 eq / kg): Pecan: 2.057; Cashew: 4.999; Almond: 2.272; Walnut: 1.657; Pistachio: 1.792
Mekonnen and Hoekstra global average Blue water footprint (m3/ton): Cashew: 921; Almond: 3816; Walnut: 2451; Pistachio: 7602
Please let me know what you'd recommend for determining the environmental attributes of cashews and pecans.</t>
  </si>
  <si>
    <t>Unfortunately, this article doesn't include pecans or cashews.  
RE: PECANS: This article &lt;https://illiad.hul.harvard.edu/illbasicauth/HLS/pdf/5125254.pdf&gt;, provides the water use efficiency of pecans based on flooded orchards: "The average water use efficiency based on nut yield was 14.9kg nut yield ha-1 cm-1 in 'off' years and 26.2kg nut yield ha-1 cm-1 water in 'on' years."  = average 20.55kg nut yield ha-1 cm-1 = 4866.18m3/ton which falls in line well with the below water footprints of other nuts. 
For Land Use, it includes that "the pecan nut yield (dry weight) was 2106, 3239, 1557, and 3256 kg ha-1 in 2002, 2003, 2004, and 2005, respectively." So, by average, Land use = 2539.5kg/ha = 0.03125m2/g. (This value is larger than the other nuts by a factor of 10).
It also mentions, "The farmer applied 320kg ha-1 of actual nitrogen through the irrigation system throughout each growing season." (growing season = May-Nov each year).  So, Nr Needs = 32gNr/m2*(0.03125m2/g) = 1gNr/g. (This value is larger than the other nuts by a factor of 10).
RE: CASHEWS: The attached article (Carr_Cashews) provides: Vietnam 340,000ha/1.16mill tons; India  923,000ha/613,000 tons; Nigeria  330,000ha/594,000 tons; Brazil 750,000ha/102,000 tons == the average of these equal 0.948967 ton cashew per ha
and "The total world production [of cashews] is 3.59 million tons from 4 million ha (FAOSTAT 2012)." = 1.114206 ton cashews per ha
***Would you recommend I use the average of the world's top cashew producers, or the yield of total global cashew production?
I'm still waiting on documents that might provide more information on the Nr needs of cashews, but this is taking quite some digging.  The attached article, "Grundon-2001-Fertiliserrequirementsofcashewtrees.pdf" provides a prediction of fertilizer requirements: "Economic models indicate that yields of nut-in-shell (NIS) between 2.8 t ha-1 and 5.0 t ha-1 (equivalent to 14 kg NIS tree to 25 kg NIS tree at 200 trees ha ) would be required for the highly mechanised Australian industry to be economically viable". Might this article satisfy our cashew Nr needs value?</t>
  </si>
  <si>
    <t>In the attached Grundon-2001-Fertiliserrequirementsofcashewtrees.pdf, I analyzed the Nr requirements as follows:
Screen Shot 2019-03-15 at 11.55.52 AM.png
(you can also view this in the Additional Calculations sheet: https://docs.google.com/spreadsheets/d/1lO1x9I6EjmGt_BwrKnWoc3WBTpN-Njdj49zAu2-26qA/edit#gid=1770045826) 
--Does this look reasonable to you?</t>
  </si>
  <si>
    <t>No, not at all, because it makes no sense to me that the values in column C are real.; 1-4 kg kernel/tree-yr? THis seems incredibly little. I do see those values in a table in the attached file, but I am wondering if they mean what we think they do, or whether there is some trick. See, e.g., https://www.quora.com/How-many-cashew-trees-can-grow-on-one-acre where they say 14 kg/tree-yr, more than 3-fold higher than the highest value in the table. I fear this is not right.</t>
  </si>
  <si>
    <t>Following the quora link that you shared, I found the original documents referenced (I'll call them Queensland; links embedded below).
Just to note, the original paper I had referenced - Grundon, 2001 - accounted for the raw cashew kernel harvested per tree, whereas the Queensland documents account for nut-in-shell (NIS) weight.  According to these documents, the kernel recovery is 25-32% &lt;http://era.daf.qld.gov.au/id/eprint/1652/5/4keycas.pdf&gt; from NIS weight (averaging 28.5%).  As the NHS database accounts for food eaten, rather than original harvest weight, I've compared the converted value.
Grundon's article cites cashew yearly yields of:
0, 0.62, 1.25, 1.66, 2.5, 2.91, 3.33, 4.16 kg/tree (for years 1, 2, 3, 4, 5, 6, 7, 8-40), therefore averaging 3.7 kg kernel per tree per year.  Similarly, converting the Queensland document &lt;http://era.daf.qld.gov.au/id/eprint/1652/2/1befcas.pdf&gt; from NIS to kernel, they cite yearly yields of: 
0, 0.86, 1.71, 2.57, 3.4, 4 (for years 1, 2, 3, 4, 5, 6-25), therefore averaging 3.5 kg kernel per tree per year.  **note: these two articles disagree on the lifespan of a productive cashew tree by 15 years.
While the average kernel yield per tree is similar, the Nitrogen needs are very different (especially throughout the lifespan of the tree).  Which article would you prefer for me to use?
The Grundon article provides an average Nitrogen use of 3661.5 gNr/tree = 97.9 gNr/100gCashew.
The Queensland documents &lt;http://era.daf.qld.gov.au/id/eprint/1652/4/3growcas.pdf&gt; provide an average Nitrogen use of 1044 gNr/tree = 29.5 gNr/100gCashew.</t>
  </si>
  <si>
    <t>So we have the yield, now the question is N application. Of course I don;t know the correct ones. Could it be that the differences in Nr application rate are attributable to the 15 difference in lifespan of a tree? The calc you did is good, and it shows a factor of 3 difference in application rates. Can the 15 years difference in lifespan resolve this difference? I am thinks specifically of the portion of the tree's life in which it is too young to yield. When the lifespan is long, the portion of total life occupied by this unproductive phase occupies is smaller. Can this be explored with those two papers, and can this reconcile the difference in Nr application rate? If yes, good. If not, let's average the two rates.</t>
  </si>
  <si>
    <t xml:space="preserve">Between the two articles, the yearly Nr amounts simply diverge (gNr/tree):
               Grundon        Queensland
               (Table 10)      (pg. 18, 20, 29)
Year 1.     3.3                 100
Year 2.     120                200
Year 3.     468                400
Year 4.     870                600
Year 5.     1061              800
Year 6.     1635             1200
Year 7.      2580            1200
Year 8+     4234            1200
Average:  3404.37        973.33 gNr/tree
gNr/100g:    94.67           27.54              = 61.1 gNr/100g
I took an average over a 22.5 year span (the average of the Queensland estimate; the Grundon article wasn't as definitive on the lifespan). </t>
  </si>
  <si>
    <t>I think this is the best we can do. It simply indicates that cashew production varies widely in intensity and yields, not necessarily in lockstep, resulting in wide disparities. What you did is a very reasonable way to combat, or at least handle this.</t>
  </si>
  <si>
    <t>Wonderful. Thank you, Gidon!</t>
  </si>
  <si>
    <t xml:space="preserve">12/7: Regarding fish, a couple recipes include substantial portions of pollock, catfish, tilapia, cod, flatfish, halibut, and haddock.  Would you associate the environmental attributes of tuna or salmon with these fish, or do you have other recommendations for determining these environmental attributes individually?                                                                                                                    </t>
  </si>
  <si>
    <t>12/9: NOOOOT tuna. maybe salmon, if farmed. Fish span a HUGE range, and here you are not even addressing only ocean fish.​ I am really not sure about this, we will need a better strategy. Let me look around for a bit more.</t>
  </si>
  <si>
    <t>12/18: Environmental attributes that are needed: Pollock, catfish, tilapia, cod, flatfish, halibut, and haddock (we understand that you're looking into this)</t>
  </si>
  <si>
    <t>12/18: that's a tricky one. There just isn't the info around. The best we can do, and it is really unpersuasive, is those considerer guides like http://www.fau.edu/hboi/pdf/community/GHOF_Seafood_Guide.pdf from which we can deduce the general category. They mostly refer to biodiversity, though, not to environmental impact. Dunno what to say... Maybe use http://www.sciencedirect.com/science/article/pii/S2211601X11001647 for all of those? Please check out and dig a bit deeper in https://nofima.no/en/nyhet/2012/01/environmental-accounting-for-cod-and-haddock/ ...I am not sure your copy of my file has it, so for whatever its worth, here's what I have with all columns filled by way of fish: salmon (fresh)        9.1        7.2        0.3153        1.5;                 tuna (can)        3.4        4.0        0.038        0.8. I'll have to dig deeper for sources, but it's LCAs</t>
  </si>
  <si>
    <t>4/19: That's it thus far! For the home stretch, I still have yet to find values for:</t>
  </si>
  <si>
    <t>4/21: That is tough. I am not sure, we may have to reduce this to "sea fish trawled" and similar larger categories. But MAYB E there are LCAs out there. I have never included these, so never had to deal with this.</t>
  </si>
  <si>
    <t>4/24: If I am unable to find LCAs on each of these seafood items, I will email to find out how to best estimate the final environmental attributes.</t>
  </si>
  <si>
    <t>4/27: ​Yes, let's first try, and then dream something up​</t>
  </si>
  <si>
    <t>Water values of shrimp and other seafood: Akshay's FFQ variable names joint.xlsx water needs for tuna, dark fish, and other fish are calculated to be zero, but I just came across this article (M. Pahlow, Increasing pressure on freshwater resources due to terrestrial feed
ingredients for aquaculture production, 2015) describing the water footprint of the feed for quite a few seafood species.  Did you factor in the water needs of animal feed for beef, pork, and chicken in your MAD database?  If so, would you like to follow the same procedure here in terms of seafood?</t>
  </si>
  <si>
    <t>For the key livestock, sure, that is the MAIN water use. For tuna - no water or Nr needs. Zero. Tuna are caught, not grown. Shrimps ARE mostly grown, so there will have some water and/or Nr values, but I am not sure which. Best look for shrimp LCA, I do not think Akshay did that.</t>
  </si>
  <si>
    <t>The seafood items for which we are seeking environmental variables are: oysters, clams, pollock, catfish, tilapia, cod, flatfish, halibut and haddock.  We have a few sources to choose between.  Please provide guidance on which source you'd prefer to use for the GHGEs of these seafood items:
The Heller article (attached) gives the GHGEs for the following seafood categories (in kgCO2eq/100g): Fish-freshwater-finfish        0.1571; Fish-freshwater-finfish-farm-raised        0.5717; Fish-saltwater-finfish-tuna        0.2148; Fish-saltwater-finfish-other        0.3021; Fish-shellfish-crustacean        3.0658; Fish-shellfish-mollusc        0.3143
The Parker article (attached) gives another of GHGEs for seafood (in kgCO2eq/100g): Pelagic fish &lt;30cm        .02; Pelagic fish &gt;30cm        .19; Demersal molluscs        .24; Demersal fish        .24; Cephalopods        .28; Crustaceans        .79
Tilman and Clarke's article (attached) has a Supplementary Data page (also attached) that lists many data sources' GHGEs for: aquaculture (non-recirculating), aquaculture (recirculating), fishery (non-trawling), and fishery (trawling).  *Interestingly on this Supplementary page, Section F includes Aquaculture Feed Composition (including maize, wheat, oilcrops, soybean, and pulses), stratified by national GDPs.</t>
  </si>
  <si>
    <t>I don't know much about these, but they are in reasonable agreement when overlapping, which is reassuring. I'd go with Tilman&amp;Clark whenever possible, and use Heller when a category is not in TC.</t>
  </si>
  <si>
    <t>SEAFOOD:
The Tilman and Clark dataset provided GHGE values for each of the seafood items needed, except Clams.  A similar recirculating aquaculture seafood is mussels (4.28E-03kgCO2eq/g), or I can use the average recirculating aquaculture value of 5.49E-03kgCO2eq/kcal, multiplied by the USDA kcal/calorie ratio (86kcal/100g) = 4.73E-03kgCO2eq/g.  Which method would you prefer?
Tilman and Clark's dataset only provided Nr values (listed as "eutrophication potential") for mussels, flatfish, and shrimp.  In my search, I have not found Nr needs for any of the other fish.  Nor have I found any information regarding land or water use for these seafood items.  How would you like me to handle these environmental impacts using our existing data or any additional resources you may have?
Screen Shot 2019-03-15 at 12.21.00 PM.png
(you can also view this in the Additional Calculations sheet: https://docs.google.com/spreadsheets/d/1lO1x9I6EjmGt_BwrKnWoc3WBTpN-Njdj49zAu2-26qA/edit#gid=1770045826)</t>
  </si>
  <si>
    <t>I tried, but it is incredibly hard to follow, I had to conclude I have no idea what's going on.
Maybe we really do not have enough data.?I imagine that is why T&amp;C used those broad categories. Can we do the same, namely lump the nurses' seafood categories to the broad ones given by T&amp;C, and use those, knowing it's imperfect?I am just not sure what else to do, as I am really no seafood expert.
See http://www.mshistorynow.mdah.ms.gov/articles/217/catfish-farming-in-mississippi, where they say
In 2005, the U.S. catfish industry produced 600 million pounds of catfish from 165,000 pond water acres. THis gives us land use.
Beyond that, I'd say we need to enlist the help of Chan School's Chris Golden, He specifically works on seafood, and his postdoc is my former student Alon. Chris should know. I am sorry to say I just don't know enough about this. But luckily Chris does. Maybe Meir approaches him?</t>
  </si>
  <si>
    <t>I’m working with Meir to consult Christopher Golden regarding seafood values.</t>
  </si>
  <si>
    <t>Great!</t>
  </si>
  <si>
    <t>To Christopher Golden: The seafood items for which we still need these environmental attributes are clams, pollock, catfish, tilapia, cod, flatfish, halibut, haddock, and shrimp. 
Tilman and Clark’s dataset provides the specific GHGEs of all these seafood items except halibut and haddock. From our understanding, halibut and haddock are both trawled via fisheries.  Does this seem correct? Other categories provided in Tilman &amp; Clark’s dataset are fishery (non-trawling), aquaculture (non-recirculating), and aquaculture (recirculating). The fishery (trawling) category gives an average value of 4.92gCO2eq/kcal, of which we can convert the units to grams for each fish using the USDA nutrient database.
Regarding the other environmental attributes we’re seeking, Tilman and Clark's dataset only provides the eutrophication potential for mussels (7.49E-02gNr/100g), flatfish (7.49E-04gNr/100g), and shrimp (1.88E-01gNr/100g). Would it be reasonable to substitute the Nr value of mussels for clams?  Our understanding is that they’re both bivalves that can be raised in recirculating aquaculture systems, so GHGEs would be comparable.
Additionally, we don’t know of any databases that provide the eutrophication potential for the remaining seafood items - pollock, catfish, tilapia, cod, halibut, or haddock - nor have we found such a source concerning the land use and water use values for the full gamut of our seafood items (clams, pollock, catfish, tilapia, cod, flatfish, halibut, haddock, and shrimp).  Do you have any recommendations on where we might find such data?</t>
  </si>
  <si>
    <t>From Chris Golden: do you have any information on farmed/wild-caught in your database? And, any info on sourcing? I'm guessing not but just asking. It is important to note that to actually connect US consumption to environmental impact, you need the trade data at the species level. Environmental impacts for tilapia, catfish and shrimp produced in the US will not be representative of the for tilapia, catfish and shrimp consumed in the US. We are working on ways of developing this trade data right now and should be submitting a paper in the next 4 months or so that systematically sources species trade data for seafood globally.
The Poore and Nemecek data (attached) will be the best resource for farmed fish. Since this is missing capture fish, you will have to pull from other sources (e.g. data underlying Hilborn et al. 2018), but will want to be careful because that paper doesn’t standardize the LCA data in any way.
Also keep in mind that LCAs are flawed approaches to understanding environmental impact. Gidon of course knows this but I just reiterate to say that seafood may not perfectly match your chosen metrics. Capture fisheries will not have any eutrophication, land use, and water impacts based on established LCAs. For the capture fisheries, I would use the Parker paper (attached) that documents GHG of global fisheries catch.</t>
  </si>
  <si>
    <t>Henriksson is probably the best source to use becasue it is specific to the species common to U.S. consumption (Pegasius)
* Poore values describe farmed seafood only. Pollock, cod, flatfish halibut, and haddock are all wild-caught.
* Poore has more information than is given.  They are working on a paper with Parker so they may not share the data.</t>
  </si>
  <si>
    <t>I have completed these seafood values with a great deal of guidance from Jessica Gephart, who works with Chris Golden.  I'd just like to share the final values before applying them to the database.  We had quite a few different seafood sources to choose from and, generally followed these rules: 
I used values from the papers that were most specific to each seafood species, and disregarded values regarding broader categories of seafood (however, there were certain seafood items (e.g. clams) where broad categories (e.g. mollusk) were the most specific we could find).
Best to use values from production systems that are most representative of what the U.S. is eating (for example, Henriksson and Bosma measure non-polyculture aquaculture systems which are more representative of the catfish eaten in the U.S. than polyculture systems, as represented in Mungkung's paper.  Therefore, we disregarded Mungkung's catfish values)
We assumed wild-capture seafood items to have Land Use, Nr Use, and Water Use values of zero.
We assumed non-fed aquaculture species to have Land Use, Nr Use, and Water Use values of zero.
*See seafood page</t>
  </si>
  <si>
    <t>I love these rules. They are right on!</t>
  </si>
  <si>
    <t>Celery</t>
  </si>
  <si>
    <t>To confirm the environmental impacts of celery:
Land Use: 0.029 m2/100g ("celery, raw" in MAD sheet of EnvironCalc)
Nr Needs: 0.98 gNr/100g ("celery, raw" in MAD sheet of EnvironCalc)
Blue Water: 0.0043 m3/100g ("vegetables" in Mekonnen and Hoekstra 2011)
GHGE: 0.011 kgCO2eq/100g ("celery" in foodemissionscalculator.com)
Please confirm these values or advise otherwise.</t>
  </si>
  <si>
    <t xml:space="preserve">I have no knowledge beyond those tabular values, which we worked very hard to get right at the time. So I can only assume they are representative! </t>
  </si>
  <si>
    <t>Chicken</t>
  </si>
  <si>
    <t>Additional Calculations Row 93 confirmed</t>
  </si>
  <si>
    <t>Chicken environmental attributes:  Please check the values in row 89 of the "Additional Calculations" sheet.
--I followed the same system as turkey to derive the values for chicken.  Is this justifiable?</t>
  </si>
  <si>
    <t>Definitely</t>
  </si>
  <si>
    <t>Environmental row 175</t>
  </si>
  <si>
    <t>refers to cacao nibs without shell; equals cacao beans, chocolate, cocoa butter, and cacao powder</t>
  </si>
  <si>
    <t>12/7: What is the difference between chocolate and cacao beans, to cause the change in values?</t>
  </si>
  <si>
    <t>12/9: cacao beans are raw product, chocolate the processed result. ​But unfortunately I don;t know much beyond that, sorry, I am just ignorant in the ways of chocolate making (I only eat the 90% variety...)</t>
  </si>
  <si>
    <t>12/12: We assume the environmental values for chocolate (row 175) refers to cacao nibs without the shell, and cocoa beans (cell K172) refer to the entire cacao seed including the shell.  We will use chocolate values for the ingredients: chocolate, cocoa butter, and cacao powder.</t>
  </si>
  <si>
    <t>12/18: good for now</t>
  </si>
  <si>
    <t>Akshay's values for cocoa leave Nr with a value of 0, which aligns with the article he references &lt;http://www.worldcocoafoundation.org/wp-content/uploads/files_mf/ntiamoah2008.pdf&gt;. However, the attached Neira article documents the use of NPK 10-30-10, and the attached Orlando article references the use of various amounts of Nitrogen throughout the lifetime of the orchard. Would you prefer for me to use an average of the three articles, or do you prefer one article over the others?</t>
  </si>
  <si>
    <t>That is much better, yes. The zero value was a place holder, definitely not the final answer. Your mean is far better. Indeed.</t>
  </si>
  <si>
    <t>Great.  To obtain the average Nitrogen use from Table 1 of the Orlando study (attached), I am seeking your guidance for a few values. (You can follow along on the Additional Calculations page of the database, rows 575-608) How would you recommend that I quantify the Nitrogen used by farms that apply organic fertilizer?  Do you have a general N-P-K ratio for organic amendments?  Some farms use a combination of Urea, DAP, TSP, and/or KCl. The ratio of these combinations are not provided.  Due to this lack of information, I calculated my values with the assumption that equal parts were used (for example, if a combination of Urea and DAP is reported, I assume its 50% Urea and 50% DAP).  Do you support this assumption?  I did a little research on the Nitrogen percentage in the chemical amendments above and found: Urea = 46% N &lt;https://www.cropsreview.com/urea-fertilizer.html&gt;; DAP = 18% N &lt;http://www.mosaicco.com/products/crop_nutrition_phosphates_daimmonium_phosphate.htm&gt;; TSP and KCl have 0% N Do you support this information?</t>
  </si>
  <si>
    <t>urea is CH4N2O = 12+4+28+16 = 60 so N:urea = 28/60 = 47% N; Since the P in TSP is phosphate, there is indeed no N in it, yes.
DAP has 2 Ns per 132 so 28/132 = 21% from their table, it seems like you can reasonably defend a 1:1:1 N:P:K ratio (which is MOST unusual!!). This, plus the above, give you what you need.</t>
  </si>
  <si>
    <t>To derive Nr values of cacao from the Orlando article (attached), how would you recommend that I quantify the Nitrogen used by farms that apply organic fertilizer? 
They provide the quantity of organic fertilizer used, but no further information regarding the concentration of N. From my experience and this article &lt;https://extension.oregonstate.edu/sites/default/files/documents/1/lc437organicfertilizersvaluesrev.pdf&gt;, there is huge variability in nutrient concentrations. Do you have a generalized N-P-K ratio for organic amendments?  If not, how would you recommend that I quantify the N used?</t>
  </si>
  <si>
    <t xml:space="preserve">You are exactly right, it varies tremendously even within a single animal source, so no way to know in general. However. Assuming the synthetic fertilizer application rate reflects the mean needs, one can reasonably assume that the organic guys apply as much manure as is needed to deliver the same N amounts as the chemical counterparts. </t>
  </si>
  <si>
    <t>I'd just like to get your confirmation on the final Nr value for cacao, 2.71gNr/100g cacao.  You'll see in cells A575-I608 that I found the weighted averages of Nitrogen use for the articles: 
Neira (2015) Energy sustainability of Ecuadorian cacao export and its contribution to climate change = 2.79gNr/100g cacao
Orlando (2014) Applying life cycle management of colombian cocoa production = 5.34gNr/100g cacao
Then I found the Nr average between these articles and the article that Akshay used &lt;http://www.worldcocoafoundation.org/wp-content/uploads/files_mf/ntiamoah2008.pdf&gt;, which did not attribute any eutrophication potential to cacao.</t>
  </si>
  <si>
    <t>I think you should ignore Akshay's source, because the no eutrophication is just another name for "no data". So use the mean of the 2.79 and 5.34.</t>
  </si>
  <si>
    <t xml:space="preserve">a. Yes, the Ntiamoah article does seem to be an outlier on all fronts, but the paper also describes that Ghana is the second largest producer of cacao, so perhaps they are especially efficient?  Please compare this article: https://www.worldcocoafoundation.org/wp-content/uploads/files_mf/ntiamoah2008.pdf with the other two (attached) and let me know if you'd prefer to include the article or toss it.
b. If you see the Ntiamoah article as a viable source, please provide guidance regarding the Nr values:  The paper includes Eutrophication Potential (kgPO4-eq), N-P-K inputs, Nitrate water emissions, and Phosphate water emissions - which would you prefer that I use?
c. Regarding conversion calculations, we are looking at the following chocolate products:
chocolate, milk chocolate, milk chocolate bars, chocolate candies (BASIC RECIPE: sugar, cocoa butter, milk powder, chocolate liquor)
dark chocolate bar (BASIC RECIPE: sugar, cocoa butter, chocolate liquor)
cocoa butter
cocoa powder
unsweetened baking chocolate (BASIC RECIPE: cocoa butter, chocolate liquor)
How detailed would you like us to get as we assign our environmental attributes to these various chocolate items?  I'm noticing that Mekonnen and Hoekstra's blue water values (in my previous email) can be pretty specifically distributed between these chocolate products: "chocolate" equates most accurately with the chocolate/milk chocolate/choco candies recipe above; "cocoa paste" is likely best assigned to unsweetened baking chocolate; "cocoa butter/fat/oil" equates with our cocoa butter food item; and "cocoa powder" should apply to our cocoa powder food item.  However, our FFQ item "dark chocolate bar" isn't quite so black and white - perhaps "cocoa paste" would be best assigned here too, since dark chocolate doesn't have dairy?
And further, if we differentiate these values for water use, should we use the same conversion calculations for the other environmental attributes?  Or would you prefer that we just keep them uniform across the board, including "milk chocolates", which include milk powder?
d. Regarding the Neira conversion calculations that I shared in my previous email, I'm not quite clear on your guidance.  Of the primary chocolate products and the chocolate by-products listed, only cocoa butter and cacao powder are specifically listed in our database.  Since cocoa powder is only a byproduct of chocolate, would you agree that its environmental attributes should equal pure chocolate (i.e. cacao paste, which is essentially chocolate liquor and cocoa butter) values, to keep consistent with the rest of the database (e.g. wheat gluten = wheat)?  Yet, since cocoa butter is a primary product (40%), perhaps we should use its conversion ratio (2.5x) if we are aiming to be specific? </t>
  </si>
  <si>
    <t xml:space="preserve">a. given that it is such a huge producer, and given that I don't see anything obviously wrong with it, I think we have to use it, and it WILL indeed lower the costs. So be it, I say.
b. Using https://ec.europa.eu/environment/waste/pdf/study/annex5.pdf (Tab. 2) we see that 1 kg NH3 = 0.35 kg eq PO4, so 1/0.35 kg NH3 = 1 kg eq PO4, so
2.86 kg ammonia yields 1 kg of PO4-eq. Since ammonia is 17 g/mol, of which N is 15 or 88.2% by mass 
0.882 kg ammonia-N = 1 kg PO4-eq
Because we express the costs of all other items in N, use the above conversion to get from their PO4-eq value to translate to N (or, more accurately, ammonia-equivalent).
c. I would vote to not spend so much effort into splitting these hairs. Maybe Meir see it differently, but the main determinant is not what I think, or Meir thinks, but how much of this the FFQ report. If these products are a nontrivial portion of calories, say, than we have to do the careful attribution of each of these. If they account for a really small fraction of calories - let's forget about this, lump them into a single category, characterize it nutritionally as one of the above products you mention, and call it a day.
d. Wheat gluten is so minor, minuscule, unimportant, while wheat is 40% of all calories consumed in the US. Staggeringly different. In the above case, neither is even remotely as dominant. Maybe if we have the values of the whole raw product, and we know the ratio of chocolate:powder outputs, just partition it according to output mass ratio? For example, if the primary choclate use of some resource is 4 in some units, and the partitioning is 3:1, then the costs will be 3:1. I do not have a clear, emphatic answer here, it is going to be subjective and the key issue is choosing something defensible, like the above, and explaining it clearly in the Methods. </t>
  </si>
  <si>
    <t>I just wanted to loop back around to the Nr conversion you shared with me:
Screen Shot 2019-11-16 at 9.30.45 AM.png
My understanding is that the final Nr value should be 1 kg PO4 = (2.86kgNH3)*0.882 = 2.52kg ammonia-N
Is this correct?</t>
  </si>
  <si>
    <t>Yes, that is correct</t>
  </si>
  <si>
    <t>Throughout the database, we have used slightly differing methods to convert PO4 values to Nr values.  I understand that different crops use varying compositions of Nitrogen, and thus we need varied methods to calculate Nr based on the specific food.  I just want to share the Nr calculations that differ between food items, so you can either confirm the varying methods or advise otherwise:
For palm, coconut, cottonseed and olive oil, you had advised: "We will use the fact that N:P ratios in most crops are around 6-8, make that 7. So if we have a cost of y kgP/ton, we will convert it to 7y kgN/ton."
For liquor (80 proof): [Re: Eriksson_Swedish whiskey article: Eutrophication potential = 6.4gPO43-eq/70cl] You had advised: "Based on http://ec.europa.eu/environment/waste/pdf/study/annex5.pdf (table 2), I'd say 6.4 gPO43-eq/70cl = 6.4/0.34 gNr/70cl = 18.8 gNr/70cl . Then, assume density of 1 g/ml to convert 70 cl to mass, and you have it."     *I used this same conversion calculation for wine.
For cacao, you had advised: "Using https://ec.europa.eu/environment/waste/pdf/study/annex5.pdf (Tab. 2) we see that 1 kg NH3 = 0.35 kg eq PO4, so 1/0.35 kg NH3 = 1 kg eq PO4, so 2.86 kg ammonia yields 1 kg of PO4-eq. Since ammonia is 17 g/mol, of which N is 15 or 88.2% by mass 0.882 kg ammonia-N = 1 kg PO4-eq Because we express the costs of all other items in N, use the above conversion to get from their PO4-eq value to translate to N (or, more accurately, ammonia-equivalent)."  This is pretty much the same as the method used for liquor. 
Please either confirm the accuracy of each PO4 to Nr conversion calculation, or advise otherwise.
Based on your perspective here, how would you suggest that I convert PO4 values to Nr values for seafood?  For the time being, I have used the same calculation as that for liquor and wine.</t>
  </si>
  <si>
    <t>Let me respond now to the N:P issue. First, I think we need a uniform approach, I do not think switching methods midtream is defensible. I am glad you caught this, as I didn't remember those earlier ones. i think we should use the last two methods, which are essentially the same. But you caught a bug, which is that 
0.882 kg ammonia-N = 1 kg PO4-eq IS NOT RIGHT, it should be
2.86*0.882 kg ammonia-N = 1 kg PO4-eq or 2.52 kg ammonia-N = 1 kg PO4-eq
Remember? With this correction, I think we have it.</t>
  </si>
  <si>
    <t>Cinnamon</t>
  </si>
  <si>
    <t>Land Use - determined from this article &lt;http://assets.wwf.org.uk/downloads/how_low_report_1.pdf&gt;
  - Land Use Cinnamon = 1.31m2/100g
Nr Needs - determined from this article &lt;http://www.exportagridept.gov.lk/web/index.php?option=com_content&amp;view=article&amp;id=128%3Acinnamon&amp;catid=113%3Acrops&amp;Itemid=1&amp;lang=en&gt;
  -Nr Needs Cinnamon = 27.117gNr/100g
Water Needs - Mekonnen and Hoekstra
  -Blue Water Needs Cinnamon = 0.0041m3/100g
GHGE - determined from &lt;http://assets.wwf.org.uk/downloads/how_low_report_1.pdf&gt;
  - GHGE = 0.187kgCO2eq/100g</t>
  </si>
  <si>
    <t xml:space="preserve">as best I know this is perfect </t>
  </si>
  <si>
    <t>shrimp11d FFQ item</t>
  </si>
  <si>
    <t>12/7: Regarding the shrimp11d FFQ item, the final FFQ recipe includes oysters, clams, and shrimp.  Are the environmental attributes for oysters and clams the same as shrimp?</t>
  </si>
  <si>
    <t xml:space="preserve">12/9: I doubt that. But I don't have offhand the values for ther other two. Oysters can be farmed, though aren't as widely as shrimp. Clams are mostly raked in shallow basins like great south bay off Long Island. So these are totally distinct processes, occurring mostly in non-overlapping parts of the world, and are thus distinct by default unless shown to be very similar. Best to look for some LCAs for those. If none is found, then what you did would become the defensible method purely on lack of information grounds, not because we really think they are similar and interchangeable. </t>
  </si>
  <si>
    <t>12/12: For oysters and clams, we will utilize the environmental attributes for shrimp (cell N113) because that is the most similar food item.</t>
  </si>
  <si>
    <t xml:space="preserve">12/18: See https://digital.lib.washington.edu/researchworks/handle/1773/40230 and call/email with questions                                                                                        </t>
  </si>
  <si>
    <t>4/19: That's it thus far!  For the home stretch, I still have yet to find values for:</t>
  </si>
  <si>
    <t xml:space="preserve">4/21: That is tough. I am not sure, we may have to reduce this to "sea fish trawled" and similar larger categories. But MAYB E there are LCAs out there. I have never included these, so never had to deal with this.        </t>
  </si>
  <si>
    <t>SEAFOOD:
The Tilman and Clark dataset provided GHGE values for each of the seafood items needed, except Clams.  A similar recirculating aquaculture seafood is mussels (4.28E-03kgCO2eq/g), or I can use the average recirculating aquaculture value of 5.49E-03kgCO2eq/kcal, multiplied by the USDA kcal/calorie ratio (86kcal/100g) = 4.73E-03kgCO2eq/g.  Which method would you prefer?</t>
  </si>
  <si>
    <t>Very reassuring they are so similar. I'd use the first, report both, and point out the incredible similarity.</t>
  </si>
  <si>
    <t>Water: Can argue non-fed aquaculture to be zero</t>
  </si>
  <si>
    <t>Akshay's document K190 &lt;https://docs.google.com/spreadsheets/d/1BbCL2gri47aPSb-v94zeByl8WBLT57MgapxjyGb_fLA/edit#gid=145887711&gt; references that the environmental attributes of cola = 44/HFCS. However the USDA database suggests that HFCS makes up about 10.8% of coca-cola. For the env. att. of Coca-Cola, would you recommend that I follow Akshay's equation of 44/HFCS or use .108*HFCS?</t>
  </si>
  <si>
    <t>the 0.108 is more specific and is the one to use</t>
  </si>
  <si>
    <t>Environmental row 37</t>
  </si>
  <si>
    <t>calculated using research</t>
  </si>
  <si>
    <t>12/7: Regarding soybean oil, palm oil, and cottonseed oil in FFQ recipes: All partially hydrogenated, fully hydrogenated, and normal processes of each of these items are combined.</t>
  </si>
  <si>
    <t xml:space="preserve">12.9: From an environmental standpoint ​this is not too bad. But what about nutrition?? Ordinary soybean oil vs. its partially hydrogenated counterpart are night and day. Do we really want to combine?                                                             </t>
  </si>
  <si>
    <t>12/12a: Regarding the first email: We will utilize the same environmental attributes for al derivatives of soybean oil, palm oil, and cottonseed oil (e.g. partially hydrogenated soybean oil = non-hydrogenated soybean oil), but we will not combine the nutritional quality of these oils --- 12/12b: We will use the environmental attributes of soy oil (cell N41) for all other oils as interpreted from your dataset (rows 285-288) - would you recommend the same for coconut oil (row 37) and cottonseed oil (row 449)?​</t>
  </si>
  <si>
    <t>12/18b: Not ideal as those are fundamentally different, so OK as a first but, but not ultimately defensible. Try http://www.sciencedirect.com/science/article/pii/S0016236117301849, and again, ask/call as needed Cottonseed oil is a byproduct, and awhile can of worms, methodologically and environmentally. Maybe http://www.publish.csiro.au/an/AN15453 holds the answers, give it a try...</t>
  </si>
  <si>
    <t>3/13: Concerning my research on the oils for which we don't already have values: For palm oil, palm kernel oil, coconut oil, and olive oil, the Dumlin presentation on OneDrive seemed to be most comprehensive regarding the environmental information we’re seeking for the database.  However, estimations were necessary because I was taking the data from a graph.  The water values were found in the Mekonnen and Hoekstra paper &lt;http://waterfootprint.org/media/downloads/Mekonnen-Hoekstra-2011-WaterFootprintCrops.pdf&gt;.
LAND USE: ex. Palm oil: ≈2500ha/(tonx10^4) ≈0.002755777487503 m^2/1g Does this look reasonable to you?
REACTIVE NITROGEN: Until this point, I have understood reactive Nitrogen to be generally associated with eutrophication (please correct me if this is misguided).  While Dumlin’s measures for eutrophication are calculated based on the fertilizer required to produce the oils, it is measured as PO4 equivalents.  Additionally, Dumlin’s presentation articulates that acidification potential was calculated based on NOx, SOx, and NH3 emissions.  Which do you recommend I use - eutrophication potential or acidification potential (if either)?  How do I convert the chemical compound unit to reactive Nitrogen? Palm oil EUTROPHICATION potential: ≈13 kgPO4equiv/ton; Palm Kernel oil EUTROPHICATION potential: ≈19.5 kgPO4equiv/ton; Palm oil ACIDIFICATION potential: ≈17.5 kgSO2equiv/ton; Palm Kernel oil ACIDIFICATION potential: ≈26 kgSO2equiv/ton
WATER NEEDS: ex. Palm oil: 4971m^3/ton = 0.005479587956 m^3/1g; Palm kernel oil: 5401m^3/ton = 0.005953581684 m^3/1g; Do these figures look reasonable to you?</t>
  </si>
  <si>
    <r>
      <rPr>
        <sz val="10"/>
        <color rgb="FF000000"/>
        <rFont val="Arial"/>
      </rPr>
      <t>3/15: (</t>
    </r>
    <r>
      <rPr>
        <i/>
        <sz val="10"/>
        <color rgb="FF000000"/>
        <rFont val="Arial"/>
      </rPr>
      <t>regarding LAND USE: ex. Palm oil: ≈2500ha/(tonx10^4) ≈0.002755777487503 m^2/1g Does this look reasonable to you?</t>
    </r>
    <r>
      <rPr>
        <sz val="10"/>
        <color rgb="FF000000"/>
        <rFont val="Arial"/>
      </rPr>
      <t>) --- ​I am not sure what this is and where it came from. But note that there are 1e6 g in a ton, not 1e4.​; 
(</t>
    </r>
    <r>
      <rPr>
        <i/>
        <sz val="10"/>
        <color rgb="FF000000"/>
        <rFont val="Arial"/>
      </rPr>
      <t>regarding REACTIVE NITROGEN: Until this point, I have understood reactive Nitrogen to be generally associated with eutrophication (please correct me if this is misguided).  While Dumlin’s measures for eutrophication are calculated based on the fertilizer required to produce the oils, it is measured as PO4 equivalents.  Additionally, Dumlin’s presentation articulates that acidification potential was calculated based on NOx, SOx, and NH3 emissions.  Which do you recommend I use - eutrophication potential or acidification potential (if either)?  How do I convert the chemical compound unit to reactive Nitrogen?</t>
    </r>
    <r>
      <rPr>
        <sz val="10"/>
        <color rgb="FF000000"/>
        <rFont val="Arial"/>
      </rPr>
      <t>) --- ​The Nox and friends values are not relevant to us. they are relevant to air pollution and very short term radiative forcing.​ So ignore those. But your question Re PO4-equiv is a geophysically important one, reflecting the general assumption that in the tropics, it is P availability that limits productivity, while in temperate latitudes it it N. It is a reasonable but far from universal assumption (For example, Lake Erie is dying every decade o so because of P based eutrophication even though it is definitely a mid-latitiude lake.). So we need to convert their P based values to our N-based value. To do so, we will use the fact that N:P ratios in most crops are around 6-8, make that 7. So if we have a cost of y kgP/ton, we will convert it to 7y kgN/ton.
(</t>
    </r>
    <r>
      <rPr>
        <i/>
        <sz val="10"/>
        <color rgb="FF000000"/>
        <rFont val="Arial"/>
      </rPr>
      <t>regarding Palm oil EUTROPHICATION potential: ≈13 kgPO4equiv/ton; Palm Kernel oil EUTROPHICATION potential: ≈19.5 kgPO4equiv/ton; Palm oil ACIDIFICATION potential: ≈17.5 kgSO2equiv/ton; Palm Kernel oil ACIDIFICATION potential: ≈26 kgSO2equiv/ton</t>
    </r>
    <r>
      <rPr>
        <sz val="10"/>
        <color rgb="FF000000"/>
        <rFont val="Arial"/>
      </rPr>
      <t>) --- Forget acidification: this is about contribution to acid rain production. Certainly important, but not for us, not here.​
(</t>
    </r>
    <r>
      <rPr>
        <i/>
        <sz val="10"/>
        <color rgb="FF000000"/>
        <rFont val="Arial"/>
      </rPr>
      <t>regarding WATER NEEDS: ex. Palm oil: 4971m^3/ton = 0.005479587956 m^3/1g; Palm kernel oil: 5401m^3/ton = 0.005953581684 m^3/1g; Do these figures look reasonable to you?</t>
    </r>
    <r>
      <rPr>
        <sz val="10"/>
        <color rgb="FF000000"/>
        <rFont val="Arial"/>
      </rPr>
      <t>) --- ​I have no intuition here, so simply following the above "rules" judiciously will give us what we want!</t>
    </r>
  </si>
  <si>
    <r>
      <rPr>
        <sz val="10"/>
        <color rgb="FF000000"/>
        <rFont val="Arial"/>
      </rPr>
      <t xml:space="preserve">4/19: Per your advice, I used the Dumlin presentation to find the land use, reactive nitrogen, and GHGEs of palm oil, palm kernel oil, coconut oil, and olive oil. (Table included in email) I used Mekonnen &amp; Hoekstra's paper for the water needs. Please check my calculations to confirm that I am converting units correctly.                                                                                                                                                                                                                                   </t>
    </r>
    <r>
      <rPr>
        <b/>
        <sz val="10"/>
        <color rgb="FF000000"/>
        <rFont val="Arial"/>
      </rPr>
      <t>Land Needs</t>
    </r>
    <r>
      <rPr>
        <sz val="10"/>
        <color rgb="FF000000"/>
        <rFont val="Arial"/>
      </rPr>
      <t xml:space="preserve">:                                                                                                                                                                                                                                                            Crop                  Dumlin's values        Final values for database                                                                                                                                                                                                                                                            Palm oil.            ≈0.25 ha/ton             0.25 m2-yr/100g                                                                                                                                                                                                                                                            Palm kernel oil. ≈1.70 ha/ton             1.7 m2-yr/100g                                                                                                                                                                                                                                                            Coconut oil        ≈1.42 ha/ton             1.42  m2-yr/100g                                                                                                                                                                                                                                                            Olive oil             ≈1.11 ha/ton             1.11  m2-yr/100g                                                                                                                                                                                                                                                            </t>
    </r>
    <r>
      <rPr>
        <b/>
        <sz val="10"/>
        <color rgb="FF000000"/>
        <rFont val="Arial"/>
      </rPr>
      <t>Nr Needs</t>
    </r>
    <r>
      <rPr>
        <sz val="10"/>
        <color rgb="FF000000"/>
        <rFont val="Arial"/>
      </rPr>
      <t xml:space="preserve"> (I did not include the transportation calculations in Dumlin's presentation to keep consistent with the rest of the database)                                                                                                                                                                                                                                                            Crop                   Dumlin's values                    Final values for database                                                                                                                                                                                                                                                            Palm oil                   ≈12.5 kgPO4equiv/ton     8.75  gNr/100g                                                                                                                                                                                                                                                            Palm kernel oil   ≈19.0 kgPO4equiv/ton     13.3  gNr/100g                                                                                                                                                                                                                                                            Coconut oil           ≈9.00 kgPO4equiv/ton     6.30  gNr/100g                                                                                                                                                                                                                                                             Olive oil                   ≈34.5 kgPO4equiv/ton           24.15 gNr/100g                                                                                                                                                                                                                                                             </t>
    </r>
    <r>
      <rPr>
        <b/>
        <sz val="10"/>
        <color rgb="FF000000"/>
        <rFont val="Arial"/>
      </rPr>
      <t>GHGEs</t>
    </r>
    <r>
      <rPr>
        <sz val="10"/>
        <color rgb="FF000000"/>
        <rFont val="Arial"/>
      </rPr>
      <t xml:space="preserve"> (again, I did not include the transportation calculations in Dumlin's presentation to keep consistent with the rest of the database):                                                                                                                                                                                                                                                              Crop                    Dumlin's values                  Final values for database                                                                                                                                                                                                                                                            Palm oil               ≈475 kgCO2equiv/ton    0.0475 kgCO2eq/100g                                                                                                                                                                                                                                                            Palm kernel oil    ≈780 kgCO2equiv/ton    0.078 kgCO2eq/100g                                                                                                                                                                                                                                                            Coconut oil            ≈900 kgCO2equiv/ton    0.09  kgCO2eq/100g                                                                                                                                                                                                                                                            Olive oil                    ≈1400 kgCO2equiv/ton  0.14  kgCO2eq/100g                                                                                                                                                                                                                                </t>
    </r>
    <r>
      <rPr>
        <b/>
        <sz val="10"/>
        <color rgb="FF000000"/>
        <rFont val="Arial"/>
      </rPr>
      <t xml:space="preserve">           </t>
    </r>
    <r>
      <rPr>
        <sz val="10"/>
        <color rgb="FF000000"/>
        <rFont val="Arial"/>
      </rPr>
      <t xml:space="preserve">                 Water needs (Total of green, blue and grey water footprint calculations in Mekkonen and Hoekstra's paper):                                                                                                                                                                                                                                                            Crop                     M&amp;H total water                Final values for database                                                                                                                                                                                                                                                            Palm oil                     4971m^3/ton              0.4971  m^3/100g                                                                                                                                                                                                                                                            Palm kernel oil     5401 m^3/ton             0.5401 m^3/100g                                                                                                                                                                                                                                                            Coconut oil             4490 m^3/ton             0.449   m^3/100g                                                                                                                                                                                                                                                            Olive oil                     14431 m^3/ton           1.4431  m^3/100g                                                                                                                                                                                                                                                            Cottonseed oil             3957 m^3/ton             0.3957 m^3/100g</t>
    </r>
  </si>
  <si>
    <t>4/21: LAND USE: a ha is 1e4 m^2, and by a ton here I ASSUME they mean a metric ton or 1e3 kg or  1e4 [100 g]. So yes, the value should remain the same in the two units;                                                                                                                                                                                                                                    REACTIVE NITROGEN: this is perfect, exactly as we said, and you got the unit conversion right; GHGES: perfect. A+. You have no idea how many of my stud4ents are convincer a light year is 4 cm...                                                                                                                                                                                                                                  WATER: I am sorry, but I may have been too opaque here. The ONLY 2 things that make sense are to either consider only blue water, or to consider all three, but each individually (ie end up with three bottom line water use values or each item, so that one can decide what one wishes to use for any particular research question). The sum is not meaningful.</t>
  </si>
  <si>
    <t>4/24: LAND USE: Great!;                                                                                                                                                                                                                                    REACTIVE NITROGEN: Wahoo!;                                                                                     GHGE: I tend to tread lightly and enjoy the learning process.                                                                                                                                                                                                                                WATER: The "Water Needs" of every food item in Akshay's database are the sum of the 3 water footprints.  Please guide which system you'd like to follow – only blue water OR all 3 water footprints individually (which would add 2 additional columns).  This will add quite a bit of time to finalize the database, but I am happy to add accuracy to this great project.</t>
  </si>
  <si>
    <r>
      <rPr>
        <sz val="10"/>
        <rFont val="Arial"/>
      </rPr>
      <t xml:space="preserve">Checking through the environmental attributes of coconut oil brought up an discrepancy that might follow us around the database.  Scanning through Dumelin's slides, I noticed that he has values for the "Fertilizer input (kg/t oil)" for each oil (pg. 13) as well as the Eutrophication potential (pg. 18).  These are two very different quantities of Nr:
</t>
    </r>
    <r>
      <rPr>
        <b/>
        <sz val="10"/>
        <rFont val="Arial"/>
      </rPr>
      <t xml:space="preserve">Researched 
Eutrophication 
Potential               Nr needs
</t>
    </r>
    <r>
      <rPr>
        <b/>
        <u/>
        <sz val="10"/>
        <rFont val="Arial"/>
      </rPr>
      <t>(kgPO4eq/ton</t>
    </r>
    <r>
      <rPr>
        <b/>
        <sz val="10"/>
        <rFont val="Arial"/>
      </rPr>
      <t xml:space="preserve">)     </t>
    </r>
    <r>
      <rPr>
        <b/>
        <u/>
        <sz val="10"/>
        <rFont val="Arial"/>
      </rPr>
      <t>(gNr/1g)</t>
    </r>
    <r>
      <rPr>
        <b/>
        <sz val="10"/>
        <rFont val="Arial"/>
      </rPr>
      <t xml:space="preserve">
</t>
    </r>
    <r>
      <rPr>
        <sz val="10"/>
        <rFont val="Arial"/>
      </rPr>
      <t xml:space="preserve">         9                    0.02268
vs.
</t>
    </r>
    <r>
      <rPr>
        <b/>
        <sz val="10"/>
        <rFont val="Arial"/>
      </rPr>
      <t xml:space="preserve">Researched 
fertilizer input       Nr needs
</t>
    </r>
    <r>
      <rPr>
        <b/>
        <u/>
        <sz val="10"/>
        <rFont val="Arial"/>
      </rPr>
      <t>(kgN/ton)</t>
    </r>
    <r>
      <rPr>
        <b/>
        <sz val="10"/>
        <rFont val="Arial"/>
      </rPr>
      <t xml:space="preserve">              </t>
    </r>
    <r>
      <rPr>
        <b/>
        <u/>
        <sz val="10"/>
        <rFont val="Arial"/>
      </rPr>
      <t>(gNr/1g)</t>
    </r>
    <r>
      <rPr>
        <u/>
        <sz val="10"/>
        <rFont val="Arial"/>
      </rPr>
      <t xml:space="preserve">
</t>
    </r>
    <r>
      <rPr>
        <sz val="10"/>
        <rFont val="Arial"/>
      </rPr>
      <t xml:space="preserve">        62                    0.062</t>
    </r>
  </si>
  <si>
    <t>Yes, they are different, and for uniformity we should go with fertiliser input, not eutro potential (a hokey concept)</t>
  </si>
  <si>
    <t>Coffee</t>
  </si>
  <si>
    <t>Re: Tea: Coffee also wasn't converted for our database based on the ratio of bean to cup.  This was my shortcoming many moons ago after adjusting some of Akshay's environmental attributes that did not have references.  Here are all the calculations I used and the references used (I also considered here how much of the mass of the green bean is lost when the coffee is roasted):
LAND USE                                
Country        Yield per country(m2/g)        % imported/country        Total Yield (m2/g)
Brazil            0.005555555556                  0.3                                   0.001666666667
Colombia      0.008130081301                  0.21                                 0.001707317073
Vietnam        0.004385964912                  0.13                                 0.0005701754386
Average        0.006023867256                  0.36                                 0.002168592212
                                                                                                          0.006112751391 
NR        kgN/ha/yr       gN/m^2        gNr/g(coffee)
Brazil    114                11.4              0.06968536585
Haifa     250                25                0.1528187848
Average                                          0.1112520753
Coffee Mass lost in Roasting
% weight loss to roasted coffee        Average mass conversion 
0.1259                                               0.8275444444
0.1492            
0.1542        
0.1609        
0.1743
0.1825
0.1922   
0.2002
0.2127
COFFEE   bean-cup ratio     Land(/g)                 Nr(/g)                   Blue(/g)                     GHGE(/g)                                        
Coffee Bean                          0.006112751391   0.1112520753      0.000139                   0.001368318518                                     
Drip Coffee  0.06428571429 0.0003929625894 0.007151919127 0.000008935714286 0.00008796333332                                        
Espresso     0.4                     0.002445100556   0.04450083012   0.0000556                 0.0005473274073                               
Resources
Land Use:  Acosta, Luis Jaime. (2019, November 27). "Colombia's coffee growers must focus on quality to lock in profits -federation." Reuters.https://www.reuters.com/article/colombia-coffee/colombias-coffee-growers-must-focus-on-quality-to-lock-in-profits-federation-idUKL1N28701C
Nr:        Lopes, A. S. (2004). Fertilizer use by crop in Brazil. FAO, Rome.&lt;http://www.fao.org/3/y5376e/y5376e0a.htm#bm10.1&gt;; Haifa Group (2020). "Fertilization of coffee: the benefits of foliar spraying with Multi-K." Available at https://www.haifa-group.com/fertilization-coffee-benefits-foliar-spraying-multi-k.
Water:        Mekonnen, M. M., &amp; Hoekstra, A. Y. (2011). "Coffee, roasted." The green, blue and grey water footprint of crops and derived crop products.
GHGE:        CleanMetrics. (2020). "Coffee Beans, green." Food Carbon Emissions Calculator. http://www.foodemissions.com/Calculator.
Mass loss in roasting:        Odžaković, B., Džinić, N., Jokanović, M., &amp; Grujić, S. (2019). The influence of roasting temperature on the physical properties of Arabica and Robusta coffee. Acta Periodica Technologica, (50), 172-178.
Drip Coffee ratio:        Counter Culture Coffee (2020). "Brewing Guides". Available at https://counterculturecoffee.com/learn/brewing-guides.
Espresso ratio:        La Marzocco (2014). "Brew Ratios Around the World". La Marzocco USA. Available at https://home.lamarzoccousa.com/brew-ratios-around-world/.
Please let me know if you confirm these values, or provide guidance otherwise.</t>
  </si>
  <si>
    <t>Fantastic!</t>
  </si>
  <si>
    <t>1/31: We use the calculations for oats (row 79) for rolled oats, quick oats, steal-cut oats.  In row 89, oat bran is calculated as 5% of oats. How do you recommend we calculate oat germ, oat fiber, and cooked oats?</t>
  </si>
  <si>
    <t>2/4:  really don't know. Are there a products that by themselves are called "oat fiber" or "oat germ"​? I have never seen either, and I am an avid oat eater... I'd say absent better data/information, the oat bran value should fill these other rarified items.</t>
  </si>
  <si>
    <t>3/13: To calculate cooked oats (row 544) from your value of oats (row 79), would you recommend scaling by the caloric ratio of cooked oats to oats?</t>
  </si>
  <si>
    <t xml:space="preserve">3/15: Yes, that is how we have always done it, it is a reliable proxy of the additional nutrient-free water  </t>
  </si>
  <si>
    <t>Environmental cell K171</t>
  </si>
  <si>
    <t>refers to corn kernels, corn flour, corn starch, cornmeal</t>
  </si>
  <si>
    <t>12/12: We assume that corn kernels, corn flour, corn starch, and cornmeal have the same environmental attributes as corn (cell K171)</t>
  </si>
  <si>
    <t>12/18: No response = "If no comment, then I am cool w your choice(s)."</t>
  </si>
  <si>
    <t>n the "MAD" sheet of your EnvironCalc document, you have the Land Needs and Nr Needs data for 4 different corn products: dry/grain, sweet/raw, cornstarch, and grits/cereal.  The dry corn products (flour, cornstarch, and cereals) are substantially lower in environmental effects than fresh corn. I understand that corn for grain uses different inputs and conditions compared to fresh corn, and it is dried, but I'd just like to confirm these values with you since they don't follow the same pattern as other food items in our database (i.e. dried apples, as compared to apples), nor do they follow the same conversion ratio as Mekonnen and Hoekstra's (M&amp;H) water footprint calculations:
Land Needs, loss-adjusted, m2-yr/100g        Nr needs, loss-adjusted, gNr/100g        Blue Water needs m^3/100g        GHGE kg CO2eq/100g        USDA data (cal/100g)
dry, grain        0.2611883782        14.03229188        0.0083        0.05952474        375
sweet, raw        1.917333594        31.36909423        0.0081        0.00824336
86
cornstarch        0.2505536722        3.845984141        0.0111        ?        381
corn grits, cereal        0.2969883296        15.95563691        0.0072          ?        371
                            *from MAD            *from MAD           *from M&amp;H         *from food emissions calculator
A) Regarding the Blue Water needs for sweet, raw corn, Mekonnen and Hoekstra provided the value 81m3/ton-1 for "Maize (corn)" without describing whether they measured raw or dried corn.  As this value is so similar to their value for "Maize (corn) flour" (83m3/ton-1), I assume their 81m3/ton-1 value describes dried corn.  Do you agree?
B) I calculated the GHGEs of sweet, raw corn from the food emissions calculator's value for "corn, sweet corn, dry" by using the caloric ratio of "raw sweet yellow corn" (86kcal/100g) to "freeze-dried sweet corn" (368kcal/100g); therefore multiplying the dried corn value by ≈0.23.  If you agree that Mekonnen and Hoekstra's value likely encompasses the dried value, I will use this same caloric conversion.
C)Would you like me to use the dry, grain corn values for "cornmeal" and "cornstarch" to keep more consistent with the rest of the database?
D) The MAD sheet of the EnvironCalc document provides different Land Use and Nr Needs values for "grain corn", "cornmeal", and "cornstarch".  My understanding is that cornmeal is essentially ground dry corn, which would make using the dry, grain corn value highly defensible. On the other hand, cornstarch is made using primarily the endosperm of the grain (which is the majority of the grain), and I'm sure the bran and germ of the grain are repurposed into cattle feed, if not other food products.  Please either confirm the use of the environmental attributes of "dry, grain corn" for "cornmeal" and "cornstarch", or recommend otherwise.</t>
  </si>
  <si>
    <t>A) Yes, sounds reasonable. 
B) I do agree. But sweet corn is with the cob, and with the water. This will give rise to large differences, as you are reporting above. It would thus not  be surprising that sweet corn and maize (dried) are so different.
C) I think that makes more sense, yes. Surely for corn meal, which is just the dried variety, chopped up. Corn starch requires some cooking, so added GHGe (no idea how much) but otherwise the same costs unless there is a real mass difference between starch and its parent fodder. I just don't know.</t>
  </si>
  <si>
    <t>Regarding your observations about corn: "sweet corn is with the cob, and with the water. This will give rise to large differences, as you are reporting above. It would thus not  be surprising that sweet corn and maize (dried) are so different." 
 --- I agree that it is reasonable for sweet corn and maize (dried) to have dramatically different environmental attributes.  However, regarding the caloric ratio between raw sweet corn and dried sweet corn, I specifically used values based on the edible yield rather than a full ear of corn, so I don't think the cob plays a role in this equation.  Is there something I'm missing that I should be paying closer attention to in this caloric ratio?</t>
  </si>
  <si>
    <t>For as many items as possible, the Land Use and Nr needs attributes link directly to the "MAD" sheet of your EnvironCalc Paper.  Looking through our new database, the numbers for raw corn and dried corn (in the form of flour/cereal/cornstarch/etc) caught my eye.  In the rest of our database, we calculated the environmental attributes of dried food through caloric ratio, and it is generally much higher than the raw material because the majority of the raw food's mass is attributable to water.  In the EnvironCalc database, however, corn does not follow this pattern and I just wanted to check over it with you, especially since corn makes up such a large amount of the MAD.  I am wondering whether the variety of corn, the method for growing, or some other factor impacts these variables for sweet raw corn vs. dry corn?
                                                                    LU                        Nr
CORN FLR,WHOLE-GRAIN,YEL               0.2611883782      14.03229188
CORNSTARCH                                           0.2505536722        3.845984141
CEREALS,CORN GRITS,YEL,REG &amp; QUICK,UNENR,DRY
                                                                    0.2969883296       15.95563691
CORN SWT YEL RAW                                1.917333594         31.36909423</t>
  </si>
  <si>
    <t>So commercial corn is about 89-92 dry (ie it contains 8-11% water). So for items 1 and 3 above, we MAY have to raise costs by 10% (because flour has almost no water). I am not sure, but either way the error is miniscule, we cannot claim &lt;10% error...
Sweet corn is altogether different, a completely different product processed in completely different ways,  and its numbers are correspondingly totally different, which appears sensible. THat, I think, is OK.</t>
  </si>
  <si>
    <t>Corn derivatives:
Thank you for your expertise.  As the value fraction method is indefensible, it is important to note that there are a few other food items for which I had used M&amp;H "derived crop" values (which are determined with the value fraction).  M&amp;H don't say specifically which food items are primary vs. derived, but I think it is fairly obvious (in the following examples, I underlined what I perceive to be the primary food items).
For example, MH11's corn products values are: maize (corn) (81m3/ton), corn flour (83m3/ton), corn starch (111m3/ton), and corn groats and meal (72m3/ton).  
Other examples are: 
soybeans/soybean flour/tofu
paddy rice/rice flour/brown husked rice
grapes/raisins/wine
apples/dried apples/apple juice
tomatoes/tomato juice
pineapples/pineapple juice
oranges/oj
green coffee/roasted coffee
barley/malt/beer made from malt
For the environmental attributes of dry whole grain corn, I've used your LU and Nr values for "CORN FLR,WHOLE-GRAIN,YEL", MH11's Water values for "Maize (corn)", and the Food emissions calculator's GHGE values for "corn".
For its derivatives, I've used the attached article which expresses the average maize kernel anatomy - 83% endosperm, 5% pericarp, 11% germ, 1% tip cap.  As corn flour and corn meal are degermed and have the pericarp and tip cap removed, only the endosperm (83%) of the maize is used.  In this case, we can divide our whole grain corn values by 0.83 for corn meal and corn flour.  
This link that you sent - https://www.feedipedia.org/node/556 - articulates that corn is 73.4% starch, so we can determine cornstarch by dividing our whole grain corn values by 0.734.
I can easily follow this system regarding all the other food items for which I've otherwise used MH11's "derived crop" values.  If there is an alternative system that you'd prefer, please let me know what it is and how to apply it for the derived crop products.
Article: Gwirtz, J. A., &amp; Garcia-Casal, M. N. (2014). Processing maize flour and corn meal food products. Annals of the New York Academy of Sciences, 1312(1), 66.</t>
  </si>
  <si>
    <t>equals 5% corn</t>
  </si>
  <si>
    <t>3/13: Just as we've calculated oat bran and wheat bran as 5% of oat and wheat, respectively, can I calculate corn bran (row 498) as 5% of corn?</t>
  </si>
  <si>
    <t>3/15: here you mean environmental costs of those brans, right? This is actually a really deep and hotly contested question nowdays, for reasons I will spare you. But from a strict accounting standpoint that would make sense.</t>
  </si>
  <si>
    <t>Corn oil</t>
  </si>
  <si>
    <t>Land Use - I converted the LU values of "corn oil" from "raw corn", based on their fat content found at &lt;https://fdc.nal.usda.gov/fdc-app.html#/food-details/169998/nutrients&gt;
  -Raw Corn: 1.35g lipids in 100g --&gt; LU =    1.92m2/100g
  -Corn Oil:     100g lipids in 100g --&gt; LU = 142.02m2/100g
Nr Needs - I used the same conversion ratio as above.
  -Raw Corn Nr needs =     31.37gNr/100g
  -Corn Oil    Nr needs = 2323.64gNr/100g
Water Needs - Mekonnen and Hoekstra
  - Corn Oil Blue Water needs = 0.0171m3/100g
GHGE - Food Emissions calculator online
  - Corn Oil GHGE = 0.02645544kgCO2eq/100g</t>
  </si>
  <si>
    <t>good, except it should be LU = 142.22 but it's prob. my roundoff error
same, I get 2323.70 but yours is likely using more significant digits 
perfect. We ay want to add 10% to the GHG value on account of the fact that oil does not spontaneously arise from corn, it needs some energetic prodding... Or a more precise value if one presents itself as to how much energy  exactly or roughly is needed, or better yet, how much emissions</t>
  </si>
  <si>
    <t>I've added 10% to the GHGE values for corn oil and peanut oil, per your suggestion.</t>
  </si>
  <si>
    <t>Q1: Running over corn oil again got me thinking about its water footprint and GHGE values.  The method you had suggested for LU and Nr makes a lot of sense to me, and it aligns with the rest of the database:  We determined a lipid ratio between grain corn (1.2g fat/100g corn flour) and corn oil (94g fat/100g corn oil) from the USDA food database, therefore multiplying LU and Nr values by ~78 to derive those of corn oil.  (Just to be sure, do you confirm using grain corn rather than dried sweet corn?)
Q2: Oddly, however, the Food Emissions Calculator used in the rest of our database (and used extensively in Akshay's database) describes corn oil expending only 0.12kgCO2/lb as compared to grain corn's ~0.27kgCO2/lb.
Q3: And Mekonnen and Hoekstra's (M&amp;H) Water Footprint paper (2011) says "Maize groats and meal" costs 72m3/ton blue water and Maize oil costs 171m3/ton blue water.  This is only a ratio of ~2.38.  Here is how M&amp;H came up with these values: 
"For the calculation of the water footprints of derived crop products we used product and value fraction. Most of these fractions have been taken from FAO (2003) and Chapagain and Hoekstra (2004). The product fraction of a product is defined as the quantity of output product obtained per quantity of the primary input product. The value fraction of a product is the ratio of the market value of the product to the aggregated market value of all the products obtained from the input product (Hoekstra et al., 2011). Products and by-products have both a product fraction and value fraction."
I don't see the value ratio as being applicable to corn because corn is subsidized here in the U.S. and it caters to such varying industries (biofuel, animal feed, and culinary use), all of which skews the market prices.  Without being able to see the specific product ratio or value ratio in their calculation, I can't adjust their figure by excluding the value ratio.
All this being said, I'm wondering if you approve of the method of using the lipid ratio conversion across all environmental values from grain corn to corn oil?</t>
  </si>
  <si>
    <t>A1: Definitely not sweet corn, as we discussed that's a different beast. But I do have 2nd thoughts on some of this, using corn flour in the denominator. The reason is that commercial flour is de-germed, the germ is removed for shelf life extension. So it makes the denominator unnaturally low fat, which makes the amplification factor large. Prob. too large. What happens to the factor if instead of flour in the denominator we use raw yellow corn number 2? That will have about 5 g fat/100 g, so 4fold higher denominator, 4fold smaller factor.
A2: I think I know why: this is probably based on LCA with re-allocation. Because the remaining pulp is a coveted feed, they credit the oil for environmental costs deferred. While this makes a lot of sense, it would be inconsistent with much of the rest of our data, right?
A3: I think this is better, the value fraction in above quote is nonsensical. The product fraction is sensible. So I do think the fat method is fine. Like I said earlier, the LCA re-allocation makes sense, but I do think that it will introduce inconsistencies. Do tell me if yo agree.</t>
  </si>
  <si>
    <t>Q1: Oh yes, it makes perfect sense that corn flour wouldn't be the ideal food item from which to derive corn oil, seeing that it is degermed.  Thank you for this insight.  Can you share with me the reference for 5g fat per 100g raw yellow corn number 2, so I can include it in the database?  I've only been able to find 1.35g total lipids for "Corn, sweet, yellow, raw" in your EnvironCalcPaper and the USDA FoodData Central.  Please let me know what I'm missing.
Q2: ​Yes, that's generally true.  Re-allocation has been minimally considered regarding the derivatives of grains, like wheat (gluten, bran, germ, all-purpose flour, etc), but it hasn't been considered for our most recent shift in juice yields from fruits/vegetables, and I'm not well-enough versed in these systems to know if it needs to be considered.  I am also not sure how many other food items might be more accurately portrayed by re-allocation – do you have some perspective on this that you could offer? 
Q3: ​From my perspective, corn is a very unique crop in the U.S. because it is used in huge quantities for many different products (raw consumption, flour, starch, syrup, oil, biofuel, animal feed) and systems for reallocation must be pretty streamlined.  I don't have the experience to say that this is the case for other food items in our database without doing extra research.  If we choose to use the reallocation perspective for corn, we can maintain consistency within the corn values by utilizing the GHGE ratio (0.12kgCO2/lb corn oil:~0.27kgCO2/lb grain corn) across all the corn oil values.  What do you think?</t>
  </si>
  <si>
    <t>A1: See, e.g., https://www.nutritionvalue.org/Corn_grain%2C_yellow_nutritional_value.html Since it's the chemical composition, it's independent of whether a person or a beast eat it... For example, see https://www.feedipedia.org/node/556, where ether extract is the relevant measure. 4.3% of dry matter with 14% water works out to be VERY close to 5 g...
A2: some. Not sure. But it is not a very solid enterprise, these reallocations. What produces byproducts and how we use them are strongly related, so it's a circular problem. Eg, cattle eats lots of brewing leftovers, mostly from ethanol production. Since it'd well known that ethanol is an environmentally losing idea, are we better off with this cheap feed, and this emission-adding ethanol? No!
A3: This does not sound good. See above:  grain is CHEAPER than derivatives, not more expensive as above. It's reversedl</t>
  </si>
  <si>
    <t>thank you very much for the references!   I will certainly use these for the conversion of Sweet Raw Corn to Corn oil regarding the environmental attributes: LU, Nr, and Water.  What is your perspective on GHGE?  Do you recommend that I use the food emissions calculator figure (which likely includes reallocation) or maintain consistency with LU, Nr, and water by utilizing the conversion ratio based on the 5g fat/100g figure?</t>
  </si>
  <si>
    <t>Marie, again, as previously emphasized - forget sweet corn. Sweet corn turns into nothing other than sweet corn. It is corn GRAIN that becomes corn oil.
Let's use both and see what differences arise. They should be modest but not trivial. Show us the results once done.</t>
  </si>
  <si>
    <t>Ah, ok, this makes much more sense.  I was confused because the only raw corn values we have thus far in the database are for raw sweet corn, since raw grain corn isn't applicable in our dataset.  
Now that I'm looking at the source of my environmental attributes, I see that my values for corn flour are based on those for "CORN FLR,WHOLE-GRAIN,YEL" in your EnvironCalcPaper.  Seeing that they're "whole-grain", I understanding this to mean that they aren't degermed – please correct me if I'm wrong.  For our calculations re:corn oil, I'll assume this is the case, just to have some environmental attributes to work with.  If not, could we use Mekonnen and Hoekstra's water needs calculations to guide our conversion ratio between (degermed) corn flour and dry corn?
Mekonnen and Hoekstra's 2011 Water Footprint paper shows these blue water footprints:
Product                                     m3/ton
Maize (corn)                                 81
Maize (corn) flour                         83
Maize (corn) groats and meal      72
Maize (corn), hulled, pearled,      87
sliced or kibbled                                          
Maize (corn) starch                      111
Maize (corn) oil                            171
For the table below, I'll assume that "Maize (corn)" refers to whole-grain corn, "Maize (corn) flour" refers to commercial (degermed) corn flour, and I'll use the "Maize (corn) oil" value.
In the USDA database, "CORN FLR,WHOLE-GRAIN,YEL" (NDB# 20016) is composed of 3.8gfat/100g, which is certainly closer to 5g fat/100g.  I'm including this ratio below as well.
                   Methods       Conversion ratio       land needs m2-yr/1g        Nr needs, gNr/1g        Water needs m^3/1g        GHG emission kg CO2eq/1g
                                       (corn oil = 94g fat/100g)
dry corn                                                            0.002611883782               0.1403229188             0.000081                         0.0005947856223
corn oil       5g fat/100g     18.8                        0.0491034151                   2.638070874               0.0015228                       0.0111819697
3.86g fat/100g                   24.35233161          0.06360545997                 3.417190252               0.00197253886               0.01448441671
Food Emissions calculator                                                                                                                                                     0.0002645549304
M&amp;H Water footprint                                                                                                                       0.000171
Let me know what you perceive to be most accurate.</t>
  </si>
  <si>
    <t>OK, forst, you must develop a sense for units. Why have numbers more fitting of quantum yields than agronomicas values? Switch the units (focusing on water) from m3/g to m3/metricTon, gain 6 orders of magnitude, afford easy comparison with MH11 values, and have thing look nice, e.g. 
0.000081 -&gt; 81
0.0015228 -&gt; 1523
and 
0.00197253886 -&gt; 19736.
Now to the issue at hand. 19736 and 171 are an order of magnitude apart, which is too much. I don't know where this disrepancy is coming from. Can you try to investigate what MH11 did for corn oil?</t>
  </si>
  <si>
    <t>Thank you for the unit guidance, Gidon.
Regarding the orders of magnitude within m3/metricTon, however, we would be comparing 171 to 1973 (rather than 19736).  Still a big difference, but not quite that big.
I would need to request info directly from MH11 to delve more into the corn oil details but I mentioned their general method for calculating "derived crop products" (e.g. corn oil) in my first email in this thread. previous email – by using the primary ingredient's (e.g. maize) product fraction AND "value fraction".  Pg. 51 in this manual adds more detail to the "value fraction" description.  From my previous email:
""For the calculation of the water footprints of derived crop products we used product and value fraction. Most of these fractions have been taken from FAO (2003) and Chapagain and Hoekstra (2004). The product fraction of a product is defined as the quantity of output product obtained per quantity of the primary input product. The value fraction of a product is the ratio of the market value of the product to the aggregated market value of all the products obtained from the input product (Hoekstra et al., 2011). Products and by-products have both a product fraction and value fraction."
-- I don't see the value ratio as being applicable to corn because corn is subsidized here in the U.S. and it caters to such varying industries (biofuel, animal feed, and culinary use), all of which skews the market prices.  Without [background data provided for] the specific product ratio or value ratio in their calculation, I can't adjust their figure by excluding the value ratio."
Based on this, I personally lean toward the lipid ratio using the ether extract percentages that you provided, yielding 5g lipid : 100g grain corn.  Do you confirm this method for our final corn values?  If not, please provide alternative guidance.</t>
  </si>
  <si>
    <t>yes, right, the value fraction is without any merit, indefensible nonsense. The product one ,more sensible. Nonetheless the fat ratio seems to me the one most basic and pertinent, yes!</t>
  </si>
  <si>
    <t>Corn Syrup (and, therefore, coca-cola)
The Nr value for HFCS is "0" in Akshay's environmental attributes database (M170) and I don't think this is right because his value for corn has a high Nr value (M171=31.3691gNr/100g).  It seems that the Water needs and GHGEs for HFCS are calculated from corn using a caloric ratio, but his Land Use and Nr values don't follow the same pattern.  In his Works Cited sheet, Akshay cites that Land Use and Nr values are "based off of corn + Gidon's spreadsheet".  In the MAD sheet of your EnvironCalcPaper3_15, there isn't a value for "N fertilzer (lb/acre/yr)" for HFCS (cell BQ68), which makes the end result of "loss-adjusted Nr needs, gNr/100g" equal 0.  This may be where he got this value.   What do you recommend for the Nitrogen value of HFCS?  Can I just go ahead and use the caloric ratio?  If so, would you like me to do the same for the land use value?</t>
  </si>
  <si>
    <t>Yes, the caloric ratio is the way to go, I do not think the zero value is defensible, because HFCS is produced by corn expressly grown for that purpose. It does produce a leftover stream, brewers grains, but this is at best a DISCOUNT, not a free ride.  HFCS contains about a quarter by mass as water. Ignoring the costs of the added enzymes and water, and of the catalyzing heat, if corn environmental cost is y per g, the corresponding cost for a g of HFCS must therefore be 0.75y. I'd apply this logic to all costs.</t>
  </si>
  <si>
    <t xml:space="preserve">OK, great, thank you!  Please check out the table below to confirm that I calculated the values of HFCS to your specifications.  
**for the "conversion calculation", I used the caloric ratio of corn syrup to corn, multiplied by 0.75: (2.81 / 0.86)*0.75 ≈ 2.45
Corn Syrup; Coca-Cola        calories        gramweight        cal/g        Conversion Calculation        loss-adjusted land needs, m2-yr/100g        loss-adjusted Nr needs, gNr/100g        BLUE WATER NEEDS m^3/100g        GHG emission kg CO2eq/100g
Corn        86        100        0.86                1.91733        31.3691        0.000081        0.06
Corn Syrup        281        100        2.81        2.450581395        0.262235661        76.87253285        0.000198497093        0.1470348837
</t>
  </si>
  <si>
    <t>Not quite. I wasn't clear enough sorry. Notice that above I used "per gram". That is important. The caloric ratio means that a gram of syrup requires 3.2 g corn. This already accounts for the water dilution. So if 100 grams of corn require 1.9 m2-yr and 31.4 gNr, 100 g of syrup require 1.9*3.2\approx 6.3 m2-yr and 100.5 gNr. Do the same for the other two metrics.</t>
  </si>
  <si>
    <t>corn syrup light, corn syrup, high fructose corn syrup</t>
  </si>
  <si>
    <t>same as syrups corn high-fructose</t>
  </si>
  <si>
    <t>12/12: We assume that corn syrup light (Row 851) has the same environmental attributes as "syrups corn high-fructose" (cell K170)</t>
  </si>
  <si>
    <t>The Nr value for HFCS is "0" in Akshay's environmental attributes database (M170) and I don't think this is right because his value for corn has a high Nr value (M171=31.3691gNr/100g).  It seems that the Water needs and GHGEs for HFCS are calculated from corn using a caloric ratio, but his Land Use and Nr values don't follow the same pattern.  In his Works Cited sheet, Akshay cites that Land Use and Nr values are "based off of corn + Gidon's spreadsheet".  In the MAD sheet of your EnvironCalcPaper3_15, there isn't a value for "N fertilzer (lb/acre/yr)" for HFCS (cell BQ68), which makes the end result of "loss-adjusted Nr needs, gNr/100g" equal 0.  This may be where he got this value.   What do you recommend for the Nitrogen value of HFCS?  Can I just go ahead and use the caloric ratio?  If so, would you like me to do the same for the land use value?  This is what I'm looking at in Akshay's database:
                  land needs (m2-yr/100g)       Nr needs (gNr/100g)        Water needs (m^3/100g)        GHG emission (kgCO2eq/100g)
HFCS        0.262235661                         0                                        0.1052116279                        0.1960465116                                   281
corn          1.91733                                  31.3691                             0.0322                                    0.06                                                    86</t>
  </si>
  <si>
    <t>OK, great, thank you!  Please check out the table below to confirm that I calculated the values of HFCS to your satisfaction.  **for the "conversion calculation", I used the caloric ratio of corn syrup to corn, multiplied by 0.75: (2.81 / 0.86)*0.75 ≈ 2.45
                   Kcal  gmwt   cal/g   conv.calc.       land needs (m2-yr/100g)   Nr needs (gNr/100g)    blue water (m^3/100g)  GHGE (kgCO2eq/100g)
Corn            86     100     0.86                             1.91733                          31.3691                         0.000081                       0.06
Corn Syrup 281    100     2.81   2.450581395    0.262235661                   76.87253285                 0.000198497093           0.1470348837</t>
  </si>
  <si>
    <r>
      <rPr>
        <b/>
        <sz val="10"/>
        <rFont val="Arial"/>
      </rPr>
      <t>cottonseed oil</t>
    </r>
    <r>
      <rPr>
        <sz val="10"/>
        <rFont val="Arial"/>
      </rPr>
      <t xml:space="preserve"> </t>
    </r>
    <r>
      <rPr>
        <sz val="8"/>
        <rFont val="Arial"/>
      </rPr>
      <t>(including fully/partially hydrogenated)</t>
    </r>
  </si>
  <si>
    <t>RESEARCH &amp; calculate using research</t>
  </si>
  <si>
    <r>
      <rPr>
        <sz val="10"/>
        <rFont val="Arial"/>
      </rPr>
      <t xml:space="preserve">12/18b: Not ideal as those are fundamentally different, so OK as a first but, but not ultimately defensible. Try </t>
    </r>
    <r>
      <rPr>
        <u/>
        <sz val="10"/>
        <color rgb="FF1155CC"/>
        <rFont val="Arial"/>
      </rPr>
      <t>http://www.sciencedirect.com/science/article/pii/S0016236117301849</t>
    </r>
    <r>
      <rPr>
        <sz val="10"/>
        <rFont val="Arial"/>
      </rPr>
      <t xml:space="preserve">, and again, ask/call as needed Cottonseed oil is a byproduct, and awhile can of worms, methodologically and environmentally. Maybe </t>
    </r>
    <r>
      <rPr>
        <u/>
        <sz val="10"/>
        <color rgb="FF1155CC"/>
        <rFont val="Arial"/>
      </rPr>
      <t>http://www.publish.csiro.au/an/AN15453</t>
    </r>
    <r>
      <rPr>
        <sz val="10"/>
        <rFont val="Arial"/>
      </rPr>
      <t xml:space="preserve"> holds the answers, give it a try...                                                      </t>
    </r>
  </si>
  <si>
    <r>
      <rPr>
        <sz val="10"/>
        <rFont val="Arial"/>
      </rPr>
      <t xml:space="preserve">4/19: Cottonseed oil took much more digging into research papers and official publication to find the environmental attributes.  Please confirm that these values are valid or share alternative values.                                                                                                                                                                                                                                                            </t>
    </r>
    <r>
      <rPr>
        <b/>
        <sz val="10"/>
        <rFont val="Arial"/>
      </rPr>
      <t>Land Use</t>
    </r>
    <r>
      <rPr>
        <sz val="10"/>
        <rFont val="Arial"/>
      </rPr>
      <t xml:space="preserve">: I found the oil yield of cottonseed per area of land. The attached, "Handbook of Bioenergy Crop Plants" (pg 470) evaluates this yield to be 325 L/Ha which, per my calculations, would equal 3.38 m^2/100g.;                                                                                                                                                                                                                                                             </t>
    </r>
    <r>
      <rPr>
        <b/>
        <sz val="10"/>
        <rFont val="Arial"/>
      </rPr>
      <t>Nr Needs</t>
    </r>
    <r>
      <rPr>
        <sz val="10"/>
        <rFont val="Arial"/>
      </rPr>
      <t xml:space="preserve">: On pg. 1531 of the attached, "Environmental impacts of the biodiesel production chain of cotton seed in Bahia, Brazil", the eutrophication impact of the agricultural and refinement processes of cottonseed oil are evaluated at 5.1 kgPO4/1000kg, which I've calculated to equal 3.57 gNr/100g.;                                                                                                                                                                                                                                                             </t>
    </r>
    <r>
      <rPr>
        <b/>
        <sz val="10"/>
        <rFont val="Arial"/>
      </rPr>
      <t>GHGEs</t>
    </r>
    <r>
      <rPr>
        <sz val="10"/>
        <rFont val="Arial"/>
      </rPr>
      <t>: All research on the GHGEs of cottonseed oil seem to include Nitrogen and Phosphorus applications as fertilizers.  This seems to overlap with Nr needs, so please advise how I should take this into account.; In the attached "Estimation of the variability in global warming potential of worldwide crop production using a modular extrapolation approach", the GWP for cotton seed includes basic cropping operations, tillage, variable machine use, N, P and K fertilizer, pesticides, irrigation, and drying.  This GWP equals ≈1.4kgCO2equiv/100g for cotton. If 65% of cotton is cottonseed, and 16% of cottonseeds is the oil yield, then 0.1456 kgCO2equiv/100g would be our result for the database.; However, in the "Environmental impacts of the biodiesel production chain of cotton seed in Bahia, Brazil" attachment, the agricultural measure of the GWP of cottonseed oil took into account the "emission of carbon dioxide and dinitrogen monoxide to the atmosphere, due to the application of fertilizers urea, nitrogen and phosphate" whereas the oil refinement of cottonseed oil primarily accounted for transportation emissions at a specific plant.  The total GWP of ag and oil extraction of cottonseed oil was totaled to 59% of 1475kgCO2eq/1000kg, which is calculated to .087025 kgCO2eq/100g for our uses.; Which of these GHGE measurements would you recommend that I use?</t>
    </r>
  </si>
  <si>
    <r>
      <rPr>
        <sz val="10"/>
        <rFont val="Arial"/>
      </rPr>
      <t xml:space="preserve">4/21:  </t>
    </r>
    <r>
      <rPr>
        <b/>
        <sz val="10"/>
        <rFont val="Arial"/>
      </rPr>
      <t>LAND USE</t>
    </r>
    <r>
      <rPr>
        <sz val="10"/>
        <rFont val="Arial"/>
      </rPr>
      <t xml:space="preserve">: this is 0.325 m^3 oil/1e4 m^2 = approx = 3.0875e3[100gOil]/1e4 m^2, whose inverse is 3.24 m^2/100g. So what you did is perfect, assuming you used a better, more accurate density for oil than the 950 kg/m^3 I used above just out of "prior imprecise knowledge". BUT, for the above and the below, partial allocation again. That is, we grow cotton to make jeans. And oh, BTW, cotton has LOTs of oil laden seeds. Let's extract this byproduct. But much of the environmental burden (which is ENORMOUS BTW for cotton) is counted against cotton itself. What portion of the env. costs should we slap the seeds with? I really do not know the answer, I doubt there is a "correct" one. But surely people have worried about this, so it's a matter of another tedious lit review, sorry!;                                                                                                                                                                                                                                                              </t>
    </r>
    <r>
      <rPr>
        <b/>
        <sz val="10"/>
        <rFont val="Arial"/>
      </rPr>
      <t>REACTIVE NITROGEN</t>
    </r>
    <r>
      <rPr>
        <sz val="10"/>
        <rFont val="Arial"/>
      </rPr>
      <t xml:space="preserve">: right;                                                                                                                                                                                                                                                             </t>
    </r>
    <r>
      <rPr>
        <b/>
        <sz val="10"/>
        <rFont val="Arial"/>
      </rPr>
      <t>GHGEs</t>
    </r>
    <r>
      <rPr>
        <sz val="10"/>
        <rFont val="Arial"/>
      </rPr>
      <t xml:space="preserve">: a.Those are two distinct env costs. First we use energy and methane to make fertilizer in a petrochemical plant, and then we apply the resultant fertilizer on fields, causing ANOTHER, UNRELATED ENV problem, namely Nr-rich runoff and eutrophication. So it is OK, indeed essential to count this both in GHG and Nr budget. That is OK. What is NOT is that fertilizer, while important, is by NO MEANS anywhere near the total production emissions. I am wondering if a full LCA on cotton has been done. I'd be surprised if not! </t>
    </r>
    <r>
      <rPr>
        <u/>
        <sz val="10"/>
        <rFont val="Arial"/>
      </rPr>
      <t>b. Aha! Perfect, now you're talkin'! this 0.16*(65:35) is the crux of the matter. By no means universal (why mass and not volume? Why either and not calories? and so on) but is a perfectly defensible option which I happen to like. Perfect. So use this and forget the above that only gives you fertilizer needs</t>
    </r>
    <r>
      <rPr>
        <sz val="10"/>
        <rFont val="Arial"/>
      </rPr>
      <t xml:space="preserve">. c. So these are quite similar, prob. indistinguishable given expected uncertainty. But I'd use the first, because the latter is too specific to a particular and idiosyncratic operation;                                                            </t>
    </r>
  </si>
  <si>
    <r>
      <rPr>
        <sz val="10"/>
        <rFont val="Arial"/>
      </rPr>
      <t xml:space="preserve">4/24: </t>
    </r>
    <r>
      <rPr>
        <b/>
        <sz val="10"/>
        <rFont val="Arial"/>
      </rPr>
      <t>LAND USE</t>
    </r>
    <r>
      <rPr>
        <sz val="10"/>
        <rFont val="Arial"/>
      </rPr>
      <t xml:space="preserve">: No problem.  Please provide guidance for the framework within which I'll be reviewing the literature. As described below under GHGEs of Cottonseed oil, I had found that "65% of cotton is cottonseed, and 16% of cottonseeds is the oil yield." Could these fractions help us deduce a final Land Use value?                                                                                                                                                                                                                                                               </t>
    </r>
    <r>
      <rPr>
        <b/>
        <sz val="10"/>
        <rFont val="Arial"/>
      </rPr>
      <t>REACTIVE NITROGEN</t>
    </r>
    <r>
      <rPr>
        <sz val="10"/>
        <rFont val="Arial"/>
      </rPr>
      <t xml:space="preserve">: yeah!;                                                                                                                                                                                                                                                             </t>
    </r>
    <r>
      <rPr>
        <b/>
        <sz val="10"/>
        <rFont val="Arial"/>
      </rPr>
      <t>GHGEs</t>
    </r>
    <r>
      <rPr>
        <sz val="10"/>
        <rFont val="Arial"/>
      </rPr>
      <t xml:space="preserve">: ok, great! </t>
    </r>
  </si>
  <si>
    <t>5/4: No problem.  Please provide guidance for the framework within which I'll be reviewing the literature. As described below under GHGEs of Cottonseed oil, I had found that "65% of cotton is cottonseed, and 16% of cottonseeds is the oil yield." Could these fractions help us deduce a final Land Use value?</t>
  </si>
  <si>
    <t>5/4: The issue is this. Find a bunch of LCAs of cotton, and see how they apportioned total environmental burdens incurred in the cotton production process among the seeds and the thread. If you find none, then we will have to do something arbitrary, like 50:50 for the two, meaning each gets half of the blame.​</t>
  </si>
  <si>
    <t>(Stacy Blondin's research):
GHGE: 2.14 CO2/kg (Heller et al. 2018
Green: 2242 m3 ton−1  (Mekonnen and Hoekstra 2011)
Blue: 1283 m3 ton−1  (Mekonnen and Hoekstra 2011)
Grey: 432 m3 ton−1  (Mekonnen and Hoekstra 2011)</t>
  </si>
  <si>
    <t>COTTON SEED OIL (refined):
GHGE: 2.14 CO2/kg (Heller et al. 2018
WATER:
Green: 2242 m3 ton−1  (Mekonnen and Hoekstra 2011)
Blue: 1283 m3 ton−1  (Mekonnen and Hoekstra 2011)
Grey: 432 m3 ton−1  (Mekonnen and Hoekstra 2011)</t>
  </si>
  <si>
    <t>So GHGE are givn, nothing to do except rejoice. Water, use only blue THROUYGHOUT. That would do it!</t>
  </si>
  <si>
    <t>Gidon, a while ago, you mentioned that, if I’m unable to find LCAs of cotton that apportion total environmental burdens incurred in the cotton process among seeds and thread, that we’ll have to “do something arbitrary, like 50:50 for the two, meaning each gets half the blame". I haven’t been able to find any of these LCAs.  Does this mean our calculations for Cottonseed Oil all need to be divided in half ("half the blame"), or doubled (since it would take 2x as much cotton production to create the cottonseed)?:
                           Land Use (m2/g)           NR(gNr/g)             Water Needs(m^3/g)          GHG(kgCO2/g)
Current values:     0.0338                          0.0357                     0.001283                         0.00214</t>
  </si>
  <si>
    <t>Wikipedia (https://en.wikipedia.org/wiki/Cottonseed) says "that "For unit weight of fibre, about 1.6 units of seeds are produced." and also that the seeds are 20% oil by mass.. So 160 g seeds require 260 g raw cotton, of which 100 goes to fibre.  Assuming oil extraction of 75%, a resource use of u per g raw cotton is 16u/26 per g seeds or (16u/26)/(0.2*0.75) per g oil or 4.1u per g oil.</t>
  </si>
  <si>
    <t>Cottonseed Oil Land Use: Last year, I found the oil yield of cottonseed per area of land: The "Handbook of Bioenergy Crop Plants" (pg 470) evaluates this yield to be 325 L/Ha which, per my calculations, would equal 3.38 m^2/100g.; so, per your recommendations of 4.1u per g oil: 4.1*(3.38 m^2/100g) = 13.858 m^2/100g
Do you confirm that this is correct for our database?</t>
  </si>
  <si>
    <t>Yes.</t>
  </si>
  <si>
    <t>I've found the water use and GHGE of cottonseed oil, however I've only found the land use and NR needs of cotton via this article.  Figure 1 on page 3 of https://openknowledge.worldbank.org/bitstream/handle/10986/3840/WPS5355.pdf?sequence=1&amp;isAllowed=y, articulates that 16% of the weight of cotton goes toward oil yet, in the text below the Figure, it describes that "On average one metric ton of seed cotton in the US generates about 350 kgs of lint and 104 kgs of cotton oil" (10.4% cotton oil from seed cotton). Which percentage do you think is most accurate? 
My next step will be to divide the land and Nr values of cotton by whichever percentage we decide upon to find the environmental attributes of cottonseed oil.  Doing so, however, bumps these values up quite high - making Cottonseed oil's Nr values nearly twice that of beef. This article describes the low percentage of cottonseed oil content:
Cottonseed has a low oil content relative to most other oilseeds, partly because cotton research efforts have sought to maximize the quality and quantity of lint, rather than the oil or meal content. For example, ICAC (2000, p. 7) noted that “Unfortunately, not even a single variety on the basis of higher oil percentage has been released in any country in the world.”
I recognize cottonseed oil is consumed in much smaller quantities than beef, so these env. attributes shouldn't make a huge impact on the outcome measures.  What are your thoughts?  Please provide guidance on final environmental attributes.</t>
  </si>
  <si>
    <t>Re: "Which percentage do you think is most accurate?"
--- two distinct ratios. First is seed in total, 2nd is seed to oil. The overall (cotton to oil) is the product of the two fractions, 0.16*0.104
Re: "Please provide guidance on final environmental attributes."
--- That's a good question. The problem with the high values you report is that oil is a small part of the total cotton pipeline and that these values must be reduced by crediting the production of cotton from clothes. That is the main reason we grow cotton, so it must be thus demoted. So the total costs of raw cotton must equal the costs of oil plus the costs of marketable textile cotton.  I think you can easily find the latter values, subtract them from what you now hve, and get lower and more sensible values.</t>
  </si>
  <si>
    <t>Thank you for the guidance concerning cottonseed oil.  Just to simplify your explanation for our calculations, essentially I'm looking for the combined environmental attributes of cotton lint (for textiles) AND seed oil, correct?  For example, the Baffes article shares that "On average one metric ton of seed cotton in the US generates about 350 kgs of lint and 104 kgs of cotton oil".  So, if I were to find the environmental attributes of raw cotton, I could say that cottonseed oil attributes = (.35 +.104)*raw cotton.  Is this correct?</t>
  </si>
  <si>
    <t>I think not. Why penalize the oi for the lint? As far as I know, the lint is used for textiles, so it will have costs = .104*rawCotton, so the oil alone will have costs = .35*rawCotton. This way the sum will be the costs of raw cotton, which has to hold</t>
  </si>
  <si>
    <t>Regarding Cottonseed Oil, you had originally said (earlier in this email thread), "The problem with the high values you report is that oil is a small part of the total cotton pipeline and that these values must be reduced by crediting the production of cotton from clothes. That is the main reason we grow cotton, so it must be thus demoted. So the total costs of raw cotton must equal the costs of oil plus the costs of marketable textile cotton.  I think you can easily find the latter values, subtract them from what you now hve, and get lower and more sensible values." 
Based on this previous description, I don't think we "penalize the oil for the lint" by using the methodology below.  Please confirm this method is sound, or provide alternative calculations:
Baffes article provides that "on average one metric ton of seed cotton in the US generates about 350 kgs of lint and 104 kgs of cotton oil"
• For Nr needs, the Gerik article provides Nitrogen used per acre of cotton produced in the U.S. This averages 144.67lbN/acre 
• Multiply this by Hundl article's 1.148E-03ac/lbcotton
• Then the cotton:cottonseed oil ratio gives us our final Nr needs
              • if I'm just using the cottonseed oil ratio, I'm dividing our lbNr/lbcotton by .104, which makes our Nr needs for cottonseed oil twice that of beef
              • on the other hand, if I follow your previous advice and I consider the environmental attributes of cottonseed oil as a byproduct of lint cotton for textiles, then I'll be dividing our lbNr/lbcotton values by (.35+.104) = .454, which brings us to a figure that is still high compared to the other oils, but less than half of beef's Nr needs.</t>
  </si>
  <si>
    <t>what I emphasized is that for consistency, the weighted sum of costs better be the full cost, i.e.,
fullCost = fiberCosts*0.546 + lintCosts*0.35 + oilCosts*0.104  -&gt;
oilCosts*0.104 = fullCost - fiberCsots*0.546 - lintCosts*0.35   -&gt;
oilCosts = (fullCost - fiberCosts*0.546 - lintCosts*0.35)/0.104
Satisfying this requirement is the ultimate test.
To obtain the individual costs, we know that they are mutually related as
546:350:104 or approximately as 1:0.64:0.19 (the costs of lint and oil are 64% and 19% of the cost of fiber), so this becomes a single equation in a single unknown.</t>
  </si>
  <si>
    <t>I hate to be nit-picky here, but I believe cotton lint is the fiber – all sites that I've looked at seem to claim that the lint is specifically that which is used for making textiles: (https://www.cotton.org/pubs/cottoncounts/fieldtofabric/cottonseed.cfm, http://www.agintheclassroom.org/TeacherResources/TerraNova/clr_cottonnews.pdf).  
In Baffes' article, 1 metric ton (1000 kgs) of seed cotton is divided as follows:
• 350 kgs lint (textile, fabric material)
• 104 kgs oil
• 546 kgs other by-products, which includes:
•293 kgs cottonmeal (mash from the seed)
•176 kgs hulls (from the seeds)
•52 kgs linters (short pieces of cellulose stuck to seed)
•26 kgs waste
Additionally, for the rest of our database, we have found the environmental attributes of each food item in its raw form (e.g. corn), and then we calculated the derivatives of this food item (corn flour, corn oil, corn syrup, etc.) in a uniform procedure.  This has included caloric ratio or a processing yield ratio (e.g. corn flour is made of only endosperm -83%- of whole corn, which slightly raises its env. attributes).  
Would it be possible for us to use the processing yield percentage here, with consideration of the environmental costs of both cotton lint and oil?  Or would you prefer that I use the Nr attributes of cotton lint from one of these articles to subtract from the cottonseed oil Nr costs?: &lt;https://www.ars.usda.gov/ARSUserFiles/60663500/Publications/Sui/2017/Sui%20et%20al_2017_JCS_21-113-121.pdf&gt;
&lt;http://cotton.okstate.edu/fertility/nitrogn-rte-recommendation-pss-2158final.pdf&gt;
I also welcome the possibility that I'm completely missing something in this process, Gidon.  If so, apologies for the tediousness – Please be very specific in what you'd like me to do as I need to be able to cite and document our process.</t>
  </si>
  <si>
    <t>OK, nice. But it changes nothing in the spirit of the calculation. So please just do the weighting as in the earlier email with the factual correction above  unless you see anything that calls that into question. I do not see any such concern.
I don't think I understand your question. The earlier email included a specific recipe, what can be more specific? What is missing? I am really sorry, but I don't understand why the earlier email does not allay your concerns and set you on your way.</t>
  </si>
  <si>
    <t>We only have environmental values for the full cost of cotton and I haven't found a paper that provides the environmental attributes of lint cotton and cotton byproducts... or specifically cottonseed oil for that matter.  So, to complete the equation you've provided, we will need to find data about the derivatives (lint and meal/byproducts) from a single plant (cotton) from all separate sources.  I'm concerned that doing this will bring in too many confounding factors. I also feel doubtful that there are sufficient articles providing land, Nr, water, and GHGE attributes of cotton byproducts if we can't even find one for cottonseed oil.
I suppose I'm also curious why cotton is different from, say, corn.  To derive corn oil from whole kernels, you provided the conversion calculation:
corn oil = corn kernels / [ether extract %DM of corn kernels]
reference: https://www.feedipedia.org/node/556
And, regarding peanuts, we did a lipid ratio where peanuts:peanut oil = ~49:100.
reference: https://fdc.nal.usda.gov/fdc-app.html#/food-details/172430/nutrients;
https://fdc.nal.usda.gov/fdc-app.html#/food-details/171410/nutrients
I'm trying to figure out how to proceed with the equation if I don't have the cotton byproduct attributes.  I might be getting too complicated here, but I'm thinking that cottonseed oil and cotton meal/byproducts are primarily composed of the cotton seed.  Therefore, we could make the equation:
fullCost = lintCosts*0.546 + seedCosts*0.454
seedCosts = [fullCost - lintCosts*0.546]/0.454
Then, would it be sufficient for me to use the same reference for cottonseeds as we did for corn oil (https://www.feedipedia.org/node/742):
cottonseed oil environmental attributes = cotton seeds / [ether extract %DM of cotton seed env. att.]</t>
  </si>
  <si>
    <t xml:space="preserve">Hi Marie, my equation DOES let you do what you want. I may have skipped over a step that I thought just followed, but let me try here  to make it totally clear to you. So. I wrote the that the individual costs are mutually related as
546:350:104.
From this, it follows that
1. fiberCost = 0.546*fullCost
2.   lintCost = 0.350*fullCost
2.    oilCost = 0.104*fullCost
This is not different from the corn procedure except insofar that this has a richer partition, which we treat the same way.
This way the full cost of cotton is borne mostly by the textile product, a bit less by lint production, and only a bit bit by oil.
Clear? </t>
  </si>
  <si>
    <t>Thank you, Gidon.  Yes, now this is clear.  
Treating cottonseed oil as a byproduct of cotton, I will derive the cottonseed oil environmental attributes as 10.4% of the full costs of cotton.</t>
  </si>
  <si>
    <t>Cranberries cranberry
   - juice
   - dried</t>
  </si>
  <si>
    <t>Cohort row 218</t>
  </si>
  <si>
    <t>DECIDE</t>
  </si>
  <si>
    <t>4/19: And I'll either find these values or substitute the environmental attributes of another food item for: Cranberries</t>
  </si>
  <si>
    <t>4/21: likely exist someplace in the lit.;</t>
  </si>
  <si>
    <t>4/24: Great, I'll take a look as soon as I can. And I'll certainly consult with you about my findings.</t>
  </si>
  <si>
    <t>(Stacy Blondin's research):
GHGE: 1.418 CO2/kg (Heller et al. 2018)
Green: 91 m3 ton−1  (Mekonnen and Hoekstra 2011)
Blue: 108 m3 ton−1  (Mekonnen and Hoekstra 2011)
Grey: 77 m3 ton−1  (Mekonnen and Hoekstra 2011)
Land: My understanding is that cranberries grow in bogs: "Cranberries are a unique fruit. They can grow and survive only under a very special combination of factors. These factors include acid peat soil, an adequate fresh water supply, and a growing season that extends from April to November. Cranberries grow on low-lying vines in beds layered with sand, peat, gravel and clay. These beds are commonly known as bogs or marshes and were originally created by glacial deposits. Commercial bogs use a system of wetlands, uplands, ditches, flumes, ponds and other water bodies that provide a natural habitat for a variety of plant and animal life."</t>
  </si>
  <si>
    <t>For these last 5 food items, here are the values we've found so far.  We are still missing the many of the values for land use and Nr needs.  Would you support the method of substituting the LU and Nr values of similar food items in our database (with comparable GHGE and water values) for each of these food items?::GHGE: 1.418 CO2/kg (Heller et al. 2018)
WATER:
Green: 91 m3 ton−1  (Mekonnen and Hoekstra 2011)
Blue: 108 m3 ton−1  (Mekonnen and Hoekstra 2011)
Grey: 77 m3 ton−1  (Mekonnen and Hoekstra 2011)
LAND USE: My understanding is that cranberries grow in bogs: "Cranberries are a unique fruit. They can grow and survive only under a very special combination of factors. These factors include acid peat soil, an adequate fresh water supply, and a growing season that extends from April to November. Cranberries grow on low-lying vines in beds layered with sand, peat, gravel and clay. These beds are commonly known as bogs or marshes and were originally created by glacial deposits. Commercial bogs use a system of wetlands, uplands, ditches, flumes, ponds and other water bodies that provide a natural habitat for a variety of plant and animal life." So, would this be a land use value of 0?</t>
  </si>
  <si>
    <t>No, not at all. You look at the bogs aorund the cape code canal. They definitely use land. Maybe take the 14000 acres here (https://www.cranberries.org/how-cranberries-grow) and find out the mean production in MA, divide, and get kg cranberry/acre?</t>
  </si>
  <si>
    <t>Great, thank you for this guidance!  
I just found this article &lt;https://scholarworks.umass.edu/cgi/viewcontent.cgi?article=1000&amp;context=cranberry_prod_guide&gt; that says, "Earnings from the 2007 harvest were valued at ca. 64.6 million dollars for 1.49 million barrels (one barrel =100 pounds of fruit) produced from 13,700 acres."  Therefore, 1,490,000 barrels x 100lb/barrel x 1g/0.00220462lb = 67585343505.91g cranberries.  And, 13700acres x 4046.86m^2/1acre = 55441982m^2.  So, the LAND USE of cranberries = 55441982m^2/67585343505.91g = 0.0008203255191734 m^2/g
Regarding Nr, this article includes Table 2: So, if 20-60lbN/acre are applied -  or perhaps the median, 40lbN/acre - and 13700acres yield 67585343505.91g cranberries, then 40lbN/acre* 1g/0.00220462lb * 13700acre/67585343505.91g = 0.003678gN/gCranberry.   Can we use this value in our database?</t>
  </si>
  <si>
    <t xml:space="preserve">This is fine, no bug that I can tell
Re: Nr: Again, this sounds good to me, and I see no bug, yes! </t>
  </si>
  <si>
    <t>I may have found the culprit for our high cranberry juice figures!  What we were looking at were the values for cranberry juice concentrate, rather than the normal juice version that is likely referred to in our database.  Ocean Spray (the recipe used by NHS) doesn't provide a conversion from concentrate to juice, so I used Santa Cruz Organic's recipe (https://www.santacruzorganic.com/products/100-juices/cranberry-concentrate).  This suggests we cut down the cranberry juice calculations to a quarter of their value.  I provide my new calculations in the Revised Additional Calculations sheet.
Additionally, I checked out Heller's database (attached) which provides an even lower value for cranberry juice GHGE (1.728kgCO2/kg vs 6.594kgCO2/kg).  Specific methods for deriving their value isn't provided, but the methods provided in their paper (also attached) seem more sound than MH11's value fraction method.
Throughout our database, we have prioritized OUR conversion calculations over Heller's values.  For example, we calculated all the environmental attributes for dried fruits as a caloric ratio from their fresh fruit counterparts (e.g. apple to dried apple) using the USDA's FoodData Central database.  If I were to prioritize Heller's values in this instance, this is a deviation from our general practice that may need to be articulated.
Let me know what you'd prefer, and I will gladly update the values in our database.
Article: Heller, M. C., Willits-Smith, A., Meyer, R., Keoleian, G. A., &amp; Rose, D. (2018). Greenhouse gas emissions and energy use associated with production of individual self-selected US diets. Environmental Research Letters, 13(4), 044004.</t>
  </si>
  <si>
    <t>first, fantastic detective work, I am most impressed, that is just what I had in mind. Marie, we should definitely not switch all of a sudden willi nilli to Heller. No way.
I think I understand the issue. Somebody correct me here if I am wrong, I never drank or examined cranberry juice, but most commercial cranberry juice is an extremely distant relative of cranberries, being instead far closer to corn in that most added mass to water is corn syrup for sweetness, while very little cranberry juice is enough to color this fluid to desired redness. If I am correct here, then this would explain the very significant x3.5 difference.
Marie, if all of this makes sense, then we need to do the following:
1. Check the sugar content of the juice, and assume as much corn syrup per unit volume as is needed to get this sweetness.
2. Consult a nutritional label that actually states percent juice, and add that.
Then, I wouldn't be surprised if we get a value a mere stone's throw away from Heller's.
Let's try!</t>
  </si>
  <si>
    <r>
      <rPr>
        <sz val="10"/>
        <rFont val="Arial"/>
      </rPr>
      <t xml:space="preserve">The NHS recipe in our database already considers additives for cranberry juice cocktail.  
The recipe I'm working with is for OceanSpray Cranberry Juice Cocktail, which includes:
63% Water
27% Unsweetened Cranberry Juice
7%  Sugar
3% Corn Syrup
...restricting water, this looks like:
73% Unsweetened Cranberry Juice
19% Sugar
8% Corn Syrup
​OceanSpray Cranberry juice Cocktail makes up 52% of the recipe for "Other Fruit Juice" (othjf11d), which additionally includes Pineapple Juice (10%), Grape Juice (25%), and Pomegranate Juice (13%).
Hopefully this provides some context.  Since I already have sugar and corn syrup values contributing to this recipe for Ocean Spray Cranberry Juice cocktail, all I'm needing is the values for unsweetened cranberry juice.  I have converted these values from cranberry juice concentrate to those attributable to unsweetened cranberry juice:
</t>
    </r>
    <r>
      <rPr>
        <b/>
        <sz val="10"/>
        <rFont val="Arial"/>
      </rPr>
      <t xml:space="preserve">CRANBERRY Researched                     Yield   Reconstituted Conversion  land needs     Nr needs  Water needs     GHGE
</t>
    </r>
    <r>
      <rPr>
        <b/>
        <u/>
        <sz val="10"/>
        <rFont val="Arial"/>
      </rPr>
      <t>JUICE</t>
    </r>
    <r>
      <rPr>
        <b/>
        <sz val="10"/>
        <rFont val="Arial"/>
      </rPr>
      <t xml:space="preserve">             </t>
    </r>
    <r>
      <rPr>
        <b/>
        <u/>
        <sz val="10"/>
        <rFont val="Arial"/>
      </rPr>
      <t>conversion</t>
    </r>
    <r>
      <rPr>
        <b/>
        <sz val="10"/>
        <rFont val="Arial"/>
      </rPr>
      <t xml:space="preserve">  </t>
    </r>
    <r>
      <rPr>
        <b/>
        <u/>
        <sz val="10"/>
        <rFont val="Arial"/>
      </rPr>
      <t>calculation</t>
    </r>
    <r>
      <rPr>
        <b/>
        <sz val="10"/>
        <rFont val="Arial"/>
      </rPr>
      <t xml:space="preserve">  </t>
    </r>
    <r>
      <rPr>
        <b/>
        <u/>
        <sz val="10"/>
        <rFont val="Arial"/>
      </rPr>
      <t>gmwt</t>
    </r>
    <r>
      <rPr>
        <b/>
        <sz val="10"/>
        <rFont val="Arial"/>
      </rPr>
      <t xml:space="preserve">        </t>
    </r>
    <r>
      <rPr>
        <b/>
        <u/>
        <sz val="10"/>
        <rFont val="Arial"/>
      </rPr>
      <t>(oz)</t>
    </r>
    <r>
      <rPr>
        <b/>
        <sz val="10"/>
        <rFont val="Arial"/>
      </rPr>
      <t xml:space="preserve">            </t>
    </r>
    <r>
      <rPr>
        <b/>
        <u/>
        <sz val="10"/>
        <rFont val="Arial"/>
      </rPr>
      <t>Calculation</t>
    </r>
    <r>
      <rPr>
        <b/>
        <sz val="10"/>
        <rFont val="Arial"/>
      </rPr>
      <t xml:space="preserve">      </t>
    </r>
    <r>
      <rPr>
        <b/>
        <u/>
        <sz val="10"/>
        <rFont val="Arial"/>
      </rPr>
      <t>(m2-yr/1g)</t>
    </r>
    <r>
      <rPr>
        <b/>
        <sz val="10"/>
        <rFont val="Arial"/>
      </rPr>
      <t xml:space="preserve">       </t>
    </r>
    <r>
      <rPr>
        <b/>
        <u/>
        <sz val="10"/>
        <rFont val="Arial"/>
      </rPr>
      <t>(gNr/1g)</t>
    </r>
    <r>
      <rPr>
        <b/>
        <sz val="10"/>
        <rFont val="Arial"/>
      </rPr>
      <t xml:space="preserve">     </t>
    </r>
    <r>
      <rPr>
        <b/>
        <u/>
        <sz val="10"/>
        <rFont val="Arial"/>
      </rPr>
      <t>(m^3/1g)</t>
    </r>
    <r>
      <rPr>
        <b/>
        <sz val="10"/>
        <rFont val="Arial"/>
      </rPr>
      <t xml:space="preserve">     </t>
    </r>
    <r>
      <rPr>
        <b/>
        <u/>
        <sz val="10"/>
        <rFont val="Arial"/>
      </rPr>
      <t>(kgCO2/1g)</t>
    </r>
    <r>
      <rPr>
        <u/>
        <sz val="10"/>
        <rFont val="Arial"/>
      </rPr>
      <t xml:space="preserve"> </t>
    </r>
    <r>
      <rPr>
        <sz val="10"/>
        <rFont val="Arial"/>
      </rPr>
      <t xml:space="preserve">       
Cranberries        1.66          *100/.0022  75296.39                                              0.000820326 0.00367785  0.000108        0.001418       
Cranberry Juice 
Concentrate        1               *4048            4048            8           18.60088656    0.015258789 0.06841131  0.0020089    0.026376057        
Cranberry Juice                                                            32          0.25                  0.003814697 0.01710283  0.0005022   0.006594014        
Heller GHGE:                                                                                                                                                                         0.001728
When you confirm this value for cranberry juice, I will input them into the database and confirm with Daniel.
-------------------
Additionally, now that I'm diving into cranberries, I'm realizing that my dried cranberries value is skewed because the USDA database's values for dried cranberries includes added sugar.
Gidon, what do you recommend in place of caloric ratio for raw to dried cranberries?  Would water content in the USDA database be a reasonable variable to compare?  Or perhaps fiber content per 100g?
Cranberries, raw: </t>
    </r>
    <r>
      <rPr>
        <u/>
        <sz val="10"/>
        <color rgb="FF1155CC"/>
        <rFont val="Arial"/>
      </rPr>
      <t>https://fdc.nal.usda.gov/fdc-app.html#/food-details/1102706/nutrients</t>
    </r>
    <r>
      <rPr>
        <sz val="10"/>
        <rFont val="Arial"/>
      </rPr>
      <t xml:space="preserve">
Cranberries, dried: </t>
    </r>
    <r>
      <rPr>
        <u/>
        <sz val="10"/>
        <color rgb="FF1155CC"/>
        <rFont val="Arial"/>
      </rPr>
      <t>https://fdc.nal.usda.gov/fdc-app.html#/food-details/1102630/nutrients</t>
    </r>
  </si>
  <si>
    <t>I do think the fiber content would b the way to EXCEPT if they heard of the strainer... Insoluble fiber will b caught by a fine enough sieve 
But I think they DO strain 
A recipe will b best, if we can find one that will b the most revealing
I’m not home now, but will look into this more later</t>
  </si>
  <si>
    <t>While this isn't a highly reputable source, this article affirms my understanding of how dried cranberries are made: https://www.cranberryinstitute.org/sites/default/files/files/document/how-dried-cranberries-are-made.pdf
sorted and washed
frozen
sliced
sweetened
dried
At what stage might they be strained?
With your direction I'll add the final values.</t>
  </si>
  <si>
    <t>For a final tie up to the database with this rather insignificant food item, I just wanted to loop back around.
Converting Cranberry env. attributes to dried cranberries with fiber content, I took a look at the USDA database:
Cranberries, raw: https://fdc.nal.usda.gov/fdc-app.html#/food-details/1102706/nutrients
= 3.6g fiber/ 100g raw cranberries
Cranberries, dried: https://fdc.nal.usda.gov/fdc-app.html#/food-details/1102630/nutrients
= 5.3g fiber/100g dried cranberries
So our final values for dried cranberries look like this:
        Fiber ratio   Convert    LU                        Nr                 H2O                 GHGE 
          (g/100g)                 (m2-yr/1g)          (gNr/1g).         (m^3/1g).          (kgCO2/1g)
Cran      3.6                         0.4             0.0036778523     0.000108            0.001418
Dried      5.3       1.4722     0.589              0.0054146       0.000159            0.0020876
Gidon, do you confirm these values?</t>
  </si>
  <si>
    <t>Hi all, this is perfect, but it doesn't get us all the way to juice, right? It allows us to convert from dried to fresh cranberries, but we still need to go from either to juice, no? Seems to me we now need to carry out that last transformation. Marie - am I missing something? If not, we will then do that final trick.</t>
  </si>
  <si>
    <t>We don't need this calculation to get us to juice.  We've already done that.  We only need values for dried cranberries, as our previous calculations used a caloric ratio from raw cranberries to dried cranberries sweetened with sugar.  I too think the fiber ratio is perfect.  I'll record these changes and notify Daniel.</t>
  </si>
  <si>
    <t>Cream, whipped</t>
  </si>
  <si>
    <t>0.88*fluid cream</t>
  </si>
  <si>
    <t>3/13: To calculate "whipped cream, pressurized" from "cream, fluid", would you recommend scaling by the caloric ratio of whipped cream to fluid cream? (e.g.: based on nutritiondata.self.com, (whipped cream)/(fluid cream) = (154cal/60g)/(350cal/120g) = 0.88, so whipped cream = 0.88*fluid cream)</t>
  </si>
  <si>
    <t>3/15: yes, that is OK, disregarding the CO2 or compressed air added makes this good</t>
  </si>
  <si>
    <t>Dairy Calculations</t>
  </si>
  <si>
    <t>INPUT, then share with Akshay?</t>
  </si>
  <si>
    <t xml:space="preserve"> 3/13: On the "Additional Calculations" sheet of our aggregated dataset, I have written out the calculations needed to find the various dairy food items, as well as some fruit products &lt;https://docs.google.com/spreadsheets/d/1lO1x9I6EjmGt_BwrKnWoc3WBTpN-Njdj49zAu2-26qA/edit#gid=1770045826&gt;.  In the dairy section, some of our calculations don't quite align with Akshay's, but we are using his formula, "Scaled using liquid milk equivalent of whole milk. To find the liquid milk equivalent, use http://ageconsearch.umn.edu/bitstream/154304/2/sb616.pdf - page 12 - take total milk solids of target item and divide by total milk solids of whole milk".  Please take a look and let me know if you'd like me to adjust any calculations.</t>
  </si>
  <si>
    <t>3/15: I looked at it, and it is a good start. At the same time, there is an issue: fat is not included in solids, see the nearly identical values of 1, 2 and 3.2 percent milk. So it may be nice to do the same using the caloric rather than milk solids basis and see how different the results are. If they significantly are, the mean of both methods will be better, because of the diversity of uses, some following better the milk solids or caloric ratios.</t>
  </si>
  <si>
    <t xml:space="preserve">4/19: At the top of the "Additional Calculations" sheet of the Cohort FFQ food constituents database &lt;here&gt; are the calculations for cow dairy.  Per your advice, I have calculated the average of the caloric ratio and the total solids of all dairy. </t>
  </si>
  <si>
    <t>4/21: ​I think it's OK, but: Note that columns F and G are the same. That's a bug, which propagates eastward as you go along (eg cols O and P)​; ------b. Many of those items requires some subjective judgment: E.g., if we treat whey as having x environmental costs, then should milk get a discount? In LCA work this is customary but painfully ad hoc. Same with skim milk and butter, two sides of the same coin. In the case of whey, this has another dimension, calf and veal fattening, for which whey is a PRIME substance. It would be a can of worms, so better first establish the need for it: So are4 those items prominent in the diets recorded? How prominent. This will guide us as to how deeply we wish to delve into this shady accounting we want to go, which gives the Trump organization accounting a good name.</t>
  </si>
  <si>
    <t>4/24: Cells F3 and G3 were taken from Akshay's document (row 3) and subsequent dairy items below it were deduced from these 4 environmental attributes of whole milk. Though there is a bug between Water Use and GHGEs, Akshay's works cited references &lt;http://www.foodemissions.com/foodemissions/Calculator.aspx&gt; for the GHGE of whole milk.  Please guide me in your selections from this food emissions calculator, to get an accurate value: e.g. Step 1: Dairy; Step 2: Milk, whole, raw; Step 3: ?...Step 4? Step 5?;      b. It seems to me that dairy is quite prominent in some diets (like the mean American diet) whereas consumption is lower in the American Healthy Eating Index.  Meir and Ambika would certainly be able to share more on this matter.  I am seeking to understand why whey should have a greater environmental impact than whole milk - is it because of the additional processing that would be required to generate this byproduct?  And therefore, the difference in environmental attributes would be recorded in GHGEs?</t>
  </si>
  <si>
    <t>4/27: From our work, dairy values are: 10.03 m2-yr/Mcal 196.61 liter water/Mcal 1.85 kg CO2eq/Mcal 29.49 g Nr/Mcal these values apply to whole milk. To get those in per g units, note that whole milk is60 kcal/100 g, so, e.g., 10.03 m2-yr/Mcal = 10.03e-3 m2-yr/kcal = 1.003e-2 m2-y/kcal * 60 kcal/100 g = 0.6018 m2-y/100 g ; So, ​even the great Akshay can make a mistake. You should email him with this and alert him, so he fixes it in his sheets. Not sure what you are asking in steps 3-5. Can you clarify?;                    b. ​It will have lower costs than milk, but nonzero. That is, despite being a byproduct, some of the costs of producing milk are attributed to whey, and those amounts are credited (deducted) from milk's costs.​</t>
  </si>
  <si>
    <t>5/4: Those "steps" were a part of the food emissions calculator, of which Akshay referenced in his database, and I included in the link above.  However, now that you've provided me with your dairy values, I think we can disregard this link altogether!  Based on your example above, I've calculated these environmental attributes into the units needed for our database.  Please confirm accuracy:
                            Land Use                 Water use                  GHGEs                           Nr
Gidon's values    10.03 m2yr/Mcal      196.61 L/Mcal            1.85 kgCO2eq/Mcal        29.49 gNr/Mcal
Converted  units  0.6018 m2yr/100g    0.0117966 m^3/100g 0.111 kgCO2eq/100g    1.7694 gNr/100g;                                   I will use your water values in place of the Mekonnen and Hoekstra values, which are broadly used for most of our database. In their 2012 paper and their 2010 paper , they estimate the global blue waterfootprint of milk (not specified as whole milk) at 86m^3/ton = 0.009479866m^3/100g.;                                                                                                                                b. I will leave this decision up to you because you have most experience regarding the variables involved in the many dairy products.  Please see my revised calculations for dairy using your values - https://docs.google.com/spreadsheets/d/1lO1x9I6EjmGt_BwrKnWoc3WBTpN-Njdj49zAu2-26qA/edit#gid=1770045826 - Columns AD-AJ, Rows 1-15.  Per your earlier advice, I have calculated the average of the caloric ratio and the total solids ratio of all dairy.  I'm happy to share these values with Akshay once we get them figured out.</t>
  </si>
  <si>
    <t>5/4: Yes, this is correct;                        b. ​I checked it, and it is correct, no bug. A few pieces of advice:
​1. your use of $ is inconsistent. You do not have bugs, but your inconsistent use of $ raises the POSSIBILITY of having a bug later when things change, as they inevitably do all the time.
2. The table are very cumbersome and inelegant, aesthetically speaking. One way to improve is to display only 2 significant digits. This is not only more elegant, w barely know these things to the first significant digit, let alone the 27th... But the substance is impeccable here now.</t>
  </si>
  <si>
    <t>1. In your PNAS paper, are the water needs for whole milk accounting for only blue water needs?  If so, can you provide the green and grey water needs as well?  We are currently attempting to include all three water attributes in our shared database.
2. To determine the environmental attributes of cheddar, skim milk cheese, and mozzarella in the same way we determined the other dairy products, we need to compare the milk solids of these milk products with that of whole milk. However, the database used for all the other milk products &lt;http://ageconsearch.umn.edu/bitstream/154304/2/sb616.pdf&gt;, page 12, does not include the total solids for these milk products.  Do you have any recommendations for finding comparable the milk solids for these cheeses, that will maintain consistency throughout the database?</t>
  </si>
  <si>
    <t>Re water - I only do blue. The green bit makes a good amount of sense in a hydrological sense, but for practical food accounting does not, or is highly questionable. So it, and its grey sibling, are both excluded. Only blue.
Re the cheeses, let's examine cheddar, with 400 kcal, 33 g fat and 25 g protein per 100 g compared with whole milk's 60 kcal, 3 g, and 3 g, respectively.
Ratios:
kcal: 6.7
fat: 11
protein: 8.3
We thus see that it is fat-enriched, sugar-depleted (which we infer from the relatively low kcal ratio). Protein is thus the ingredient best reflecting the milk-to-cheddar transformation.  It thus takes about 8 kg of whole milk to produce a kg of cheddar. The environmental costs of cheddar should thus be 8x those of whole milk.
As a check, https://www.ncbi.nlm.nih.gov/pubmed/17235137 suggests cheese:milk ratio in the range 6.8%-to-9.8%, a bit lower than the 12% (100/8) the above suggests. I think this inconsistency is well within the uncertainty (3 percentage points) and is thus acceptable and defensible.</t>
  </si>
  <si>
    <t>Dairy values for water: 
--Just to confirm, I will use your water values in place of the Mekonnen and Hoekstra studies, which are used for the rest of our database. Mekonnen and Hoekstra estimates the global blue water footprint of milk (not specified as whole milk) at 86m^3/ton = 0.009479866m^3/100g ; 
--this compares to your calculations of 196.61L/Mcal = 0.19661L/kcal * 60kcal/100g = 11.7966L/100g = 0.0117966m^3/100g.
--Reference: Mekonnen Hoekstra 2012: &lt;http://waterfootprint.org/media/downloads/Mekonnen-Hoekstra-2012-WaterFootprintFarmAnimalProducts.pdf&gt; 
--Reference: Mekonnen Hoekstra 2010:&lt;http://waterfootprint.org/media/downloads/Report-48-WaterFootprint-AnimalProducts-Vol1.pdf&gt;</t>
  </si>
  <si>
    <t>--No, 86m^3/ton = 86e-4 m3/100g (there are 1e4 100 gs in a metric ton)
--OK, so it compares favorably because 0.0086 is close to 0.012</t>
  </si>
  <si>
    <t>I've derived skim milk cheese and mozzarella cheese in the same way you guided me in converting whole milk to cheddar cheese in your previous email.
                       Whole            Cheddar           Skim milk cheese  Mozzarella
Energy            60                  400                   138                        300
Fat                   3.3                  33                       7.9                       22.4
Protein             3.2                  25                     11.4                       22.2
Energy ratio                            6.666666667      2.3                         5
Fat Ratio                               10                         2.393939394         6.787878788
Protein ratio                            7.8125                3.5625                   6.9375
Just as cheddar's conversion ratio = protein ratio ≈ 8x, Skim milk cheese's conversion ratio = 3.5x; Mozzarella cheese's conversion ratio = 7x. Please confirm these conversion ratios or let me know how I should determine the environmental attributes of these food items for our database.</t>
  </si>
  <si>
    <t>again, I find this approach defensible and consistent with earlier results. But I am sure there are other, finer ways of doing this. The way we did it is the way I would still be doing it right now. So I'd say this is OK, defensible, yes.</t>
  </si>
  <si>
    <t>Decaf Tea</t>
  </si>
  <si>
    <t>For the applications of our database, do you confirm that the environmental attributes for tea and decaf tea are the same?</t>
  </si>
  <si>
    <t xml:space="preserve">yes, this is hair splitting minutia </t>
  </si>
  <si>
    <r>
      <rPr>
        <sz val="10"/>
        <rFont val="Arial"/>
      </rPr>
      <t xml:space="preserve">Also, I dug a little deeper into tea and coffee because Walter had brought up their high environmental attributes in a meeting.
TEA:
Akshay's calculations for tea did not take into account that a cup of tea is made using a small fraction of its weight in tea leaves (Teatulia says 2g/1cup tea https://www.teatulia.com/tea-101/how-to-measure-loose-leaf-tea-for-brewing.htm).  This digging led me to investigate the sources cited in his database and I found that some didn't reference tea specifically.  So I did a bit of research and took averages from the information in these sources:  
Import countries: Kennedy, E. (2017). Trends in US Tea Imports: 1991-2015. Found at https://scholarworks.wmich.edu/cgi/viewcontent.cgi?article=3888&amp;context=honors_theses
Land use:            NBSC (2019). China Statistical Yearbook, annual publication, National Bureau of Statistics of China. Retrieved from http://www.stats.gov. cn/tjsj/ndsj/2017/indexch.htm
Land use:            Han, W. Y., Huang, J. G., Li, X., Li, Z. X., Ahammed, G. J., Yan, P., &amp; Stepp, J. R. (2017). Altitudinal effects on the quality of green tea in east China: a climate change perspective. European Food Research and Technology, 243(2), 323-330.
Land use &amp; GHGE:        Doublet, G., &amp; Jungbluth, N. (2010). Life cycle assessment of drinking Darjeeling tea. Conventional and organic Darjeeling tea. ESU-services Ltd., Uster.
Land use:        Faostat, F. A. O. (2017). Crops. Food and Agriculture Organization of the United Nations. Available online at.http://www.fao.org/faostat/en/#data/QC
Nr &amp; GHGE:        Xu, Qiang (2019). "Carbon footprint and primary energy demand of organic tea in China using a life cycle assessment approach". Journal of Cleaner Production. 233, pp. 782-792.
Nr &amp; GHGE:        Cichorowski, G., Joa, B., Hottenroth, H., &amp; Schmidt, M. (2015). Scenario analysis of life cycle greenhouse gas emissions of Darjeeling tea. The International Journal of Life Cycle Assessment, 20(4), 426-439.
GHGE:        Xu, Qiang (2019). "Carbon footprint and primary energy demand of organic tea in China using a life cycle assessment approach". Journal of Cleaner Production. 233, pp. 782-792.
Water:        Mekonnen, M. M., &amp; Hoekstra, A. Y. (2011). "Green and black tea." The green, blue and grey water footprint of crops and derived crop products.
Conversion Ratio:        Teatulia (2018). "How to Measure Loose Leaf Tea for Brewing." Available at </t>
    </r>
    <r>
      <rPr>
        <u/>
        <sz val="10"/>
        <color rgb="FF1155CC"/>
        <rFont val="Arial"/>
      </rPr>
      <t>https://www.teatulia.com/tea-101/how-to-measure-loose-leaf-tea-for-brewing.htm</t>
    </r>
    <r>
      <rPr>
        <sz val="10"/>
        <rFont val="Arial"/>
      </rPr>
      <t>; "Beverages, tea, black, brewed, prepared with tap water." Calculate weight of generic and branded foods per volume. https://www.aqua-calc.com/calculate/food-volume-to-weight
https://www.aqua-calc.com/calculate/food-volume-to-weight says that 1 cup (8oz) of tea = 237g. Therefore, I multiplied all environmental attributes of tea leaves by 2g/237g (since it takes 2g leaves to make 237g tea).
TEA &amp; DECAF TEA   Conversion Ratio Land(/1g)                Nr (/1g)               Blue(/1g)              GHGE(/1g)
of 1g Tea leaves:                                   0.006615944426     0.1814258333     0.000898     0.004298701299
of 1g of a cup of Tea:0.008438818565  0.00005583075465 0.001531019691 0.000007578059072        0.00003627596033
Please let me know if you confirm these values, or provide guidance otherwise.</t>
    </r>
  </si>
  <si>
    <t>Nice castch. If we didn't do it earlier, than obviously we must now. Yes, a cup of tea has burdens associated with the 2 g of tea leaves, not with all the water used to brew it. Absolutely, so what you did is correct, and this will likely resolve the spurious result in the current paper Aviva is spearheading. Nice!</t>
  </si>
  <si>
    <t>"derived products" in M&amp;H database</t>
  </si>
  <si>
    <t>Diet soda, with and without caffeine</t>
  </si>
  <si>
    <t>Environmental rows 1016 and 1017; Cohort row 223</t>
  </si>
  <si>
    <t>12/12: do we assume this equals splenda or water, which do not have any environmental values?</t>
  </si>
  <si>
    <t>4/19: And I'll either find these values or substitute the environmental attributes of another food item for: Diet Soda</t>
  </si>
  <si>
    <t>4/21: I really do not know...Re diet soda, I'd imagine given the intense scrutiny these are rightfully enduing, this info exists someplace.</t>
  </si>
  <si>
    <t>4/24: That's great.  It will be interesting to find this information.</t>
  </si>
  <si>
    <t>We were not able to find any research regarding the LCAs of Diet Soda.  The environmental impact of Splenda and other alternative sweeteners is "0" in Akshay's dataset.  Additionally, the summary of The environmental impact of the consumption of sweets, crisps and soft drinks(2011), by Nilsson, describes limited climate impact of soft drinks, while there is greater GHGE in packaging.  Since our environmental dataset does not measure the GHGE impact of packaging in other food items, would you approve of attributing "0" environmental impacts to Diet Soda?</t>
  </si>
  <si>
    <t>That is certainly a possibility. though I'd say it's prob. better to assume w g of HFCS in a can, and apply the environmental costs of it, times the  w above, to get SOME (VERY slight) environmental costd of diet soda.</t>
  </si>
  <si>
    <t>Your advice to “better to assume w g of HFCS in a can, and apply the environmental costs of it, times the  w above”, seems to imply that I use the same value for diet soda as we had for regular soda.  For regular soda, we are using Akshay’s calculation of “44/(environmental values for HFCS)” &lt;https://docs.google.com/spreadsheets/d/1BbCL2gri47aPSb-v94zeByl8WBLT57MgapxjyGb_fLA/edit#gid=145887711&gt;.  I will use these same values for diet soda unless you recommend otherwise.</t>
  </si>
  <si>
    <t xml:space="preserve">wait, DIET soda has no HFCS, isn't that so? In that case my advice is bad! It's not HFCS but whatever it is that makes DIET soda sweet. If we know THESE environmental cost,s then what I said is OK, except replace HFCS my original comment with the correct sweetener. </t>
  </si>
  <si>
    <t>Right, diet soda does not use HFCS.  The environmental impact of Splenda and other alternative sweeteners is "0" in Akshay's dataset.  In an email in December, I confirmed with you that we will carry this decision into the Cohort FFQ food constituent database.  Additionally, the summary of "The environmental impact of the consumption of sweets, crisps and soft drinks(2011)", by Nilsson (shared in an earlier email), describes limited climate impact of soft drinks, while there is greater GHGE in packaging.  Since our environmental dataset does not measure the GHGE impact of packaging in other food items, would you approve of attributing "0" environmental impacts to Diet Soda?</t>
  </si>
  <si>
    <t xml:space="preserve">Very good, that makes sense! </t>
  </si>
  <si>
    <t>FFQ item "mixed dried fruit" row 1553</t>
  </si>
  <si>
    <t>CALCULATED</t>
  </si>
  <si>
    <t>12/12: As for dried apple, dried pear, dried apricot - composing mixed dried fruit (row 1553); We used the NHS nutrient data to compare the calories per 100g of each of these fruit;  This comparison gave us the raw:dry ratios of approx. 1:4.67 (apple), 1:5.17 (pear), and 1:5.02 (apricot).  You have the environmental attributes for these three fruits in their raw form. Can we multiply your raw values according to these ratios in order to determine the dried fruit environmental attributes?</t>
  </si>
  <si>
    <t>12/18: yes. To get the multiplicative factor, use caloric difference in the raw vs. the dried fruit, and scale other nutsi attributes by these ratios. For example, if raw apple has xr kcal/100g, and dried apples have xd kcal/100g, then the environmental costs of dried apple are those of fresh (raw) apples) times xr/xd</t>
  </si>
  <si>
    <t>eggs, egg beaters, egg yolks, &amp; egg whites</t>
  </si>
  <si>
    <t>equals egg</t>
  </si>
  <si>
    <t>3/13: Can we assume the same environmental attributes for eggs, egg beaters, egg yolks, &amp; egg whites?</t>
  </si>
  <si>
    <t xml:space="preserve">3/15: Same: yes, knowing that it is not 100% kosher. </t>
  </si>
  <si>
    <t>Flax</t>
  </si>
  <si>
    <t>Cohort row 1608</t>
  </si>
  <si>
    <t>4/19: And I'll either find these values or substitute the environmental attributes of another food item for: Flax</t>
  </si>
  <si>
    <t>4/21: I really do not know</t>
  </si>
  <si>
    <t>(Stacy Blondin's research):
(fiber and tow):
GHGE: 0.393 CO2/kg (Heller et al. 2018)
Green: 91 m3 ton−1  (Mekonnen and Hoekstra 2011)
Blue: 108 m3 ton−1  (Mekonnen and Hoekstra 2011)
Grey: 77 m3 ton−1  (Mekonnen and Hoekstra 2011)</t>
  </si>
  <si>
    <t>For these last 5 food items, here are the values we've found so far.  We are still missing the many of the values for land use and Nr needs.  Would you support the method of substituting the LU and Nr values of similar food items in our database (with comparable GHGE and water values) for each of these food items?::
FLAX (fiber and tow):
GHGE: 0.393 CO2/kg (Heller et al. 2018)
WATER:
Green: 91 m3 ton−1  (Mekonnen and Hoekstra 2011)
Blue: 108 m3 ton−1  (Mekonnen and Hoekstra 2011)
Grey: 77 m3 ton−1  (Mekonnen and Hoekstra 2011)</t>
  </si>
  <si>
    <t>We are still missing the values for land use and Nr needs.  Would you support the method of substituting the LU and Nr values of similar food items in our database (with comparable GHGE and water values) for each of these food items?  For example:
              Land Use (m2/g)       NR (gNr/g)           Water Needs (m^3/g)      GHG (kgCO2/g)
Flax:          ?                                   ?                    0.000108                         0.000393
Wheat:    0.0050852                   0.0599954        0.000342                         0.00034
Oats:       0.0076594                   0.254522          0.000245                         0.00031
Beans:    0.0061711                    0.0817818        0.000125                         0.00095</t>
  </si>
  <si>
    <t>No, this criterion is not the best one. Botanical-agricultural similarity is.  In that sense, wheat is a good one.</t>
  </si>
  <si>
    <t>GHGE edible portion</t>
  </si>
  <si>
    <t>It just occurred to me that the food emissions calculator provides the GHGE values of the food products at purchase (e.g. whole grapefruit), rather than the edible portion.  Now I'm using this (pg. 5) table to adjust the env. attributes of fruits/vegetables where this wasn't already considered.  For example, the table shows that apples yield 76% edible portion, so I will divide my GHGE value of apples by .76.  Please confirm or advise otherwise.</t>
  </si>
  <si>
    <t>All values have to be on a per edible g basis, so the above is sound and warranted. We did it for the raw items from which we started, those are all per edible g. We must continue this way.</t>
  </si>
  <si>
    <t>You had instructed early on that the environmental attributes are comparable between lemons, oranges, and grapefruits.  Food emissions calculator doesn't have a GHGE value for grapefruits so I'm taking the average between lemons and oranges.  
*Also, it just occurred to me that the food emissions calculator provides the GHGE values of the food products at purchase (e.g. whole grapefruit), rather than the edible portion.  Now I'm using this (pg. 5) table to adjust the env. attributes of fruits/vegetables where this wasn't already considered.  For example, the table shows that apples yield 76% edible portion, so I will divide my GHGE value of apples by .76.  Please confirm or advise otherwise.</t>
  </si>
  <si>
    <t>Seems imperfect but defensible absent further info</t>
  </si>
  <si>
    <t>For the applications of our database, do you confirm that the environmental attributes for red seedless grapes are the same as those for green seedless grapes?</t>
  </si>
  <si>
    <t>Don't know, but reasonable and defensible unless contradictory evidence emerges</t>
  </si>
  <si>
    <t>Guar Gum</t>
  </si>
  <si>
    <t>These values were determined from this article &lt;https://www.agronomy.it/index.php/agro/article/view/ija.2014.565/621#content/figure_reference_3&gt;
Land Use = 1.99m2/100g
Nr Needs = 5.69gNr/100g
Blue Water Needs = 0.388m3/100g
GHGE = 0.563kgCO2/100g</t>
  </si>
  <si>
    <t xml:space="preserve">my goodness, you can now find the value for ANYTHING... Amazing </t>
  </si>
  <si>
    <t>Ham</t>
  </si>
  <si>
    <t>Cohort row 442</t>
  </si>
  <si>
    <t>refers to processed meats (env. row 109)</t>
  </si>
  <si>
    <t>12/12: Ham (row 442) - would the environmental attributes be equitable to pork (cell N109), or would you consider ham to be more similar to processed meats (row 109)?</t>
  </si>
  <si>
    <t>12/18: More like processed meat, as the turning of pork into ham is a rather generic process</t>
  </si>
  <si>
    <t>Regarding bologna/sausage/ham, I've done a bit more research into the composition of these items. Ham, of course, can be considered the same as pork because it is a cured leg of pig. Otherwise, our database specifically calls for "beef and pork bologna" and "pork and beef sausage". And the USDA Federal Standards of Identity require that hotdogs/sausage/bologna have no more than 30% fat (of which I'd allocate to the beef/pork), no more than 10% water, and no more than 3.5% non-meat binders and extenders. Therefore, the majority of these processed meats are derived from the beef and pork products, which leads me to allocate the recipe of 50% beef, 50% pork to both "beef and pork bologna" and "pork and beef sausage". Would you agree? If not, please provide guidance otherwise.</t>
  </si>
  <si>
    <t>Honey</t>
  </si>
  <si>
    <t>Again, there were no LCAs of honey readily available, and it is used in such small quantities that I think we can just assume that the environmental attributes are 0.  What do you think?</t>
  </si>
  <si>
    <t>Same. Forget honey, there will sadly soon be no bees, and thus no honey  😢</t>
  </si>
  <si>
    <t>instant coffee and espresso</t>
  </si>
  <si>
    <t>Environmental rows 185 &amp; 250</t>
  </si>
  <si>
    <t>same as coffee/decaf coffee</t>
  </si>
  <si>
    <t>12/12: Can we assume that instant coffee and espresso (row 1043) have the same environmental impacts as coffee/decaf coffee (rows 185 &amp; 250)</t>
  </si>
  <si>
    <t>12/18: yes, reasonable and---most importantly---too small to matter</t>
  </si>
  <si>
    <t>Juice (Fruit/Vegetable)</t>
  </si>
  <si>
    <t xml:space="preserve">Throughout the database, we calculated the fruit/veg juices via caloric ratio, per your guidance.  Some fruit/vegetable juices have higher kcal/gram ratios than their edible fruit portions (e.g. grape juice has 1.8 kcal/g compared to grapes at .69 kcal/g), which nicely leads to a very reasonable conclusion (to me) that grape juice has a higher environmental impact than grapes, considering by-products of skin and pulp (e.g. grapes:grape juice is 1:2.6).  Great.  HOWEVER, I'm just now seeing that the majority of the fruit/veg juices (i.e. carrot juice, tomato juice, lemon juice - accounting for the peel -, pomegranate juice, apple juice, prune juice) have lower kcal/gs than their raw fruit counterparts...and cranberries:cranberry juice has a 1:1 ratio.  These ratios seem to imply that 1g of fruit/veg juice is a fraction of the impact of 1g of the original fruit, which just doesn't make sense.  While this may seem small at this point, I can't help but feel that this flaw could lead to skewed results in future iterations of this database.
I dug a little just to get an idea of the database shift we'd be looking at and this is what I found:
pineapples yield about 65% juice (http://www.ticomachine.com/faq/pineapple-juice-processing.html)
lemons yield 53% juice (from their edible portion)
grapes yield about 88% juice (http://www.fao.org/3/y2515e/y2515e14.htm)
pomegranates yield about 39% juice (though I need to check to see if this includes the peel (Catania 2020)
cranberries yield about 19% juice (https://www.canr.msu.edu/productcenter/uploads/files/cranberries.pdf)
carrots yield about 67% juice (Di Giacomo 2009)
apples yield about 73% juice (Bhushan 2008)
Caloric ratio provided a uniform method of adjustment, especially because all of the caloric information came from the same site (USDA FoodData Central).  However, I think that adjusting all the attributes based on the fruit/vegetable's fruit yield may provide a more accurate accounting for the amount of fruit/veg needed to create the final product.  Please advise. </t>
  </si>
  <si>
    <t>I think you are right. So we should fix using, e.g., for apples, by dividing the burdens per g by 0.73. This times 1.4-ish will raise the costs per g of juice relative to those of raw apples, as is indeed more sensible</t>
  </si>
  <si>
    <t>I have one question regarding your Apples example.  My understanding is that I would either divide the apple values by .73 (.73g juice = 1g raw apple) OR I would multiply the values by ~1.4 (1g juice = ~1.4g raw apple).  I wouldn't include both in the conversion calculation – is that correct?  If not, can you please explain a bit more in depth how 1.4 plays an additional role in the conversion process?</t>
  </si>
  <si>
    <t>definitely only one of the two, not both, they are really one. Only divide by .73!</t>
  </si>
  <si>
    <t>One thing of concern to me: fruit juice. It is quite dominant in FIg. 1, yet it is a suite of items Marie and I definitely needed to do some heavy lifting, make some imperfect assumptions and so on. So, for our peace of mind, what do we think of the following:
1. Daniel, makes a quick list of the key items in the fruit juice category that dominate the outsized GHG footprint. 
2. Then, Marie checks those, and writes an email to all of us with the specific assumptions we made in those items, the original data, and so forth. I will then go over the calculation, and make sure it is OK. Reasonable?</t>
  </si>
  <si>
    <t>Here is the average GHG for each type of fruit juice. It looks like other juice (othjf11d) contributed the most. Looking at Marie's database, one gradient of other juice, unsweetened cranberry juice, has a high GHG value.
aj11d_ghg             0.0022403
oj11d_ghg             0.0298828
ojca11d_ghg           0.0421635
othjf11d_ghg          0.1984065
prunj11d_ghg        0.000127435</t>
  </si>
  <si>
    <t>excellent. Marie, can you isolate the calculation for these juices, so i can check them?</t>
  </si>
  <si>
    <t xml:space="preserve">     Regarding the Other Fruit Juices: My figures differ from those provided by Daniel, which perhaps reflects that I am not sure what goes into finding the average GHGE?  The figures I provided can be found in the far right column of the "NHS2-2011 FFQ + environment" sheet of the Cohort FFQ food constituents database.  I also include them here:
Apple Juice           0.0003601013
OJ                         0.0021384857
OJ w/Ca                0.0021384857
Cranberry Juice    0.0263760571
Prune Juice          0.0001650070
                             in kg CO2eq/1g
     And yes, when restricting water (which composes 32.8% of the original recipe) other fruit juice is composed of 37.9% cranberry juice, 25% grape juice, 13% pomegranate juice, 10% pineapple juice, 9.8% sugar, and 4.2% corn syrup.
     Only a fraction of a fruit is its juice.  For example, for ~7.5x10e4 grams cranberries harvested, ~4.05x10e3 g juice is produced.  So, needless to say, 1g of fruit juice has a much greater environmental cost than 1g of its fruit predecessor.
     The "Revised Additional Calculations" Sheet in the Cohort FFQ food constituents database provides all references and calculations used for finding these figures and I'm happy to answer any specific questions from there.
     I'd also recommend exploring the "Revised Assumptions" Sheet in the Cohort FFQ food constituents database to get an overview of all the ingredients lined up right next to each other.  My thoughts about the irrigation and Nr needs for vegetables is that this figure could be a bit swayed by including processed vegetables (e.g. garlic powder, tomato paste, and dried parsley).  Like fruit juice, it takes substantially more of the original vegetable to provide the same mass in dehydrated form.... For that matter, the same can be said of dried fruits, if those were included in the fruit category.</t>
  </si>
  <si>
    <t>I may have found the culprit for our high cranberry juice figures!
What we were looking at were the values for cranberry juice concentrate, rather than the normal juice version that is likely referred to in our database.  Ocean Spray (the recipe used by NHS) doesn't provide a conversion from concentrate to juice, so I used Santa Cruz Organic's recipe (https://www.santacruzorganic.com/products/100-juices/cranberry-concentrate).  This suggests we cut down the cranberry juice calculations to a quarter of their value.  I provide my new calculations in the Revised Additional Calculations sheet.
Additionally, I checked out Heller's database (attached) which provides an even lower value for cranberry juice GHGE (1.728kgCO2/kg vs 6.594kgCO2/kg).  Specific methods for deriving their value isn't provided, but the methods provided in their paper (also attached) seem more sound than MH11's value fraction method.
Throughout our database, we have prioritized OUR conversion calculations over Heller's values.  For example, we calculated all the environmental attributes for dried fruits as a caloric ratio from their fresh fruit counterparts (e.g. apple to dried apple) using the USDA's FoodData Central database.  If I were to prioritize Heller's values in this instance, this is a deviation from our general practice that may need to be articulated.
Let me know what you'd prefer, and I will gladly update the values in our database.</t>
  </si>
  <si>
    <t>first, fantastic detective work, I am most impressed, that is just what I had in mind. 
     Marie, we should definitely not switch all of a sudden willi nilli to Heller. No way.
I think I understand the issue. Somebody correct me here if I am wrong, I never drank or examined cranberry juice, but most commercial cranberry juice is an extremely distant relative of cranberries, being instead far closer to corn in that most added mass to water is corn syrup for sweetness, while very little cranberry juice is enough to color this fluid to desired redness. If I am correct here, then this would explain the very significant x3.5 difference.
Marie, if all of this makes sense, then we need to do the following:
1. Check the sugar content of the juice, and assume as much corn syrup per unit volume as is needed to get this sweetness.
2. Consult a nutritional label that actually states percent juice, and add that.
Then, I wouldn't be surprised if we get a value a mere stone's throw away from Heller's.</t>
  </si>
  <si>
    <t>The NHS recipe in our database already considers additives for cranberry juice cocktail.  The recipe I'm working with is for OceanSpray Cranberry Juice Cocktail, which includes:
63% Water
27% Unsweetened Cranberry Juice
7%  Sugar
3% Corn Syrup
...restricting water, this looks like:
73% Unsweetened Cranberry Juice
19% Sugar
8% Corn Syrup
​OceanSpray Cranberry juice Cocktail makes up 52% of the recipe for "Other Fruit Juice" (othjf11d), which additionally includes Pineapple Juice (10%), Grape Juice (25%), and Pomegranate Juice (13%).
     Hopefully this provides some context.  Since I already have sugar and corn syrup values contributing to this recipe for Ocean Spray Cranberry Juice cocktail, all I'm needing is the values for unsweetened cranberry juice.  I have converted these values from cranberry juice concentrate to those attributable to unsweetened cranberry juice:
                 conversion  calculation  Yield gmwt  Reconstitute(oz)  Conversion  LU(m2-yr/1g)  Nr(gNr/1g)  H2O(m^3/1g)  GHGH(kgCO2/1g)        
Cranberries   1.66       *100/.0022   75296.38                                                     0.00082036    0.00367785    0.000108        0.001418        
Concentrate   1            *4048           4048                 8                        18.601     0.01525879    0.06841131    0.002009        0.026376        
Cran Juice.                                                               32                        0.25        0.0038147      0.0171028      0.00050222    0.006594    
Heller:                                                                                                                                                                                       0.001728
When you confirm this value for cranberry juice, I will input them into the database and confirm with Daniel.</t>
  </si>
  <si>
    <t>Additionally, we don't have any values for kale or mustard greens.  Would you suggest that we use the average of lettuce and spinach, the average of brassicas, or take the average all of the above?</t>
  </si>
  <si>
    <t>this is a hard one, but I think assigning to those exotic greens  the values of spinach alone is the best</t>
  </si>
  <si>
    <t>Environmental row 140</t>
  </si>
  <si>
    <t>refers to navy beans, lima beans, black beans</t>
  </si>
  <si>
    <t>12/12: We will assume that navy beans (row 269), lima beans (row 327), and black beans (row 270) have the same environmental attributes as your calculation for kidney beans (row 140), unless you're able to provide their specific environmental values.</t>
  </si>
  <si>
    <t>lemon juice concentrate</t>
  </si>
  <si>
    <t>same as oj concentrate</t>
  </si>
  <si>
    <t>12/12: Lemon juice concentrate (row 1023) - can you share the water-use and GHGEs in addition to the environmental values in Gidon's MAD document (attached)?                                                       The land-use and Nr values do not seem comparable to grapefruits (row 55) or oranges (row 61), so we decided to ask for your guidance rather than develop an assumption.</t>
  </si>
  <si>
    <t>12/18: Use fresh lemons', oranges' or a similar citrus, it's not unreasonable​....yes, that is because they have very different yields, so per unit product they will differ even though agronomically they are similar.​</t>
  </si>
  <si>
    <t>lentils environmental values</t>
  </si>
  <si>
    <t>WAITING</t>
  </si>
  <si>
    <t>12/12: Lentils - can you share the water-use and GHGEs in addition to the environmental values in Gidon's MAD document (attached)?</t>
  </si>
  <si>
    <t>12/18: I don;t have it, but see http://www.wamis.org/agm/meetings/teco14/S5-Desjardins.pdf, a good source for a few items (take the average of the various provinces)</t>
  </si>
  <si>
    <t>**</t>
  </si>
  <si>
    <t>4/19: That's it thus far! For the home stretch, I still have yet to find values for: Lentils</t>
  </si>
  <si>
    <t xml:space="preserve">4/21: in our dataset, plVals.xlsx I shared with you; </t>
  </si>
  <si>
    <t>4/24: Unfortunately the Land Use and Nr values in MAD do not have corresponding Water and GHGE values in Akshay's dataset.  Would you mind sharing the plVals.xlsx dataset again so I can find these values?</t>
  </si>
  <si>
    <r>
      <rPr>
        <sz val="10"/>
        <rFont val="Arial"/>
      </rPr>
      <t xml:space="preserve">4/27: actually I just looked, and it does not contain those. Neither water nor GHG. </t>
    </r>
    <r>
      <rPr>
        <b/>
        <sz val="10"/>
        <rFont val="Arial"/>
      </rPr>
      <t>Water</t>
    </r>
    <r>
      <rPr>
        <sz val="10"/>
        <rFont val="Arial"/>
      </rPr>
      <t xml:space="preserve"> you can get from the water website​. Re GHGs, https://dspace.allegheny.edu/bitstream/handle/10456/42825/Improving%20the%20Vegetarian%20Options%20at%20Brooks%20Dining%20Hall%20to%20Promote%20Greener%20Lifestyles%20.pdf?sequence=1&amp;isAllowed=y​ says "beans and lentils = 0.31 ​ ​kg CO2eq/kg = 310 gCO2eq/kgLentils = 31 gCO2eq/100g;  In their Extended Data Table 3​, ​Tilman and Clark (attached in case you don't have it)​ say legumes are 0.02 g CO2eq-C/kcal. To convert to g CO2eq​/kcal, we multiply by 44/12 (the ratio of CO2 to C mass), so 0.073 g CO2eq/kcal. With 350 kcal/100g lentils, we then get 25.7gCO2eq/100g.; ....Clearly, those agree.</t>
    </r>
  </si>
  <si>
    <t>*Already done
5/4: water: They sure do.  I will take an average of these two values for lentils and soybeans - (31gCO2eq/100g + 25.7gCO2eq/100g)/2  = 28.35gCO2eq/100g - for our final GHGE value.</t>
  </si>
  <si>
    <t>With your confirmation, I will derive light beer's environmental attributes from beer using caloric ratio: Light Beer = 29kcal/100g, as compared to Regular Beer = 43kcal/100g</t>
  </si>
  <si>
    <t>Good</t>
  </si>
  <si>
    <t>Liquor (80 proof)</t>
  </si>
  <si>
    <t>Askhay determined environmental attributes for "Liquor (80 proof)" by multiplying 12/17 parts beer with 5/17 parts wine. This does not seem valid because wine/beer are fermented beverages, while liquor is fermented and distilled. Do you have any papers to help guide us in finding these values?</t>
  </si>
  <si>
    <t>I do not know. Let's do this: find out the ratio evaporated in distillation, and amplify the Akshay beer number (which we will now assume roughly represents the fermentation of any substrate; forget about wine, grapes are FAR more environmentally expensive than grains used for whiskey and such) by the distillation factor. Then compare the results to https://www.sciencedirect.com/science/article/pii/S0959652615009786. Let's see if they are appraoximately in agreement, and then revisit as needed,</t>
  </si>
  <si>
    <r>
      <rPr>
        <sz val="10"/>
        <color rgb="FF222222"/>
        <rFont val="Arial"/>
      </rPr>
      <t xml:space="preserve">Regarding liquor, the article you shared with me (attached) provides that liquor has a GWP of 0.7tonCO2eq and a eutrophication potential of 6.4gPO43-eq in every bottle (70cl).  From my calculations, this converts to our database as:
GHGE: 100kgCO2eq/100g (conversion calculations: 1000kg in a ton; 10cl per 100g)
Nitrogen needs: 6.4gNr/100g (conversion calculations: 10cl per 100g; for vegetable oils, you instructed that 7kg Nr = 1kg PO4eq)
For comparison, I have also read this online article &lt;https://www.whisky.com/information/knowledge/production/details/distillation.html&gt; and requested the Distilled Spirits chapter of The Handbook of Alcoholic Beverages (attached) to find out that the 8% ethanol in the original ferment is distilled into a 30% solution, which is then distilled into a 68% solution, and then distilled into the final 80% solution.  Each distillation leaves about 1% ethanol in the spent ferment.  Therefore, if 7% ethanol from the original ferment becomes 30% of the 1st distillation, then a total of 23.3% of the original ferment must have been extracted in the fermentation.  I followed the same process to determine the final % of the original ferment that is used in creating 80 proof alcohol:
1st distillation: 0.233 of the original ferment; 2nd distillation: 23.3/x=68/100; x=34.3% =0.343 of the 1st distillation; 3rd distillation: 34.4/x=80/100; x=43% =0.43 of the 2nd distillation;  so 80 proof liquor = .233*.343*.43 of Beer= 3.436% of beer, which means that, for every 1g of beer, only .03437g of liquor can be made.  SO, based on these calculations, the environmental attributes of </t>
    </r>
    <r>
      <rPr>
        <b/>
        <sz val="10"/>
        <color rgb="FF222222"/>
        <rFont val="Arial"/>
      </rPr>
      <t>liquor = beer*29.1 ...</t>
    </r>
    <r>
      <rPr>
        <sz val="10"/>
        <color rgb="FF222222"/>
        <rFont val="Arial"/>
      </rPr>
      <t>However, toward the bottom of the online article, it discusses the byproducts: “not only alcohol but also valuable proteins and minerals from the barley grains remain in the pot ale. That's why after emptying the still the pot ale is concentrated through evaporation and sold as high-quality animal feed.”  I assume this must also be the case for beer, so the conversion coefficient of 29.1 is still applicable due to the much larger amount of grain needed to produce liquor than beer.
The conversion from beer to liquor with a 29.1 conversion calculation looks like this:
DISTILLATION FRACTION    Conversion Calculation         LAND(m2-yr/100g)   NR(gNr/100g)   H2O(m^3/100g).  GHGE(kgCO2eq/100g)
Beer                                                                                     0.001408                  0.003608          0.000126335           0.038
80 proof Liquor                       29.1                                      0.0409728                0.1049928        0.0036763485         1.1058
Swedish Whiskey article        comparison                                                            6.4                                                 100
For yet another comparison, I took a look at the USDA database, comparing the calorie:gramweight and calorie:water ratios.  I don't think these are quite as accurate as the 29.1 conversion method above, but here’s what I found: 
CAL:GMWT               calories        gramweight      cal/g                  Conversion Calculation  LAND(m2-yr/100g)   NR(gNr/100g)       H2O(m^3/100g).           GHGE(kgCO2eq/100g)
Beer                             43                100                0.43                                                            0.001408                   0.003608               0.000126335                 0.038
80 proof Liquor          231                100                2.31                     5.372093023                  0.007563906977       0.01938251163      0.0006786833721        0.2041395349
Swedish Whiskey article                                                                    comparison                                                      6.4                                                           100
CAL:H2O                  calories        H2O gmwt        cal/g                   Conversion Calculation. LAND(m2-yr/100g)   NR(gNr/100g)       H2O(m^3/100g).           GHGE(kgCO2eq/100g)
Beer                             43               91.96              0.4675946064                                           0.001408                   0.003608               0.000126335                    0.038
80 proof Liquor          231               66.6                3.468468468       7.417682799                 0.01044409738        0.02676299954       0.0009371129564            0.2818719464
Swedish Whiskey article                                                                    comparison                                                    6.4                                                                100</t>
    </r>
  </si>
  <si>
    <t>Re: GHGE: is it really 0.7 ton/70cl?  If it is the correct value (which I really doubt) , then it's 700 kg/0.7 liter = 100 kg/0.1 liter = 1000 kg/liter = 1000 kg/kg = 100 kg/100g. So you nailed it. But check the 0.7.
Re: Nitrogen: This of course depends strongly on the source of the fermentation substrate, e.g., corn vs. barley, with very distinct Nr loads.
Re: https://www.whisky.com/information/knowledge/production/details/distillation.html : This seems a bit odd, but I really don't know. Is this ratio roughky conformal with alcohol content ratio? 
Re: "liquor = beer*29.1": this is reasonable, but I have no intuitive feel for these substances... Sorry. The calc is correct though.
Re: "The 29.1 conversion ratio seems reasonable to me, but it differs greatly from the Swedish Whiskey article.  What is your perspective?": distiller grain is an important animal feed source in the US, mostly from ethanol production with trivial contributions from whiskey, beer and moonshine put together. If you credit production for the feed coproduced, you get a small reduction is raw burdens. Nothing significant. No idea about Swedish whiskey or any other whiskey, really sorry.</t>
  </si>
  <si>
    <t>GHGE: You're right - my mistake - the article provides 0.7kg/0.7L=1kg/L= 0.1kg/100g. To convert the rest of liquor’s environmental attributes from the difference between its GHGEs and beer’s GHGEs, we’ll have a ratio of 0.1/0.038 = 2.63. This is very different from the 29.1 conversion ratio that we found using the &lt;https://www.whisky.com/information/knowledge/production/details/distillation.html&gt; article. Gidon, I also don’t know much about the production of whiskey or any other type of liquor, besides what’s shared in these articles. It seems that not all the environmental attributes of our food items have been absolutely perfect, so I think we can make educated inferences here. Do you support using the 0.1/0.038 ratio (liquor/beer GHGE) regarding our final environmental values for liquor?
Nitrogen: Ok, how would you recommend that I convert 6.4gPO43-eq/70cl to gNr/100g?</t>
  </si>
  <si>
    <t>GHGE: I think I do, but not from a place of great expertise on the matter. It is just reasonable and consistent with our earlier far more important decisions (since whiskey is thankfully a modest element of anybody's diet...)
Nitrogen: Based on http://ec.europa.eu/environment/waste/pdf/study/annex5.pdf (table 2), I'd say
 6.4 gPO43-eq/70cl =  6.4/0.34 gNr/70cl = 18.8 gNr/70cl . Then,
assume density of 1 g/ml to convert 70 cl to mass, and you have it.</t>
  </si>
  <si>
    <t>Meat items</t>
  </si>
  <si>
    <t>Also, regarding the meat Items in our dataset:
Here's a spreadsheet of all the meat items in our database.  I used the values of the raw meat items from the PNAS paper and adjusted them to their cooked, edible portions:
https://docs.google.com/spreadsheets/d/1CPnvJQsBD9TZN6RkfFCchn3PJUBChla9VUXNmKBbkAM/edit?usp=sharing
Please confirm that these calculations can be used in our database, or provide an alternative method.</t>
  </si>
  <si>
    <t>plz specify which cells you are worried about</t>
  </si>
  <si>
    <t xml:space="preserve">I'm most interested in your input regarding Pork/Ham/Bacon, just to get your skillful eyes on my calculations.  I've highlighted in red cells E25 and E27 (details for these figures are within the cell notes) where I chose an alternative kcal/g ratio for Ham &amp; Bacon vs. Pork because it seemed more appropriate to the products.  Please advise whether this is necessary, or if such a decision disturbs the Pork calculations.  </t>
  </si>
  <si>
    <t>Just a quick follow up:
Regarding meat items, I'm most interested in your input regarding Pork/Ham/Bacon, just to get your skillful eyes on my calculations.  I've highlighted in red cells E25 and E27 (details for these figures are within the cell notes) where I chose an alternative kcal/g ratio for Ham &amp; Bacon vs. Pork because it seemed more appropriate to the products.  Please advise whether this is necessary, or if such a decision disturbs the Pork calculations.  
https://docs.google.com/spreadsheets/d/1CPnvJQsBD9TZN6RkfFCchn3PJUBChla9VUXNmKBbkAM/edit?usp=sharing
Dr. Erich E. Dumelin slides: Life Cycle Assessments of Palm Oil and Vegetable Oils</t>
  </si>
  <si>
    <t>it looks fine to me, I reworded for clarity some headers, you'll see. The only unusual thing is the large cooked to raw factor for bacon. Two thirds are lost? I am not challenging that, I know nothing about bacon but it is surprising and worth double-checking. Otherwise good!</t>
  </si>
  <si>
    <r>
      <rPr>
        <b/>
        <sz val="10"/>
        <rFont val="Arial"/>
      </rPr>
      <t xml:space="preserve">Miscellaneous </t>
    </r>
    <r>
      <rPr>
        <sz val="9"/>
        <rFont val="Arial"/>
      </rPr>
      <t>(category)</t>
    </r>
  </si>
  <si>
    <t>The database is complete, save for the miscellaneous categories.  Just a reminder, we lumped all ingredients that made up 5% or less of a recipe into a miscellaneous category.  I ended up applying the environmental attributes for all the ingredients within the miscellaneous category that we already have (for example, if bacon made up 1% of the recipe, I applied the environmental attributes because they were already calculated) to provide a more accurate accounting of the environmental impact of each food item.  And now I have a relatively short list of "miscellaneous" food items without environmental attributes.  I'd just like to find out how you'd like to handle these categories - whether assigning a blanket environmental attribute for all the miscellaneous food items across the database, or by specifying each one. Below are the food items that have a miscellaneous category, and the ingredients that make up that category for which we don't have environmental attributes.  I've also included the % of the recipe for which that ingredient makes up so you can see what a small fraction of the database it contributes.  Please let me know how you'd like me to handle these items.
FOOD ITEM:                                                INGREDIENTS that make up the "miscellaneous" category:       % of Final recipe:
Whipped topping (ex. Cool Whip)                 Nurses Recipe just says "miscellaneous", no detail                     5.0%
Nonfat Strawberry Yogurt                              "gelatin"                                                                                        2.4%
Canned Black Bean Soup                             Nurses Recipe - "miscellaneous" (regarding tomato sauce)        0.4%
Tofu/Soy burger/Soybeans/Miso.                  "sesame" (as in sesame seeds in the soy burger)                        0.3%
Cabbage/Coleslaw                                        Nurses Recipe - "miscellaneous" (regarding mayo)                     0.3%
Beef or Pork Hotdogs                                    "bouillon cube"                                                                              1.1%
Breaded fish cakes, pieces, or fish sticks      "spices - colored with paprika, annatto, turmeric"                        0.1%
Dark Meat Fish                                              Nurses Recipe - "miscellaneous" (regarding tomato sauce)        0.03%
Cold Breakfast Cereal                                   "buckwheat"                                                                                  1.0%
Other Crackers                                              "millet"                                                                                           0.2%
Bagels/English muffins/Rolls                         "millet"                                                                                           0.1%
Muffins/Biscuits                                             "baking soda", "baking powder", "dry fructose sweetener"           0.8%
Pizza                                                              Nurses Recipe-"miscellaneous" (regarding tomato sauce)          2.7%
Punch/lemonade/sports drinks/sugared tea  "flavor"                                                                                          1.0%
Ready-made cookies or brownies                 "baking soda", "baking powder"                                                    0.6%
Doughnuts                                                     "baking soda", "baking powder"                                                    1.7%
Cake                                                              "baking soda", "baking powder"                                                    1.1%
Pie                                                                 "baking soda", "baking powder"                                                    0.3%
Snack Bars                                                    "dried coconut"                                                                              1.0%
High Protein Bars                                          "gelatin"                                                                                         1.0%
Diet Nutrition Drinks                                       "baking soda"                                                                                0.1%
Chowder or Cream Soup                                "lobster", "crab"                                                                            0.2%</t>
  </si>
  <si>
    <t>OK, so the only thing on your list that is not entirely either
trivially small or utterly unknowable is the first, 5% misc in kool whip (who ever eats that stuff?...)
My unlearned hunch is that 
(a) people eat far too little of kool whip for 5% to matter and 
(b) there is no way of accounting for each item's
environmental liabilities EVEN if we knew what those 5% comprise.
If this is all we have left, then we are done.</t>
  </si>
  <si>
    <t>I agree with your perception of Cool Whip and that the rest of the miscellaneous categories are pretty negligible. How would you like me to handle these ingredients? Should their environmental attributes all equal zero? Or would you like me to take an average of other ingredients? For example, looking at google, Cool Whip's miscellaneous section likely contains skim milk, cream, guar gum, and other things that I don't have environmental values for -- would you like me to do an average of the ingredients I have?</t>
  </si>
  <si>
    <t>sure, that's OK, it will be really a placeholder where we say "we are not sure what is exactly in there, and what the environmental costed of these unknown items, so we assume the full 5% is like the fraction of those 5% we DO know something about". It makes sense as replacing the clearly incorrect zero with some positive number that makes sense though is by no means rigorously defensible and, luckily, this makes trivially small differences. That's good!</t>
  </si>
  <si>
    <t>Just to confirm, would you like the items in the miscellaneous list that are trivially small or unknowable to equal zero, or an average of other items in the recipe?</t>
  </si>
  <si>
    <t>We need a slight small positive number for those. The decision is not guided by any profound knowledge, I wish I could claim any but these are items I truly know next to nothing about. 
So let's average every last item we have full information for, and assign those mean environmental cost per unit mass (or per kcal, either is defensible and neither is even remotely great) to the diminutive masses of the unknown "misc." ingredient.</t>
  </si>
  <si>
    <t>Mixed Vegetables</t>
  </si>
  <si>
    <t>Akshay's notes say that he took an "average of all other vegetables" in his database. To derive the Blue Water needs for mixed vegetables (row 157), would you prefer I follow his method or use Mekonnen and Hoekstra's 2011 Blue water value for "vegetables" (43 m3 ton−1)?</t>
  </si>
  <si>
    <t>Do these values differ nontrivially?  In any case, I'd take the 43 because they have many more vegetables. Wisdom of the crowd.</t>
  </si>
  <si>
    <t>2/3 sugar</t>
  </si>
  <si>
    <t>12/7: How would you recommend calculating molasses, considering that it is a byproduct of sugar and it is in liquid form?</t>
  </si>
  <si>
    <t>12/9: It is probably about 2/3 of sugar or so, because it obviates the need for evaporative drying.</t>
  </si>
  <si>
    <t>12/12: We will calculate the environmental attributes of molasses as 2/3 the values of sugar.</t>
  </si>
  <si>
    <t>Mushrooms</t>
  </si>
  <si>
    <t>I've used of the paper &lt;https://www.mushroomcouncil.com/wp-content/uploads/2017/12/Mushroom-Sustainability-Story-2017.pdf&gt; to determine the Blue water needs of mushrooms. "1.8 gallons (of water are used) per pound of mushrooms", and Figure 7 on page 7 provides the percentage of blue water applied, Please check these calculations to confirm my final Blue Water Use value for mushrooms:
Figure 6 shows that embedded water is cumulative from each phase to the next, so the percentages in Figure 7 must take this into account.
Phase 3 (the final harvested flush of mushrooms): 54% blue water
Phase 2 (makes up the water embedded ingredients in Phase 3) : 4% of 46%= 1.84%
Phase 1 (makes up the water embedded ingredients of Phase 2): 18% of (46%-1.84%) = 7.95%  
SO! Blue Water = 54%+1.84%+7.95% = 63.79% of 1.8 gall H2O/lb mushroom = 9.58e-4 m3/100g
Please confirm that this calculation is accurate, or please provide an alternative calculation that I can use.</t>
  </si>
  <si>
    <t>Marie, this would be correct ONLY if the amounts applied in each phase are the same, 1.8/3. I have no idea if this criterion holds. But if not, than that is not right. In stead, imagine 3 volumes, v1, v2 and v3 such that v1+v2+v3=1.8 but the vs are NOT the same. Then,
0.18v1 + 0.04v2 + 0.54v3 will be the way to go.</t>
  </si>
  <si>
    <t>Regarding mushrooms, I pressed a little further into the data provided in the Mushroom Council paper.  To get a water use value from this paper, I've made a few assumptions listed below.  Please let me know if these assumptions are reasonable, or please provide additional guidance to find the blue water use of mushrooms.//
Figure 6 leads me to understand that 100% of the water from Phase 1 composes the embedded water of Phase 2 + "Minor Losses" (which are likely due to evaporation).  And, concurrently, 100% of the water from Phase 2 comprises the embedded water of Phase 3 + "Minor Losses" (ML). So there is a linear relationship in the water quantity between phases. // Since the blue water value in Phase 2 is so small, my first assumption is that the minor losses after Phase 1 are captured by the addition of 4% of Blue water in Phase 2 (to rehydrate the mushrooms).  (v1 = v2) // My second assumption is that all the minor losses are equal in mushroom growing, e.g. all minor losses equal 4%. // My third assumption is based on the dramatic shift in the ratio of blue water to embedded water in Phase 3 - it jumps to nearly 50:50.  My assumption here is that blue water accounts for the full doubling of the water in Phase 3, without calculating in any possible added substrate water content. (v1 = 0.5*v3). // So:
1.8gal = v3 + ML3 + ML2 + ML1
1.8gal = v3 + 0.04v1 + 0.04v1 + 0.04v1
1.8gal = v3 + 0.04(0.5vf) + 0.04(0.5vf) + 0.04(0.5vf)
1.8gal = v3*(1+.02+.02+.02)
1.8/1.06 = v3 = 1.698 gal
v1 = 0.5*v3 = 0.5*1.698 = 0.849 gal //
Blue water:
v1 = .18 * .849gal = 0.1528gal
v2 = .04 * .849gal = 0.0339gal
v3 = .54 * 1.698gal = 0.917gal
Total = 1.1037gal/lb mushrooms</t>
  </si>
  <si>
    <t>Why not consult Fig 7 and the text underneath it? If I am not reading it incorrectly, it is:
2.2 [lb/kg]* (1.8*0.18 + 1.7*0.04 + 2.2*0.54) [gallon/lb] * 3.79 [liter/gallon] 
with the result given in liter/kg mushroom.
What's not to like about this?</t>
  </si>
  <si>
    <t>Hm, I understand the text under Fig 7 to address a completely different matter from Fig 7.  My reading is that this text simply provides the total amounts of water to produce 2 different varieties of mushrooms and the average of the two.  On the other hand, Fig 7 shows the percentages of blue/green/embedded water used in each growing phase of each of these varieties (as shown in detail in Fig 6).
Perhaps I can write to the authors to get some clarification?  Let me know what you think.</t>
  </si>
  <si>
    <t>yes, you should write to them, because what I wrote is my understanding, but you may be right, not sure. So - write to them, and let's see!</t>
  </si>
  <si>
    <t xml:space="preserve">Hello SureHarvest,
My colleagues and I at the Harvard T.H. Chan School of Public Health are compiling a database of the environmental impacts of various food items, including land use, blue water use, reactive Nitrogen, and GHGEs.  We read your March 2017 Report, "The Mushroom Sustainability Story: Water, Energy, and Climate Environmental Metrics," and we are seeking to use it as a reference for our blue water value for mushrooms.  We greatly value your work!
We haven't been able to determine a precise blue water value from the information in your report, and we were hoping that you might be able to help us.  We've noticed that Figure 7 provides the percentage of blue water applied in each phase, and the text below it gives us the total volume of water used to produce 1lb mushrooms.  However, we were uncertain whether or not each phase maintains consistent volumes of water.  If the volume of water varies by phase, do you also have a calculation of the total blue water utilized to produce 1lb mushrooms?
Many thanks for your help on this matter,
best,
Meir
</t>
  </si>
  <si>
    <t>My colleague Jeff Dlott forwarded your email to me regarding your request for clarification about our water use numbers - we have a published journal article available at: https://link.springer.com/article/10.1007/s11367-018-1456-6
I don't know if I completely understand your question.  Our work does a life cycle-based accounting for water use, which doesn't entirely match blue water use, but we should be able to back out blue water numbers.</t>
  </si>
  <si>
    <t xml:space="preserve">For clarification, we are seeking to understand how much blue water is used per g of mushrooms produced.  In the supplementary spreadsheet from your article, I see that you've documented the amount of ground, lake, rain, river, and sea water used in the production of mushrooms.  Would it be accurate for me to simply find the sum of ground, lake, river, and sea water quantities to derive the average amount of blue water used for the production of 1kg mushrooms (therefore excluding rain water, which would be considered green water)?  Or are there additional considerations that would factor into this value I am seeking?
</t>
  </si>
  <si>
    <t xml:space="preserve">The key issue is whether the other sources of water use information you are using take a life cycle approach to water accounting or not.  My guess is that they do not.  
I think you should use the information presented in Table 3 of our paper. If you look at Table 3 in the attached publication, what you will see is freshwater use per kg of mushroom.
If you look at "On-site water use" then you will know how much water (ground or surface freshwater) was used in the production facilities. This is direct water consumption.  All the other water uses in that table are essentially water used in the supply chains of inputs.  If you are doing a life cycle basis for water footprinting then you would add all of these up to get the total blue water footprint.  We would not typically count sea water as blue water...but you probably know the water footprinting method better than I do.
</t>
  </si>
  <si>
    <t>I've received additional information from the authors of the mushroom article concerning water use.  In section 3.3 of the attached "Mushroom LCA.pdf" article, they describe the difference between the full LCA of water-use for mushroom production: "Freshwater use is dominated by the background system, and in particular electricity production, which consumes 74% of total freshwater used in mushroom production (Table 3 and Fig. 2). Water is used throughout the electricity supply chain for fuel mining, production, and refinement, but mostly, it is used in thermoelectric power plants for cooling. In fact, thermoelectric power is the single largest non-consumptive use of freshwater in the US." 
versus on-site water use, which includes all three mushroom phases of composting, pasteurizing, and spawning-&gt;harvest.  
Would you prefer for me to use the on-site water use figure (9kg freshwater per kg mushroom), or would you like me to account for the total water used in the background system?:
Groundwater: 20.22724985 kg per kg mushrooms 
Lake water: 44.93577241 kg per kg mushrooms 
River water: 194.6494281 kg per kg mushrooms 
Total: ≈259.8kg water per kg mushroom</t>
  </si>
  <si>
    <t>Re them 'shrooms: Definitely the on-site only. The authors are really confused, and confusing. They are right that water use in electricity generation is the largest term, but this is mostly reclaimed or brackish water, or even just plain seawater. It is a complete absurdity to consider any of this in the water cost of production of a food item. 
So - only the on-site!</t>
  </si>
  <si>
    <t>Cohort row 1097</t>
  </si>
  <si>
    <t>same as kale</t>
  </si>
  <si>
    <t>12/12: We assume that mustard greens have the same environmental attributes as kale.</t>
  </si>
  <si>
    <r>
      <rPr>
        <b/>
        <sz val="10"/>
        <rFont val="Arial"/>
      </rPr>
      <t xml:space="preserve">NITROGEN
       - from PO4 </t>
    </r>
    <r>
      <rPr>
        <sz val="9"/>
        <rFont val="Arial"/>
      </rPr>
      <t xml:space="preserve">(blanket rule)
</t>
    </r>
    <r>
      <rPr>
        <b/>
        <sz val="10"/>
        <rFont val="Arial"/>
      </rPr>
      <t xml:space="preserve">       - Eutrophication potential</t>
    </r>
  </si>
  <si>
    <t>Let me respond now to the N:P issue. First, I think we need a uniform approach, I do not think switching methods midtream is defensible. I am glad you caught this, as I didn't remember those earlier ones. i think we should use the last two methods, which are essentially the same. But you caught a bug, which is that 
0.882 kg ammonia-N = 1 kg PO4-eq IS NOT RIGHT, it should be
2.86*0.882 kg ammonia-N = 1 kg PO4-eq or 2.52 kg ammonia-N = 1 kg PO4-eq</t>
  </si>
  <si>
    <t>I am working through the database now to make the appropriate Nr adjustments.</t>
  </si>
  <si>
    <t>Throughout the database, where eutrophication potential wasn't available for specific food items, fertilizer input was utilized.  Do you know of a skillful way of handling this discrepancy?  I understand that eutrophication is the result of nutrient (fertilizer/manure) runoff into bodies of water; it can be mitigated through nutrient management and other agricultural practices; and some crops/livestock are more managed than others.  There may be no blanket percentage of fertilizer that we can assume leads to eutrophication, but it also doesn't seem reasonable to assume that all fertilizer applied to a crop runs off into a water source.  How would you like to handle this issue?</t>
  </si>
  <si>
    <t>Originally, you had directed me to use the Dumelin slides to for the Land Use, Nr Needs, and GHGEs of the following oils: palm, palm kernel, coconut, olive, canola, sunflower, and soybean.  More recently, you have expressed that Nr fertilizer inputs are more reliable than "Eutrophication potential" values provided in papers.  I am wondering if the Eutrophication potential provided in the Dumelin article are sufficient, or if it would be best for me to find fertilizer inputs for each of these oils.</t>
  </si>
  <si>
    <t>Eutrophication potential is often given in units of phosphate. In the past we derived a conversion factor based on Redfield ratios, and those are defensible in the absence of a more directly pertinent value, but those latter values are of course always preferable. So fertilization rates are always the best, but they are hard to impossible to find... I do think the slides are very compelling, their calculations are solid and they offer both N and P, so whenever possible using their values directly is preferable. Everything that we have been discussing is only pertinent when no more direct data exist.</t>
  </si>
  <si>
    <t>same as oat bran (5% oats)</t>
  </si>
  <si>
    <t>oat germ</t>
  </si>
  <si>
    <t>same environmental attributes?</t>
  </si>
  <si>
    <t xml:space="preserve">12/18: No response = "If no comment, then I am cool w your choice(s)." </t>
  </si>
  <si>
    <t>1/31: We use the calculations for oats (row 79) for rolled oats, quick oats, steal-cut oats. In row 89, oat bran is calculated as 5% of oats. How do you recommend we calculate oat germ, oat fiber, and cooked oats?</t>
  </si>
  <si>
    <t>2/4: really don't know. Are there a products that by themselves are called "oat fiber" or "oat germ"​? I have never seen either, and I am an avid oat eater... I'd say absent better data/information, the oat bran value should fill these other rarified items.</t>
  </si>
  <si>
    <t>4/19a: I referred to the Mekonnen and Hoestra paper for the water footprint of olive oil, but I need to choose between "olive oil, virgin" and "olive oil, refined". Which would you recommend?; 4/19b: Per your advice, I used the Dumlin presentation to find the land use, reactive nitrogen, and GHGEs of palm oil, palm kernel oil, coconut oil, and olive oil. (Table included in email) I used Mekonnen &amp; Hoekstra's paper for the water needs. Please check my calculations to confirm that I am converting units correctly.                                                                                                                                                                                                                                   Land Needs:                                                                                                                                                                                                                                                            Crop                  Dumlin's values        Final values for database                                                                                                                                                                                                                                                            Palm oil.            ≈0.25 ha/ton             0.25 m2-yr/100g                                                                                                                                                                                                                                                            Palm kernel oil. ≈1.70 ha/ton             1.7 m2-yr/100g                                                                                                                                                                                                                                                            Coconut oil        ≈1.42 ha/ton             1.42  m2-yr/100g                                                                                                                                                                                                                                                            Olive oil             ≈1.11 ha/ton             1.11  m2-yr/100g                                                                                                                                                                                                                                                            Nr Needs (I did not include the transportation calculations in Dumlin's presentation to keep consistent with the rest of the database)                                                                                                                                                                                                                                                            Crop                   Dumlin's values                    Final values for database                                                                                                                                                                                                                                                            Palm oil                   ≈12.5 kgPO4equiv/ton     8.75  gNr/100g                                                                                                                                                                                                                                                            Palm kernel oil   ≈19.0 kgPO4equiv/ton     13.3  gNr/100g                                                                                                                                                                                                                                                            Coconut oil           ≈9.00 kgPO4equiv/ton     6.30  gNr/100g                                                                                                                                                                                                                                                             Olive oil                   ≈34.5 kgPO4equiv/ton           24.15 gNr/100g                                                                                                                                                                                                                                                             GHGEs (again, I did not include the transportation calculations in Dumlin's presentation to keep consistent with the rest of the database):                                                                                                                                                                                                                                                              Crop                    Dumlin's values                  Final values for database                                                                                                                                                                                                                                                            Palm oil               ≈475 kgCO2equiv/ton    0.0475 kgCO2eq/100g                                                                                                                                                                                                                                                            Palm kernel oil    ≈780 kgCO2equiv/ton    0.078 kgCO2eq/100g                                                                                                                                                                                                                                                            Coconut oil            ≈900 kgCO2equiv/ton    0.09  kgCO2eq/100g                                                                                                                                                                                                                                                            Olive oil                    ≈1400 kgCO2equiv/ton  0.14  kgCO2eq/100g                                                                                                                                                                                                                                                            Water needs (Total of green, blue and grey water footprint calculations in Mekkonen and Hoekstra's paper):                                                                                                                                                                                                                                                            Crop                     M&amp;H total water                Final values for database                                                                                                                                                                                                                                                            Palm oil                     4971m^3/ton              0.4971  m^3/100g                                                                                                                                                                                                                                                            Palm kernel oil     5401 m^3/ton             0.5401 m^3/100g                                                                                                                                                                                                                                                            Coconut oil             4490 m^3/ton             0.449   m^3/100g                                                                                                                                                                                                                                                            Olive oil                     14431 m^3/ton           1.4431  m^3/100g                                                                                                                                                                                                                                                            Cottonseed oil             3957 m^3/ton             0.3957 m^3/100g</t>
  </si>
  <si>
    <t>4/21a: I'd say, out of a hat I am not wearing, 0.9 virgin + 0.1 refined. If you are going to have OO, why in the world would you want it subjected to a questionable industrial process involving organic solvents?; 4/21b: LAND USE: a ha is 1e4 m^2, and by a ton here I ASSUME they mean a metric ton or 1e3 kg or  1e4 [100 g]. So yes, the value should remain the same in the two units;                                                                                                                                                                                                                                    REACTIVE NITROGEN: this is perfect, exactly as we said, and you got the unit conversion right; GHGES: perfect. A+. You have no idea how many of my stud4ents are convincer a light year is 4 cm...                                                                                                                                                                                                                                  WATER: I am sorry, but I may have been too opaque here. The ONLY 2 things that make sense are to either consider only blue water, or to consider all three, but each individually (ie end up with three bottom line water use values or each item, so that one can decide what one wishes to use for any particular research question). The sum is not meaningful.</t>
  </si>
  <si>
    <t>4/24: There are many things that consumers just don't know...unfortunately.  Thank you for this ratio.; b. 4/21: LAND USE: Great!;                                                                                                                                                                                                                                    REACTIVE NITROGEN: Wahoo!;                                                                                     GHGE: I tend to tread lightly and enjoy the learning process.                                                                                                                                                                                                                                WATER: The "Water Needs" of every food item in Akshay's database are the sum of the 3 water footprints.  Please guide which system you'd like to follow – only blue water OR all 3 water footprints individually (which would add 2 additional columns).  This will add quite a bit of time to finalize the database, but I am happy to add accuracy to this great project.</t>
  </si>
  <si>
    <t>12/18: See https://digital.lib.washington.edu/researchworks/handle/1773/40230 and call/email with questions</t>
  </si>
  <si>
    <t>Oyster environmental attributes: 
--The Pucylowski PDF that you shared with me identifies that the total GHGEs of 12 half-shell classic oysters are 1.70E-01gCO2eq and 12 half-shell shigoku oysters are 2.02E-01
--&lt;http://nutritiondata.self.com/facts/finfish-and-shellfish-products/4193/2&gt; identifies that 1 medium oyster = 50g, so 1 dozen = 600g. 
--Rows 110-113 in "Additional Calculations" shows my calculations for both GHGEs and Reactive Nitrogen, of which I derived from this article. Please confirm that these values are accurate.
--Can we assume that there are no land needs or water needs associated with oysters since they are not included in this paper (and Pucylowski explicitly says, "Water is mostly used during the processing stage for cleaning and ice production" on page 30, albeit water is documented in the Appendix)? 
--Can we use the same values for clams?</t>
  </si>
  <si>
    <t>I really don't know much about such shellfish, so not sure, but I think oysters and clams are really entirely different and are NOT interchangeable. I think (but am not sure) it is not OK to use 50 g/oyster. Wouldn't you guess that's mostly the shell, and the fleshy part is only like 10-10?
For the key livestock, sure, that is the MAIN water use. For tuna - no water or Nr needs. Zero. Tuna are caught, not grown. Shrimps ARE mostly grown, so there will have some water and/or Nr values, but I am not sure which. Best look for shrimp LCA, I do not think Akshay did that.</t>
  </si>
  <si>
    <t>The seafood items for which we are seeking environmental variables are: oysters, clams, pollock, catfish, tilapia, cod, flatfish, halibut and haddock.  We have a few sources to choose between.  Please provide guidance on which source you'd prefer to use for the GHGEs of these seafood items:
The Heller article (attached) gives the GHGEs for the following seafood categories (in kgCO2eq/100g): Fish-freshwater-finfish        0.1571; Fish-freshwater-finfish-farm-raised        0.5717; Fish-saltwater-finfish-tuna        0.2148; Fish-saltwater-finfish-other        0.3021; Fish-shellfish-crustacean        3.0658; Fish-shellfish-mollusc        0.3143
The Parker article (attached) gives another of GHGEs for seafood (in kgCO2eq/100g): Pelagic fish &lt;30cm        .02; Pelagic fish &gt;30cm        .19; Demersal molluscs        .24; Demersal fish        .24; Cephalopods        .28; Crustaceans        .79
Tilman and Clarke's article (attached) has a Supplementary Data page (also attached) that lists many data sources' GHGEs for: aquaculture (non-recirculating), aquaculture (recirculating), fishery (non-trawling), and fishery (trawling).  *Interestingly on this Supplementary page, Section F includes Aquaculture Feed Composition (including maize, wheat, oilcrops, soybean, and pulses), stratified by national GDPs.
LAND &amp; WATER: We assume there are no land needs &amp; no water needs associated with oysters because they are grown in the ocean and Pucylowski (attached) describes that "Water is mostly used during the processing stage for cleaning and ice production" (page 30), albeit having water documented in the Appendix section of the paper.  Please confirm or provide guidance for alternative values.
GHGEs: There are a few different ways of determining the GHGE value for oysters: Parker 2018 (attached) Demersal molluscs = .24kgCO2eq/100g;  
Heller 2018 (attached) for mollusks = .3143kgCO2eq/100g; Pucylowski 2017 (attached) classic oysters = .17kgCO2eq/12half-shells, and Shigoku oysters = .202kgCO2eq/12half-shells.  
1 medium Pacific oyster = 50g, so Classic = .0283kgCO2eq/100g and Shigoku = .0337kgCO2eq/100g, averaging .031kgCO2eq/100g
1 medium Eastern oyster = 14g - It seems to be a stretch to derive an Eastern oyster GHGE value from Pacific oyster measurements.  But if we did, and then took an average of our values, they would equal .071kgCO2eq/100g.
I think we'd be best off using either the Parker or the Heller value, or an average of the two, rather than trying extrapolate a value from Pucylowski's paper.  Similarly, for chicken and turkey, we used the values for the broader category of "poultry" from your PNAS paper.  
Please confirm the use of the average of Parker and Heller's mollusk values for oysters (and clams), or provide alternative guidance for deriving these values.</t>
  </si>
  <si>
    <t>Funny, I just had a very nice chat with a woman who grows oysters commerically on the Cape. Yes, it seems ton of water for washing the sand off of them. I think it's sea water though. I'd say you are good here, but am really not an authority on this.
Yes, averaging sources is the most defensible. If there are more than 3 sources and they differ markedly, use geometric mean.</t>
  </si>
  <si>
    <t>With your guidance from previous emails, I finalized the environmental values for oysters, using the geometric mean for the GHGEs. Please confirm that these calculations are sound, or give alternative guidance:  
                         research-land  calc   LAND   research-Nr   calc              NR                           res-H2O  calc     H2O    research-GHGE         calc         GHGE
Classic                       NA          NA                 2.58E-05       .0000258/6   0.0000043                  NA         NA                 1.70E-01                   .170/6        0.02833333333
Shigoku                      NA         NA                  3.49E-05      .0000349/6   0.000005816666667   NA        NA                  2.02E-01                   .202/6        0.03366666667
Article average                                    NA                                                 0.000005058333333                            NA                                                         0.031
Demersal molluscs     NA          NA                NA                  NA                                                   NA        NA                 .24kgCO2eq/100g       0.24
Mollusks                     NA          NA                 NA                  NA                                                  NA        NA                  .3143kgCO2eq/100g   0.3143
AVERAGE                                            NA                                                0.000005058333333                             NA                                                         0.132731022</t>
  </si>
  <si>
    <t>the order of magnitude diff above gives me pause. The Puc.. paper is likely an underestimate. Let's use the average of 0.24 and 0.31.</t>
  </si>
  <si>
    <t xml:space="preserve">Sounds good.  How would you like to handle the Nitrogen needs for oysters?  Only the Pucylowski paper has a value (0.00000506gNr/100g). If the Pucylowski paper is an underestimate for GHGEs, would you like me to scale the final Nr needs by the GHGE ratio between our new value (the average of the Heller and Parker papers = 0.28) to Pucylowski's GHGE (0.031)?  e.g. Final Nr needs = (0.00000506)*(0.28/0.031) = 0.0000457 </t>
  </si>
  <si>
    <t>This is good, but these values are so small, this is virtually zero.</t>
  </si>
  <si>
    <t>12/7: Regarding soybean oil, palm oil, and cottonseed oil in FFQ recipes: All partially hydrogenated, fully hydrogenated, and normal processes of each of these items are combined.---- Do you have a calculation for palm oil?</t>
  </si>
  <si>
    <t>12/9: From an environmental standpoint ​this is not too bad. But what about nutrition?? Ordinary soybean oil vs. its partially hydrogenated counterpart are night and day. Do we really want to combine?...(specifically for palm oil) ----- Here the big one will be with or without LULUC category.​ If those are included, all hell breaks loose. We need uniformity, and I often err on the side of excluding the large but very uncertain and speculative LULUC numbers, jusdt actual emissions from the production process.</t>
  </si>
  <si>
    <t>12/12a: Regarding the first email: We will utilize the same environmental attributes for al derivatives of soybean oil, palm oil, and cottonseed oil (e.g. partially hydrogenated soybean oil = non-hydrogenated soybean oil), but we will not combine the nutritional quality of these oils --- 12/12b: We will use the environmental attributes of soy oil (cell N41) for all other oils as interpreted from your dataset (rows 285-288) - would you recommend the same for coconut oil (row 37) and cottonseed oil (row 449)?​  --- 12/12c: Palm oil and palm kernel oil (We are happy to utilize whatever you consider to be the most accurate accounting of the environmental attributes. We appreciate your perspective on this complicated matter!  Just to note - we are keeping all nutrient values separate from this database.)</t>
  </si>
  <si>
    <t>12/18a: For palm oil, see http://www.sciencedirect.com/science/article/pii/S0959652617300495 or https://www.knepublishing.com/index.php/KnE-Engineering/article/view/514/1595. In general, if you use google scholar for searches like "palm oil LCA" you will sometimes find new papers that dress missing items such as palm oil. Once you read it, you can email me with question if you have any, or call me at (413) 717-2187 for more rapid response. ALSO: see OneDrive documents: Dumelin.pdf and TilmanNClarkeNature2. --- 12/18b: Not ideal as those are fundamentally different, so OK as a first but, but not ultimately defensible. Try http://www.sciencedirect.com/science/article/pii/S0016236117301849, and again, ask/call as needed Cottonseed oil is a byproduct, and awhile can of worms, methodologically and environmentally. Maybe http://www.publish.csiro.au/an/AN15453 holds the answers, give it a try... ---12/18c: ​See above, and also the attached presentation​ (DUMLIN)</t>
  </si>
  <si>
    <r>
      <rPr>
        <b/>
        <sz val="10"/>
        <rFont val="Arial"/>
      </rPr>
      <t xml:space="preserve">palm oil </t>
    </r>
    <r>
      <rPr>
        <b/>
        <sz val="8"/>
        <rFont val="Arial"/>
      </rPr>
      <t>(including fully/partially hydrogenated)</t>
    </r>
  </si>
  <si>
    <t>same values used for palm oil, partially/fully hydrogenated palm oil, palm oil shortening, fractionated palm oil</t>
  </si>
  <si>
    <t>12/7: Regarding soybean oil, palm oil, and cottonseed oil in FFQ recipes: All partially hydrogenated, fully hydrogenated, and normal processes of each of these items are combined. ---- Do you have a calculation for palm oil?</t>
  </si>
  <si>
    <t>12/9a: From an environmental standpoint ​this is not too bad. But what about nutrition?? Ordinary soybean oil vs. its partially hydrogenated counterpart are night and day. Do we really want to combine?...(specifically for palm oil) ----- 12/9b: Here the big one will be with or without LULUC category.​ If those are included, all hell breaks loose. We need uniformity, and I often err on the side of excluding the large but very uncertain and speculative LULUC numbers, jusdt actual emissions from the production process.</t>
  </si>
  <si>
    <t>12/12a: Regarding the first email: We will utilize the same environmental attributes for al derivatives of soybean oil, palm oil, and cottonseed oil (e.g. partially hydrogenated soybean oil = non-hydrogenated soybean oil), but we will not combine the nutritional quality of these oils --- 12/12b: We will use the environmental attributes of soy oil (cell N41) for all other oils as interpreted from your dataset (rows 285-288) - would you recommend the same for coconut oil (row 37) and cottonseed oil (row 449)?​ --- 12/12c: Palm oil and palm kernel oil (We are happy to utilize whatever you consider to be the most accurate accounting of the environmental attributes. We appreciate your perspective on this complicated matter!  Just to note - we are keeping all nutrient values separate from this database.)</t>
  </si>
  <si>
    <t>12/18a: For palm oil, see http://www.sciencedirect.com/science/article/pii/S0959652617300495 or https://www.knepublishing.com/index.php/KnE-Engineering/article/view/514/1595. In general, if you use google scholar for searches like "palm oil LCA" you will sometimes find new papers that dress missing items such as palm oil. Once you read it, you can email me with question if you have any, or call me at (413) 717-2187 for more rapid response. ALSO: see OneDrive documents: Dumelin.pdf and TilmanNClarkeNature2. --- 12/18b: Not ideal as those are fundamentally different, so OK as a first but, but not ultimately defensible. Try http://www.sciencedirect.com/science/article/pii/S0016236117301849, and again, ask/call as needed Cottonseed oil is a byproduct, and awhile can of worms, methodologically and environmentally. Maybe http://www.publish.csiro.au/an/AN15453 holds the answers, give it a try...  --- 12/18c: ​See above, and also the attached presentation​ (DUMLIN)</t>
  </si>
  <si>
    <t>Fractionated palm oil environmental attributes:  On the USDA nutrient data website, fractionated palm oil and palm oil have the same energy-to-weight ratio. Therefore, can we assume that fractionated palm oil has the same environmental attributes as palm oil?</t>
  </si>
  <si>
    <t>I am not sure. Can you find out what the "fractioned" mean? Then maybe we'll know...</t>
  </si>
  <si>
    <t>&lt;https://link.springer.com/article/10.1007/BF02541408&gt; describes that fractionated palm oil is when palm oil is processed into "high melting fraction or stearin and a low melting fraction or olein". It seems that both parts are ingredients and on the USDA nutrient data website, fractionated palm oil and palm oil have the same energy-to-weight ratio. 
Unless you advise otherwise, we will equate the environmental attributes of fractionated palm oil to those of palm oil.</t>
  </si>
  <si>
    <t>Again, I sadly do not know the ins and outs of this god-awful industry. I'd say the equation approach is reasonable,</t>
  </si>
  <si>
    <t>Throughout the database, we have used slightly differing methods to convert PO4 values to Nr values.  I understand that different crops use varying compositions of Nitrogen, and thus we need varied methods to calculate Nr based on the specific food.  I just want to share the Nr calculations that differ between food items, so you can either confirm the varying methods or advise otherwise:
For palm, coconut, cottonseed and olive oil, you had advised: "We will use the fact that N:P ratios in most crops are around 6-8, make that 7. So if we have a cost of y kgP/ton, we will convert it to 7y kgN/ton."
For liquor (80 proof): [Re: Eriksson_Swedish whiskey article: Eutrophication potential = 6.4gPO43-eq/70cl] You had advised: "Based on http://ec.europa.eu/environment/waste/pdf/study/annex5.pdf (table 2), I'd say 6.4 gPO43-eq/70cl = 6.4/0.34 gNr/70cl = 18.8 gNr/70cl . Then, assume density of 1 g/ml to convert 70 cl to mass, and you have it."     *I used this same conversion calculation for wine.
For cacao, you had advised: "Using https://ec.europa.eu/environment/waste/pdf/study/annex5.pdf (Tab. 2) we see that 1 kg NH3 = 0.35 kg eq PO4, so 1/0.35 kg NH3 = 1 kg eq PO4, so 2.86 kg ammonia yields 1 kg of PO4-eq. Since ammonia is 17 g/mol, of which N is 15 or 88.2% by mass 0.882 kg ammonia-N = 1 kg PO4-eq Because we express the costs of all other items in N, use the above conversion to get from their PO4-eq value to translate to N (or, more accurately, ammonia-equivalent)."  This is pretty much the same as the method used for liquor. 
Please either confirm the accuracy of each PO4 to Nr conversion calculation, or advise otherwise.</t>
  </si>
  <si>
    <t>Parsley</t>
  </si>
  <si>
    <t>Land Use - I used values of celery, scaled by the GHGE ratio.  Parsley is in the same family as celery and grows similarly, however it takes longer to grow, so this ratio seemed accurate to me.
  - Land Use Parsley = 0.0405m2/100g
Nr Needs - Same ratio as Land Use
  - Nr Needs Parsley = 1.374gNr/100g
Water Needs - Mekonnen and Hoekstra
  - Blue Water Needs Parsley = 0.0043m3/100g
GHGE - Food Emissions Calculator online
  -GHGE Parsley = 0.0154kgCO2eq/100g</t>
  </si>
  <si>
    <t>In that I will have to say celery is prob. not the best analog, because celery is very robust, and very high yielding, whereas parsley is the opposite. Cilantro maybe? Or arugula? Either will be a better analog I think</t>
  </si>
  <si>
    <t>We don't have values for cilantro or arugula so I used the analog of spinach, scaled by the GHGE ratio.  What do you think?
The new values would be: 
- Land Use Parsley = 0.0596m2/100g
- Nr Needs Parsley = 4.237gNr/100g
- Blue Water Needs Parsley = 0.0028m3/100g
-GHGE Parsley = 0.0154kgCO2eq/100g (Food Emissions Calculator online)</t>
  </si>
  <si>
    <t>yes, spinach is a much better analog: delicate, thirsty at nearly all times. That is good!</t>
  </si>
  <si>
    <t>Here's the data from all of our sources:
Tilman and Clark only have estimates for peanut oil.
The Schmidt paper you had linked to &lt;https://www.sciencedirect.com/science/article/pii/S0959652614010518&gt; only reflects production in India - does this generalize accurately to Nurses' diets?
GHGE and NR:  
Per 1395kg of peanuts, this article provides EMISSIONS values of:
1.12kg Dinitrogen monoxide (direct)
0.275kg Dinitrogen monoxide (indirect)
1.55kg Ammonia
0.482kg Nitrogen oxides
94.5kg Nitrate
And it provides these INPUT values:
15kg Ammonium sulphate (as N)
86kg Triple super phosphate (as P2O5)
30kg Potassium chloride (as K2O)
How would you recommend determining the final GHGE and Nr values for our database from these values?
WATER: 1,360m3/1395kg = 0.09749m3/100g
LAND: 1.15 ha*yr-eq/1,395kg = 8.2437m2/100g
Poore et al. list 'groundnuts' with the following attributes:
GHGE: 3.2 kg CO2/100 g protein
LAND: 9.1 m2/100 g protein
Freshwater: 1852 L/100 g protein
Heller et al. for peanuts:
GHGE: 0.374 CO2eq/kg = .0374 CO2eq/100g
Clune et al. 2015 for peanuts (n = 3 studies):
GHGE: 0.87 kgCo2eq/kg = 0.087 kgCO2eq/100g
Meknonnen and Hoekstra for groundnuts:
WATER (blue): 214 m3 ton-1 = .0214 m3/100g
Please provide guidance on which values (or averages of values) you'd prefer we use for GHGEs, Nr, Land Use, and Water for peanuts.</t>
  </si>
  <si>
    <t>*We already have Akshay's values for peanuts
Re: Tilman and Clark: then let's use those, scaled by mass ratio of oil in peanuts, and these values better compare favorably with the below values.
Re: Schmidt: No
Re: "please provide guidance": See above, let's use those, scaled by mass ratio of oil in peanuts</t>
  </si>
  <si>
    <t>Peanut oil</t>
  </si>
  <si>
    <t>Land Use - Again, I converted the LU values of "peanut oil" from "peanuts", based on their fat content found at &lt;https://fdc.nal.usda.gov/fdc-app.html#/food-details/172430/nutrients&gt;
  -Peanuts:   49.2g fat in 100g --&gt;  0.38m2/100g
  -Peanut Oil: 100g fat in 100g --&gt; 0.78m2/100g
Nr Needs - I used the same conversion ratio as above.
  -Peanut Nr Needs      =  1.55gNr/100g   
  -Peanut Oil Nr Needs = 3.16gNr/100g
Water Needs - Mekonnen and Hoekstra
  -"Groundnut Oil" Blue Water Needs = 0.0405m3/100g
GHGE - Food Emissions calculator online
  -Peanut Oil GHGE = 0.563kgCO2eq/100g</t>
  </si>
  <si>
    <t>perfect, with the same possibility of those 10% on GHG</t>
  </si>
  <si>
    <t>4/19: That's it thus far! For the home stretch, I still have yet to find values for: Pecans</t>
  </si>
  <si>
    <t>Unfortunately, this article doesn't include pecans or cashews.  
RE: PECANS: This article &lt;https://illiad.hul.harvard.edu/illbasicauth/HLS/pdf/5125254.pdf&gt;, provides the water use efficiency of pecans based on flooded orchards: "The average water use efficiency based on nut yield was 14.9kg nut yield ha-1 cm-1 in 'off' years and 26.3kg nut yield ha-1 cm-1 water in 'on' years."  = average 20.55kg nut yield ha-1 cm-1 = 4866.18m3/ton which falls in line well with the below water footprints of other nuts. 
For Land Use, it includes that "the pecan nut yield (dry weight) was 2106, 3239, 1557, and 3256 kg ha-1 in 2002, 2003, 2004, and 2005, respectively." So, by average, Land use = 2539.5kg/ha = 0.03125m2/g. (This value is larger than the other nuts by a factor of 10).
It also mentions, "The farmer applied 320kg ha-1 of actual nitrogen through the irrigation system throughout each growing season." (growing season = May-Nov each year).  So, Nr Needs = 32gNr/m2*(0.03125m2/g) = 1gNr/g. (This value is larger than the other nuts by a factor of 10).
RE: CASHEWS: The attached article (Carr_Cashews) provides: Vietnam 340,000ha/1.16mill tons; India  923,000ha/613,000 tons; Nigeria  330,000ha/594,000 tons; Brazil 750,000ha/102,000 tons == the average of these equal 0.948967 ton cashew per ha
and "The total world production [of cashews] is 3.59 million tons from 4 million ha (FAOSTAT 2012)." = 1.114206 ton cashews per ha
***Would you recommend I use the average of the world's top cashew producers, or the yield of total global cashew production?
I'm still waiting on documents that might provide more information on the Nr needs of cashews, but this is taking quite some digging.  The attached article, "Grundon-2001-Fertiliserrequirementsofcashewtrees.pdf" provides a prediction of fertilizer requirements: "Economic models indicate that yields of nut-in-shell (NIS) between 2.8 t ha-1 and 5.0 t ha-1 (equivalent to 14 kg NIS tree to 25 kg NIS tree at 200 trees ha ) would be required for the highly mechanised Australian industry to be economically viable". Might this article satisfy our cashew Nr needs value?</t>
  </si>
  <si>
    <t>Peppers (hot, green, red)</t>
  </si>
  <si>
    <t>Cohort AB259 (hot peppers)</t>
  </si>
  <si>
    <t>equals pepper (Akshay A154)</t>
  </si>
  <si>
    <t>3/13: Can we assume the same environmental attributes for hot peppers (AB259), green peppers and red peppers?</t>
  </si>
  <si>
    <t>3/15: yes</t>
  </si>
  <si>
    <t>Cohort row 211</t>
  </si>
  <si>
    <t>1.6*fcock                                              environmental impacts equal fcock, "other canned fruit" (environmental dataset row 54), scaled by caloric ratio of pineapple juice to pineapple http://nutritiondata.self.com/facts/fruits-and-fruit-juices/2026/2; http://nutritiondata.self.com/facts/fruits-and-fruit-juices/2019/2</t>
  </si>
  <si>
    <t>12/12: We assume that the environmental impacts for pineapple juice (NHS 211) are the same as fcock, “other canned fruit” (Row 54), which has “pineapple” listed in your notes cell?</t>
  </si>
  <si>
    <t xml:space="preserve">12/18: No response = "If no comment, then I am cool w your choice(s)."   </t>
  </si>
  <si>
    <t>4/19: That's it thus far! For the home stretch, I still have yet to find values for: Pistachios</t>
  </si>
  <si>
    <t>12/12: Plums (row 233): can you provide us with the land needs, Nr needs, and GHGEs in addition to your water values for plums (cell M69)?;    We found the environmental attributes for prunes (row 66) and we're happy to apply a ratio conversion based on the differences in water values in plums and prunes in your spreadsheet, if you approve of this method.</t>
  </si>
  <si>
    <t>12/18: Yes, great, that's exactly the inverse of what I was describing above for apples, and it is the way to go!</t>
  </si>
  <si>
    <t>Land: Could argue marine wild capture to be zero
Water: Can argue marine wild capture to be zero (see my 2014 ERL and 2017 Advances in Water Resources papers for justification)
GHGE: Possibly from Parker et al. 2018 (would need to request the raw data from the author)</t>
  </si>
  <si>
    <t>- REFERENCE: FAO Global production averages --&gt; fish stats --&gt; capture vs. farmed
                          Gephart's spreadsheet of fish sources 
* Poore, Parker, and Heller are all pooled studies - less specific.  Don't use these if you have more specific data.
* Parker values describe wild-capture seafood only.  Pollock, cod, flatfish halibut, and haddock are all wild-caught.
* Poore values describe farmed seafood only. Tilapia and catfish consumption is from primarily farmed sources.
* Poore has more information than is given.  They are working on a paper with Parker so they may not share the data.</t>
  </si>
  <si>
    <t>Pomegranate juice</t>
  </si>
  <si>
    <t>Cohort row 223</t>
  </si>
  <si>
    <t>4/19: And I'll either find these values or substitute the environmental attributes of another food item for: Pomegranate Juice</t>
  </si>
  <si>
    <t>POMEGRANATE JUICE:
I just came across the paper &lt;Vasquez-Rowe_Carbon footprint of pomegranate (Punica granatum) cultivation in a hyper-arid region in coastal Peru.pdf&gt;, attached, from which I derived the environmental impacts of Pomegranate Juice.
Screen Shot 2019-03-15 at 12.32.41 PM.png
(you can also view this in the Additional Calculations sheet: https://docs.google.com/spreadsheets/d/1lO1x9I6EjmGt_BwrKnWoc3WBTpN-Njdj49zAu2-26qA/edit#gid=1770045826)
I am uncertain about the Nr calculations.  I used an average of gNr/t of the various N-based fertilizers measured (organic fertilizer, NH4NO3, KNO3, and CaNO3) over the course of 4 years:
                    2011.   2012.   2013.    2014
org               0           0           12.5      10
NH4NO3     89.3     50.5       28.5     13.2
KNO3          304.6   50.5       0           0
CaNO3.       0           8.0         3.4       0
Is this approach consistent with the rest of your Nr calculations in the rest of the database?</t>
  </si>
  <si>
    <t>Prob. best to take the molecular weight of each, and get the N portion of it. Sum the N (down the columns of each year). Then, if other items are reported in mass N (rather than mass of urea or nitric acid, ie the WHOLE molecule) then we are donw. If not, and it is in mass of the whole molecule, we mudt convert this too to thi value by  amplifying the N mass by  the molecular weight of urea. That would be out N fertilizer application rate.</t>
  </si>
  <si>
    <t>This table (Additional Calculations) shows how I calculated the Nitrogen inputs for pomegranates.  Referencing the Vasquez-Rowe article included in my previous email, I took the average inputs of each of the fertilizers (NH4NO3, KNO3, CaNO3, and N2O) over the 4 year period (2011-2014) provided.  I found the %N of each fertilizer’s molecular weight: 35% of 80g/mol, 13.9% of 101.1g/mol, 13.7% of 102.1g/mol, and 63.6% of 44g/mol, respectively.  The final column shows the mass N of each compound, and their sum (bottom right cell) is the total mass N.  This is converted from pomegranates to pomegranate juice using their caloric ratio.</t>
  </si>
  <si>
    <t>There is no question here, but I am assuming you are asking if this is OK. It looks to me like it is. I got slightly different N/totalMolecular mass. Please repeat calculations of that column. The rest makes sense!</t>
  </si>
  <si>
    <t>update...please confirm that the N/total molecular mass aligns with your calculations, or please provide sufficient calculations (Additional Calculations)</t>
  </si>
  <si>
    <t>Marie, just double check your molecular weight, using the common isotopes only. Simply use atomic masses, and 
the chemical formula. For example, first row, ammonium nitrate, you used the mean molecular mass with all isotopes represented. This is unnecessary. It is just 0.175 sharp. Do the same for all and you are done.</t>
  </si>
  <si>
    <t>Prune, canned</t>
  </si>
  <si>
    <t>Cohort row 205</t>
  </si>
  <si>
    <t>prunes (environmental dataset row 66) + 10%x prunes</t>
  </si>
  <si>
    <t>12/12: We utilize the same protocol for deriving the environmental values of canned prune (Row 205) from raw prunes (Row 66), as we noticed in your dataset for cpeach, "canned peaches" (Row 52). Akshay includes  a comment that says “value is for raw peaches”, and a note that says, “add 10%”. So, by analogy for canned prune (Row 205), we will add 10% to the environmental values of prunes (Row 66).</t>
  </si>
  <si>
    <t>12/18: those are a bit rough, but acceptable. The 10% is a guesstimate, yet in my experience in cases I revisited an amazingly good universal value for such additions</t>
  </si>
  <si>
    <t>Prune juice</t>
  </si>
  <si>
    <t>Prune juice is produced by boiling dried prunes numerous times while agitating, then removing the prune solids from the extraction.  Our current prune juice values are based on a caloric ratio from prunes (240kcal/100g) to prune juice (71kcal/100g).  I haven't been able to find a direct yield of prune juice from prunes in the manufacturing process to verify.  Besides water values, I think caloric ratio (0.295*prunes) might be more accurate in this case than the other fruit/veg juicing yields due to prune juice's extraction process.  What do you think?  
Looking into the water ratio between prunes (30.92gH2O/100g) and prune juice (81.24gH2O/100g), can we deduce that the water needs of prune juice ≈ 2.63*prunes? 
I also note that fiber is mostly removed in the sifting process, whereby prunes = 7.1gFiber/100g and prune juice = 1gFiber/100g.
Let me know what you'd recommend to derive the environmental attributes of prune juice from prunes.</t>
  </si>
  <si>
    <t>Fiber and water irrelevant, caloric ratio si the way to go. Scale all prune juice costs as those of prunes times 0.3.</t>
  </si>
  <si>
    <t>Raisin</t>
  </si>
  <si>
    <t>We have used the caloric ratio (grapes:raisins ≈5.19) to find the Land Use, Nr needs, and GHGE values for raisins.  By comparison, Mekonnen and Hoekstra's value for "grapes, dried" is .0386m3/100g, which identifies a different ratio of grapes to raisins (≈ 3.98).  
Would you rather use Mekonnen and Hoekstra's data or the caloric ratio to find raisin's blue water needs?</t>
  </si>
  <si>
    <t>I would stick with the caloric data. First, they are very close, of course there will be a 4-5 range variability, some 20%, depending on when grapes are harvested, how much they pre-emptied on the vine, and so on. So the range makes sense, and our method, the caloric ratio, is more objective, you cannot argue with calories. So let's go with our ratio, the golden ratio!</t>
  </si>
  <si>
    <t>Mekonnen and Hoekstra has values for "Grapes, dried" (386m3/ton) and "Grapes" (97m3/ton).  This is ~3.98:1 dried:fresh ratio, compared to the USDA caloric ratio of ~4.33:1, respectively.  These are pretty close.  Do you support that I use the caloric ratio for all environmental attributes except water, for which I'll use M&amp;H's value?  If not, please advise otherwise.</t>
  </si>
  <si>
    <t>yes</t>
  </si>
  <si>
    <t>Raspberry</t>
  </si>
  <si>
    <t>(Stacy Blondin's research):
GHGE: 0.237 CO2/kg (Heller et al. 2018)
Green: 293 m3 ton−1  (Mekonnen and Hoekstra 2011)
Blue: 53 m3 ton−1  (Mekonnen and Hoekstra 2011)
Grey: 67 m3 ton−1  (Mekonnen and Hoekstra 2011)</t>
  </si>
  <si>
    <t>For these last 5 food items, here are the values we've found so far.  We are still missing the many of the values for land use and Nr needs.  Would you support the method of substituting the LU and Nr values of similar food items in our database (with comparable GHGE and water values) for each of these food items?::
RASPBERRIES:
GHGE: 0.237 CO2/kg (Heller et al. 2018)
WATER: 
Green: 293 m3 ton−1  (Mekonnen and Hoekstra 2011)
Blue: 53 m3 ton−1  (Mekonnen and Hoekstra 2011)
Grey: 67 m3 ton−1  (Mekonnen and Hoekstra 2011)</t>
  </si>
  <si>
    <t xml:space="preserve">Would you support the method of substituting the LU and Nr values of a similar food item in our database (with comparable GHGE and water values) for raspberries? For example:
                     GHGE(gCO2eq/g)    BLUE H2O(m^3/g)    LAND(m2-yr/1g)             NR(gNr/g)
Raspberry:   0.000237                   0.000053
Tomato:        0.00023                     0.000063                   0.0004806                      0.0098776 </t>
  </si>
  <si>
    <t>in principle yes, but berries and tomatoes are not the nearest relatives in most people's minds. Any berry that fits the bill (ie, that has similar GHG and water values)? If not, I'd say this is reasonable given that both are sort of waste-high bushes, but berries are perennial while tomatoes are annual.
In https://www.agmrc.org/commodities-products/fruits/raspberries they report 23,104 acres of raspberries yielding 182 million lb, so you can get the m2/g right there. Re Nr, I am at a loss... I'd say if we have any other perennial berry, using my LU number above and that berry's Nr will do it better than tomato.</t>
  </si>
  <si>
    <t>Raspberry: Tomato versus other Berries
To derive the environmental attributes of raspberries from another food item, I’ve shared the environmental attributes of similar food items in cascading similarity.  Tomatoes, though annuals, seem to share the greatest similarities of GHGE and Blue water needs, but I will substitute whichever fruit you recommend.
                    GHGE(gCO2eq/g)    BLUE H2O(m^3/g)    LAND(m2-yr/1g)             NR(gNr/g)
Raspberry:   0.000237                   0.000053
Tomato:        0.00023                     0.000063                   0.0004806                     0.0098776 
    Grape:           0.0003                      0.000097                   0.0011092                      0.0054816
    Blueberry:     0.00083                     0.000334                   0.0020907                     0.0170246
    Strawberry:   0.002985                   0.000109                   0.0004185                      0.0086483</t>
  </si>
  <si>
    <t>If we can use the below paper instead, that would be far less questionable. Granted, this is from Italy, but I doubt that would make a huge difference. And if we cannot find anything from OR, say (where most are grown), then I'd try this one! Sci Total Environ. 2013 Aug 1;458-460:414-8. doi: 10.1016/j.scitotenv.2013.04.060. Epub 2013 May 15. A life cycle assessment of non-renewable energy use and greenhouse gas emissions associated with blueberry and raspberry production in northern Italy.</t>
  </si>
  <si>
    <t>I haven't found any raspberry LCAs from Oregon.  From this article you've shared, I was able to derive a new GHGE calculation (in red above), and the land use calculation - 12t raspberries are harvested per hectare = 0.000918592495834m2-yr/g.  
For Nr needs, I've only found a value as calculated for GHGEs = 0.007kgCO2eq/130g = 0.000054kgCO2eq/g.  Is there a way to convert this value to the units for Nr (gNr/g)?  If so, can you share the conversion calculation with me?</t>
  </si>
  <si>
    <t>no, not quite, 1e4/12e3 =  0.83 m2-yr/kg</t>
  </si>
  <si>
    <t>Rice, and derivatives</t>
  </si>
  <si>
    <t>Regarding rice, Mekonnen and Hoekstra provides the blue water values for: 
Rice, paddy                 341 m3/ton
Rice, husked (brown)  443 m3/ton
Rice, broken                509 m3/ton
Rice flour                     535 m3/ton
Rice groats and meal  454 m3/ton
Would you recommend I use "Rice, paddy" for white rice, or another category?  I've used "Rice, husked (brown)" for brown rice and "Rice flour" for white rice flour.</t>
  </si>
  <si>
    <t>let's do the simple arithmetic mean of those. The reason is that they are almost the same if you take into account particle size which is a proxy for the density (or air voids in the bulk matrix). So I'd recommend simple arithmetic mean of those.</t>
  </si>
  <si>
    <t>There are a few different forms of rice that are used in the database.  Your database provided the LU and Nr needs of raw white rice, which formed the basis for all the other rice products' LU and Nr needs.  I used Mekonnen and Hoekstra's blue water data (paddy rice, rice flour, and raw brown rice) and the food emissions calculator for as many of the rice products as they had listed (paddy rice, white rice, brown rice, rice bran).  To derive the rest of the environmental attributes, I used a variety of methods, raw-to-cooked gmwt yield; and caloric ratio.  From this website &lt;http://www.knowledgebank.irri.org/training/fact-sheets/postharvest-management/item/modern-rice-milling-fact-sheet&gt;, I used the grain milling yields to derive the remaining raw products from the values already.  I then used the raw-to-cooked gmwt yield from this website &lt;https://www.cooksinfo.com/rice#How_much_uncooked_rice_equals_how_much_cooked_rice&gt; to calculate the cooked white (1/3 env. costs of raw white rice) and brown rice (1/2 env. cost of raw brown rice) values.  For puffed rice, I used the caloric ratio between it and white rice (as we discussed many months ago).  And, to stay aligned with the derivatives of wheat, corn, etc, I calculated bran as 5% of the environmental attributes of paddy rice (or should I use brown rice?).
Please confirm these calculations or advise otherwise.
RICE                     Conversion        %        Land needs              Nr needs              Water needs           GHG emission
                             calculations                   (m2-yr/1g)                 (gNr/1g)                (m^3/1g)                 (kg CO2eq/1g)
rough paddy rice                              1        0.001672416764      0.1133489957      0.000341                 0.00152119085
white rice raw             365              0.7       0.002389166806      0.1619271367      0.0004871428571   0.00235894813
white rice cooked  1/3*wrice raw                0.0007963889354    0.05397571223    0.0001623809524   0.0007863160432
white rice flour            366              0.7       0.002389166806      0.1619271367      0.000535                 0.00235894813
puffed rice                  402                          0.002631356318       0.1783416684     0.0005365244618    0.002598074378
brown rice raw           367              0.8        0.002090520956      0.1416862446      0.000443                 0.002160531932
brown rice cooked 1/2*brice raw                0.001045260478      0.0708431223      0.0002215               0.001080265966
rice bran                                        0.05      0.00008362083822  0.005667449784  0.00001705              0.0004629711282</t>
  </si>
  <si>
    <t>This sounds good. But I am somewhat suspicious of the 1/3 vs. 1/2 above. Why is white slightly ,more efficient than brown, when white is brown+added processing?</t>
  </si>
  <si>
    <t>Re: cooked white rice vs. cooked brown rice
Following up on a distant discussion on rice: We're comparing cooked vs. raw, and white vs. brown rice.  In the raw form, white rice has slightly higher environmental attributes than brown rice, which can be attributed to processing and removal of bran.
In the USDA database, the caloric ratio of raw white rice to cooked white rice is 365:~68, so cooking rice in water multiplies the mass by about 5x.  And the caloric ratio of raw brown to cooked brown is 367:123, just shy of tripling in mass.  Therefore, it takes much less raw white rice to make cooked white rice, than to make brown rice from the raw form.
I also found a 2018 paper by Wu et. al. (attached) that describes the water uptake ratio (WUR) of brown vs. white rice (Table 4).  On average, the cooked to dry weight ratio of brown rice was ~1.3, whereas that of white rice was ~1.9.
The caloric ratio aligns with the rest of the database, so I prefer this method.  Do you have a preference of which conversion calculation I use for the cooked rice attributes?
Article: Wu, K., Gunaratne, A., Gan, R., Bao, J., Corke, H., &amp; Jiang, F. (2018). Relationships between cooking properties and physicochemical properties in brown and white rice. Starch‐Stärke, 70(5-6), 1700167.</t>
  </si>
  <si>
    <t>definitely caloric ratio. That is what we have been doing throughout, and face no compelling reason to change that</t>
  </si>
  <si>
    <t>Rice, puffed</t>
  </si>
  <si>
    <t>(on "Additional Calculations" sheet)</t>
  </si>
  <si>
    <t>Caloric Ratio Calculate(d) from white rice.</t>
  </si>
  <si>
    <t>4/21: surely white</t>
  </si>
  <si>
    <t>4/24: Great!  Thank you!</t>
  </si>
  <si>
    <t>Rice Syrup</t>
  </si>
  <si>
    <t>To derive the environmental attributes of brown rice syrup from raw brown rice, which ratio would you recommend I use?  I was leaning toward sugars because that's the intention of the process of creating brown rice syrup from brown rice.  However, there may also be value in keeping consistent with Akshay's method of deriving Water needs and GHGEs from the caloric ratio between corn and HFCS.  What do you recommend?</t>
  </si>
  <si>
    <t>Let's apply the same logic as above. For that, however, we need to know how much water is in the final syrup, which I do not know. I found nutri info for a specific brand online,https://www.glucochem.com/wp-content/uploads/2011/05/OBRS-42DE.pdf. It has 3.2 kcal/g, while brown rice has 3.7 kcal/g
 3.9w_rice + 0 w_water = 3.2 --&gt; w_rice = 3.2/3.9 = 0.82 which means a kg of syrup requires 820 g rice. So the environ costs per kg syrup are those of 0.82 kg rice.</t>
  </si>
  <si>
    <t>Thank you for this conversion calculation, Gidon.  Where does "3.9" for w_rice come from? --Did you mean 3.7?   I'm trying to document each value that I use in our database so that it can understood and potentially adjusted if new information becomes available down the road.  Thanks!</t>
  </si>
  <si>
    <t>no, I was using the well-established fact (see under glycemic load) that rice is mostly rapidly absorbed starch, so about 3.9 kcal/g. But you can perfectly well use the 3.7, in which case you get ALMOST the same result, 1 kg syrup requiring 865 g rice.</t>
  </si>
  <si>
    <t>Environmental row 215</t>
  </si>
  <si>
    <t>does not have any environmental attributes</t>
  </si>
  <si>
    <t>12/12: We assume that salt (env. row 215) and splenda (env row 346) do not have environmental impacts.</t>
  </si>
  <si>
    <t>Food Emssions calculator says that salt contributes 0.0000001kgCO2/g emissions to the environment. For the database, can we assume that salt's environmental attributes are negligible? the quantity that is used and the process of it's production?</t>
  </si>
  <si>
    <t>Absolutely. Because it mostly is!</t>
  </si>
  <si>
    <t>Sausage</t>
  </si>
  <si>
    <r>
      <rPr>
        <b/>
        <sz val="10"/>
        <rFont val="Arial"/>
      </rPr>
      <t xml:space="preserve">SEAFOOD </t>
    </r>
    <r>
      <rPr>
        <sz val="9"/>
        <rFont val="Arial"/>
      </rPr>
      <t>(blanket rule)</t>
    </r>
  </si>
  <si>
    <t>I have completed these seafood values with a great deal of guidance from Jessica Gephart, who works with Chris Golden.  I'd just like to share the final values before applying them to the database.  We had quite a few different seafood sources to choose from and, generally followed these rules: 
I used values from the papers that were most specific to each seafood species, and disregarded values regarding broader categories of seafood (however, there were certain seafood items (e.g. clams) where broad categories (e.g. mollusk) were the most specific we could find).
Best to use values from production systems that are most representative of what the U.S. is eating (for example, Henriksson and Bosma measure non-polyculture aquaculture systems which are more representative of the catfish eaten in the U.S. than polyculture systems, as represented in Mungkung's paper.  Therefore, we disregarded Mungkung's catfish values)
We assumed wild-capture seafood items to have Land Use, Nr Use, and Water Use values of zero.
We assumed non-fed aquaculture species to have Land Use, Nr Use, and Water Use values of zero.</t>
  </si>
  <si>
    <t>Cohort row 858</t>
  </si>
  <si>
    <t>same as soybeans</t>
  </si>
  <si>
    <t>12/12: We assume that the environmental impacts for soy isolate (row 858) are the same as soybeans (env. attributes needed).</t>
  </si>
  <si>
    <t>same as soybean oil</t>
  </si>
  <si>
    <t>12/12: We assume that the environmental impacts for soy lecithin (row 1097) are the same as soybean oil (row 287)</t>
  </si>
  <si>
    <t>12/18: I'd say maybe it's better to use the values for soy itself, not soy oil (like below), but I am not sure how this industrial process works</t>
  </si>
  <si>
    <t>2/4: That's a good lesson to have, and I am with you, yes, in that case soybean oil is the better item to use.​</t>
  </si>
  <si>
    <t>1/31: Soy lecithin: you mentioned in your last email that you weren't sure how the industrial process works for this product, and recommended that I use "soybeans" as its environmental attributes.  With a brief online search, it seems to me that lecithin is a product of crude soy oil.  Would you prefer for me to utilize the environmental values of soybeans or soybean oil for soy lecithin?</t>
  </si>
  <si>
    <r>
      <rPr>
        <b/>
        <sz val="10"/>
        <rFont val="Arial"/>
      </rPr>
      <t xml:space="preserve">soybean oil </t>
    </r>
    <r>
      <rPr>
        <b/>
        <sz val="8"/>
        <rFont val="Arial"/>
      </rPr>
      <t>(including fully/partially hydrogenated)</t>
    </r>
  </si>
  <si>
    <t>derived from SOYCT (nur11.sas.dd: soyct=Soybean Oil)</t>
  </si>
  <si>
    <t xml:space="preserve">12/7: Regarding soybean oil, palm oil, and cottonseed oil in FFQ recipes: All partially hydrogenated, fully hydrogenated, and normal processes of each of these items are combined.                           </t>
  </si>
  <si>
    <t>12/9: From an environmental standpoint ​this is not too bad. But what about nutrition?? Ordinary soybean oil vs. its partially hydrogenated counterpart are night and day. Do we really want to combine?</t>
  </si>
  <si>
    <t>12/12: Regarding the first email: We will utilize the same environmental attributes for al derivatives of soybean oil, palm oil, and cottonseed oil (e.g. partially hydrogenated soybean oil = non-hydrogenated soybean oil), but we will not combine the nutritional quality of these oils.</t>
  </si>
  <si>
    <t>soybeans environmental values</t>
  </si>
  <si>
    <t>12/12: Soybeans - can you share the water-use and GHGEs in addition to the environmental values in Gidon's MAD document (attached)?</t>
  </si>
  <si>
    <t>4/19: That's it thus far! For the home stretch, I still have yet to find values for: Soybeans</t>
  </si>
  <si>
    <t xml:space="preserve">4/21: in our dataset, plVals.xlsx I shared with you                          </t>
  </si>
  <si>
    <t>4/24: I can't seem to find this dataset, but I was able to find the EnvironCalcPaper3_151104AS_poultryconcise (2).xlsx document that you shared with me. By cross referencing the Land Use and Nr values in this document with with Akshay's dataset, I was able to find the Water and GHGE values.</t>
  </si>
  <si>
    <t>*Already done 
5/4: water: They sure do.  I will take an average of these two values for lentils and soybeans - (31gCO2eq/100g + 25.7gCO2eq/100g)/2  = 28.35gCO2eq/100g - for our final GHGE value.</t>
  </si>
  <si>
    <t>equals 1.76x wheat</t>
  </si>
  <si>
    <t>1/31: Can we calculate spaghetti as "wheat"?</t>
  </si>
  <si>
    <t>2/4: I am going by an Italian analysis, it would be applicable, http://onlinelibrary.wiley.com/doi/10.1111/j.1745-4557.2007.00170.x/full. They show that there is no mass loss (table 2).​ Fig. 4 is mostly where the answer is. For uniformity with other items that do not include everything down to the plate in front of us, we are going to ignore the trailing 3 items, so our whole is the some of the leading 3, 47.3%. Of that, grain production is 26.9%. So while pasta is 47.3, grain production is 26.9. Since 47.3/26.9  = 1.76, the environmental costs of pasta are 1.76 times those of wheat.</t>
  </si>
  <si>
    <t>Environmental row 346</t>
  </si>
  <si>
    <t>Sugar: white sugar, turbinado, powdered sugar, cane sugar, brown sugar</t>
  </si>
  <si>
    <t>equal sugar</t>
  </si>
  <si>
    <t>3/13: Can we assume the same environmental attributes for white sugar, turbinado, powdered sugar, cane sugar, brown sugar?</t>
  </si>
  <si>
    <t>3/15: the color (i.e., with or without the molasses) is unimportant environmentally but beet-based sugar may differ markedly from its sugarcane-based brethren. I am not sure here, but what I AM sure is that per kcal they are both very, very environmentally affordable. So if you have full values for any one of them, it is safe to use for the others, the error we will introduce here is minor.</t>
  </si>
  <si>
    <t>Here we have a similar situation to corn syrup.  In Akshay's database, the Nr value for "SYRUP CANE" is 0.  In MAD sheet of your EnvironCalc paper, there is no N fertlizer (lb/acre/yr) value for cane syrup, leaving the "loss-adjusted Nr needs, gNr/100g" value 0.  From my experience with the sugar cane industry on Maui, this doesn't seem feasible.  This is what I'm looking at in Akshay's database:
                             land needs, m2-yr/100g  Nr needs, gNr/100g   Water needs m^3/100g   GHG emission kg CO2eq/100g
SYRUP CANE        0.020925327                   0                                0.0025                             0.004</t>
  </si>
  <si>
    <t>I really don't know. Let me try. https://www.haifa-group.com/using-right-fertilizers-order-provide-sugar-cane-necessities says you need 1.25 - 1.50 Kg of N per ton of cane. https://www.appropedia.org/Sugar_Production_from_Cane_Sugar_(Practical_Action_Technical_Brief) says you get about 50 kg syrup out of 100 kg yield. Combining these, we get that you need about 1.35 kgN/500 kg syrup or an N/syrup mass ratio of about 0.003. So 100 g syrup requires 0.3 g Nr.</t>
  </si>
  <si>
    <t>Sunflower oil</t>
  </si>
  <si>
    <t>Land Use - I found these values from this article regarding biofuels &lt;https://farm-energy.extension.org/sunflowers-for-biofuel-production/&gt;
  -Sunflower Oil LU = 2.111m2/100g
Nr Needs - I used this article to determine the Nr use &lt;https://www.tandfonline.com/doi/abs/10.1081/CSS-120024791&gt;
  - Sunflower Oil Nr Needs = 48.773gNr/100g
Water Needs - Mekonnen and Hoekstra
  -Sunflower Oil Blue Water Needs = 0.0299m3/100g
GHGE - Food Emissions calculator online
  -Sunflower Oil GHGE = 0.1477kgCO2eq/100g</t>
  </si>
  <si>
    <t>rock solid</t>
  </si>
  <si>
    <t>To confirm the environmental impacts of sweet potatoes:
Land Use: 0.22 m2/100g ("sweet potato raw unprep" in MAD sheet of EnvironCalc)
Nr Needs: 1.54 gNr/100g ("sweet potato raw unprep" in MAD sheet of EnvironCalc)
Blue Water: 0.0005 m3/100g ("sweet potatoes" in Mekonnen and Hoekstra 2011)
GHGE: 0.043 kgCO2eq/100g ("sweet potatoes" in foodemissionscalculator.com)
Please confirm these values or advise otherwise.</t>
  </si>
  <si>
    <t>Tea</t>
  </si>
  <si>
    <t>Henriksson is probably the best source to use becasue it is specific to the species common to U.S. consumption
* Poore values describe farmed seafood only. Pollock, cod, flatfish halibut, and haddock are all wild-caught.
* Poore has more information than is given.  They are working on a paper with Parker so they may not share the data.</t>
  </si>
  <si>
    <t>Cohort row 433</t>
  </si>
  <si>
    <t>Additional Calculations Row 92 confirmed</t>
  </si>
  <si>
    <t>4/19: That's it thus far! For the home stretch, I still have yet to find values for: Turkey</t>
  </si>
  <si>
    <t>4/21: our PNAS '14 paper</t>
  </si>
  <si>
    <t>4/24: I do not see specific values for turkey in the PNAS paper (to confirm, are you referencing http://www.pnas.org/content/111/33/11996#abstract-2 ?).  With your confirmation, I will use the poultry values in this paper for turkey's environmental attributes.</t>
  </si>
  <si>
    <t>4/27: ​Yes, we do not have specific turkey values, so just use poultry.</t>
  </si>
  <si>
    <t>Turkey environmental attributes:  Please check the values in row 88 of the "Additional Calculations" sheet.
--To find the beef calculations, you gave me this guidance: 
"We obtained this not for a specific cut but instead using national calories eaten/population retail disappearance weight. This given 3.35 Mcal/(eaten kg) = 3350 kcal/(eaten kg) = 335 kcal/(eaten 100 g). Does this make sense? let's see. http://nutritiondata.self.com/facts/beef-products/3460/2 tells us that fr an individual burger, it is 296/(100 g). But we need to produce more than 100 g to get to EAT 100 g. We also need to produce more to account for water mass loss during cooking. So the added 39 kcals (order 10%) seems reasonable. If the rest of the items are per farm gate, then I'd say let's use 300 kcal/100 g beef."
--Regarding poultry, the PNAS document you had shared with me gives 2.29 Mcal/(eaten kg) of poultry = 229kcal/(eaten 100g). Then I followed your procedure to cooked ground turkey (http://nutritiondata.self.com/facts/poultry-products/932/2) which defined that 4oz (or 113.398g) of raw ground turkey yields 82g cooked turkey, and therefore 27.7% is lost during cooking. Therefore, I have multiplied the 229kcal turkey/(eaten 100g) and 72.3% to find the final conversion coefficient of ≈166kcal/100g poultry. Is this correct?</t>
  </si>
  <si>
    <t>--I think you mean row 92, right? Also, not sure what that 166 in the the denominator is...
--Right on</t>
  </si>
  <si>
    <t>Vinegar</t>
  </si>
  <si>
    <t>Cohort row 1604</t>
  </si>
  <si>
    <t>4/19: And I'll either find these values or substitute the environmental attributes of another food item for: Vinegar</t>
  </si>
  <si>
    <t>4/21: I really do not know, vinegar is made from so many different raw juices, wine, and so on.​</t>
  </si>
  <si>
    <t xml:space="preserve">4/24: Great, I'll take a look as soon as I can.  And I'll certainly consult with you about my findings. </t>
  </si>
  <si>
    <t>Vinegar composes 20% of Catsup, 11% Mayo, and 5.5% Ranch dressing in the NHS recipes in our final database. Would vinegar be best equated to liquor (white distilled vinegar) or apple juice (apple cider vinegar)?</t>
  </si>
  <si>
    <t>I really don't know, sorry. Intuitively, I'd say white, presumably using corn starch as substrate. Ketchup and mayo are such commercial crappy things that one must assume they use the absolute cheapest ingredients. hence the assumption that it is corn based.</t>
  </si>
  <si>
    <t>I will convert the environmental attributes of white distilled vinegar from our liquor calculations if you approve this method: I will multiply our final 80 proof liquor values by a corn:barley conversion ratio per each environmental attribute.  For example, water needs for corn is 0.0322m^3/100g and the water needs for barley is 0.1644m^3/100g, making a conversion ratio of 0.0322/0.1644 = 0.1959; so [white distilled vinegar water value] = 0.1959*[80 proof liquor value].</t>
  </si>
  <si>
    <t>I will convert the environmental attributes of white distilled vinegar from our liquor calculations if you approve this method: I will multiply our final 80 proof liquor values by a corn:barley conversion ratio per each environmental attribute. For example, water needs for corn is 0.0322m^3/100g and the water needs for barley is 0.1644m^3/100g, making a conversion ratio of 0.0322/0.1644 = 0.1959; so [white distilled vinegar water value] = 0.1959*[80 proof liquor water value]. Does this seem reasonable to you?</t>
  </si>
  <si>
    <t>No. Let'sd use corn as the substrate, that makes the most sense, then follow the fermentation-distillation chain</t>
  </si>
  <si>
    <t>We don't have the specific fermentation distillation chain for vinegar, but we do have one for liquor.  If the majority of liquor is made from barley, and white distilled vinegar is made from corn, then can we derive the values of vinegar from those of liquor using a conversion ratio between barley and corn?</t>
  </si>
  <si>
    <t xml:space="preserve">white vinegar is the simplest item known to humanity, used for such lofty purposes as cleaning drip coffee makers. So it has to be SUPER cheap and simple. I'd say - find the mass of corn needed to produce a litter of white vinegar, and go from there. I don't have this, I am really sorry. </t>
  </si>
  <si>
    <t>VINEGAR: Cells A139 - H148 of https://docs.google.com/spreadsheets/d/1lO1x9I6EjmGt_BwrKnWoc3WBTpN-Njdj49zAu2-26qA/edit#gid=1770045826
In an effort to find the environmental values for vinegar derived from corn: My initial calculation converted Corn to Vinegar, as Barley is to Beer. The calculation below this one is my conversion based on how much corn is necessary to make moonshine.  I could not find any documentation on how much corn is needed to make a unit of vinegar.  If you can find this value, I would be very happy to use it!  Researching how vinegar is made, I learned about the two most common vinegars:
White vinegar is made by fermenting corn, then distilling it into low wine, and then fermenting it further.
Distilled vinegar is made by fermenting corn, diluting it with water, and then distilling to the final product.
The closest recipe I could find to either of these methods was for Moonshine, which is made by fermenting a grain and then distilling the mash.  The recipe in &lt;https://www.clawhammersupply.com/blogs/moonshine-still-blog/7208742-alcohol-yields&gt; says that a 5 gallon run (mash) yields 1-2 gallons (or 5337.6g &lt;https://www.aqua-calc.com/calculate/food-volume-to-weight&gt;) alcohol. &lt;https://www.clawhammersupply.com/blogs/moonshine-still-blog/how-to-make-moonshine&gt; says 5 gallons of mash needs 9 lbs (or 4082.328g) corn. So, 4082.328g corn yields ≈5337.6g moonshine, and therefore gives a 11.76740331 conversion ratio of Corn to Moonshine (or vinegar).  This method of calculation really ramps up the environmental burden of vinegar!  What do you think?  If this is not sufficient, please provide alternative resources for me to find these values.</t>
  </si>
  <si>
    <t>this makes sense, but it has to be scaled by alcohol content. Moonshine is much higher, so the scaling will bring it back down a bit, which I think makes better sense. So, e.g., if moonshine is 15% alcohol while white vinegar is 3%, the conversion factor above is no longer 11.8 as above but instead 11.8/5.</t>
  </si>
  <si>
    <t>This makes a lot of sense!  The moonshine recipe (above) describes that a 100% corn mash without sugar produces a 10% ABV moonshine.  The USDA National Nutrient Database says Distilled Vinegar "Contains 5% acetic acid" and the Vinegar Institute (also referenced in the USDA NDB) describes that, "The strength of vinegar is measured by the percent of acetic acid present in the product...".
So, the final conversion factor will be 11.8/2.</t>
  </si>
  <si>
    <t>Very nice!</t>
  </si>
  <si>
    <r>
      <rPr>
        <sz val="10"/>
        <rFont val="Arial"/>
      </rPr>
      <t xml:space="preserve">I'd just like to confirm my final calculations with you regarding vinegar before publishing:
9lb corn =&gt; 8 gal mash 
(Clawhammer Supply, (2018). "How to Make Moonshine." Available at https://www.clawhammersupply.com/blogs/moonshine-still-blog/how-to-make-moonshine.)
8 gal mash =&gt; 0.89 gal 100-proof alcohol solution
(Clawhammer Supply, (2013). "Alcohol Yields." Available at https://www.clawhammersupply.com/blogs/moonshine-still-blog/7208742-alcohol-yields.)
1 gal 100-proof alcohol solution = 3558.4g 100-proof distilled beverage
("Alcoholic beverage, distilled, all (gin, rum, vodka, whiskey) 100 proof." Calculate weight of generic and branded foods per volume. Available at https://www.aqua-calc.com/calculate/food-volume-to-weight.)
Conversion calculation (corn to vinegar):
9*453.592g corn / 8 gal mash • 8 gal mash/0.89 gal 100proof*1gal 100 proof/3558.4g distilled bev = 1.289gcorn/g 100-proof bev
100-proof alcohol = 50% alcohol, scaled to 5% white distilled vinegar.  This means white distilled vinegar = (0.1)100-proof alcohol
VINEGAR     Conversion             Conversion            FINAL               Land needs            Nr needs           Water needs               GHG emission
                     corn to vinegar        alcohol content     RATIO               (m2-yr/100g)          (gNr/100g)        (m^3/100g)                 (kg CO2eq/100g)
                    </t>
    </r>
    <r>
      <rPr>
        <u/>
        <sz val="10"/>
        <rFont val="Arial"/>
      </rPr>
      <t>(gcorn/ g100-proof)</t>
    </r>
    <r>
      <rPr>
        <sz val="10"/>
        <rFont val="Arial"/>
      </rPr>
      <t xml:space="preserve"> </t>
    </r>
    <r>
      <rPr>
        <u/>
        <sz val="10"/>
        <rFont val="Arial"/>
      </rPr>
      <t>(100proof/vinegar)</t>
    </r>
    <r>
      <rPr>
        <sz val="10"/>
        <rFont val="Arial"/>
      </rPr>
      <t xml:space="preserve"> </t>
    </r>
    <r>
      <rPr>
        <u/>
        <sz val="10"/>
        <rFont val="Arial"/>
      </rPr>
      <t>(Corn/Vinegar)</t>
    </r>
    <r>
      <rPr>
        <sz val="10"/>
        <rFont val="Arial"/>
      </rPr>
      <t xml:space="preserve">. </t>
    </r>
    <r>
      <rPr>
        <u/>
        <sz val="10"/>
        <rFont val="Arial"/>
      </rPr>
      <t xml:space="preserve">                     </t>
    </r>
    <r>
      <rPr>
        <sz val="10"/>
        <rFont val="Arial"/>
      </rPr>
      <t xml:space="preserve">          </t>
    </r>
    <r>
      <rPr>
        <u/>
        <sz val="10"/>
        <rFont val="Arial"/>
      </rPr>
      <t xml:space="preserve">                  </t>
    </r>
    <r>
      <rPr>
        <sz val="10"/>
        <rFont val="Arial"/>
      </rPr>
      <t xml:space="preserve">       </t>
    </r>
    <r>
      <rPr>
        <u/>
        <sz val="10"/>
        <rFont val="Arial"/>
      </rPr>
      <t xml:space="preserve">                    </t>
    </r>
    <r>
      <rPr>
        <sz val="10"/>
        <rFont val="Arial"/>
      </rPr>
      <t xml:space="preserve">                </t>
    </r>
    <r>
      <rPr>
        <u/>
        <sz val="10"/>
        <rFont val="Arial"/>
      </rPr>
      <t xml:space="preserve">                         </t>
    </r>
    <r>
      <rPr>
        <sz val="10"/>
        <rFont val="Arial"/>
      </rPr>
      <t xml:space="preserve">
Corn                                                                                                    0.002611883782    0.1403229188    0.000081                   0.0005947856223
Vinegar       1.289030293             10                         12.89030293     0.0002026239257 0.01088592872  0.000006283793365        0.00004614209811
(white distilled)</t>
    </r>
  </si>
  <si>
    <t>the above is sound and good</t>
  </si>
  <si>
    <t>water as an ingredient</t>
  </si>
  <si>
    <t>Environmental row 243</t>
  </si>
  <si>
    <t>12/12: We assume that water added to food and drinking water do not have environmental impacts (env. att row 243)</t>
  </si>
  <si>
    <t>Water Needs calculations</t>
  </si>
  <si>
    <t>4/19: In Akshay's document, it looks as though all "water needs" calculations are derived from Mekonnen and Hoekstra's blue, green, and grey water footprint calculations.  With your confirmation, I will utilize this same method for all subsequent food item environmental attributes to keep consistent.</t>
  </si>
  <si>
    <t>4/21: ​Yes, that is good, and I am happy to explain the shades of water here. The only one the makes full sense is blue, as the ocean off Maui tends to be.</t>
  </si>
  <si>
    <t xml:space="preserve">4/24: a. The latter is for sure!  More below...; b. </t>
  </si>
  <si>
    <t>4/27: ​only blue. THe other two are unclear at best, verging on hokey.</t>
  </si>
  <si>
    <t>Regarding the blue water needs for the database, how can we convert the values in Mekonnen and Hoekstra’s 2010 article &lt;https://waterfootprint.org/media/downloads/Report-48-WaterFootprint-AnimalProducts-Vol1.pdf&gt; from m^3/year to m^3/100g?  Do you know if this is possible?</t>
  </si>
  <si>
    <t>Regarding the blue water needs for the database, how can we convert the values in Mekonnen and Hoekstra’s 2010 article &lt;https://waterfootprint.org/media/downloads/Report-48-WaterFootprint-AnimalProducts-Vol1.pdf&gt; from m^3/year to m^3/100g? Do you know if this is possible?</t>
  </si>
  <si>
    <t>blue water needs of oysters? It's zero or very close. Even the ice they use so prodigiously is seawater.</t>
  </si>
  <si>
    <t>Actually, I am referring to ALL blue water needs.  We're converting the water needs for all the food items in the database to blue water needs, and we're wondering if we can use the blue water needs provided in this report: &lt;https://waterfootprint.org/media/downloads/Report-48-WaterFootprint-AnimalProducts-Vol1.pdf&gt;.  The report provides all the blue water needs in the units "m^3/year" rather than "m^3/100g".  Is there a calculation to convert these year values to gram weights?</t>
  </si>
  <si>
    <t>Yes, this is the canonical source of blue water use. Absolutely.</t>
  </si>
  <si>
    <t>Wheat: whole wheat flour, wheat flour all-purpose, all-purpose flour, wheat kernels, cracked wheat, farina</t>
  </si>
  <si>
    <t>equal wheat</t>
  </si>
  <si>
    <t>3/13: Can we assume the same environmental attributes for whole wheat flour, wheat flour all-purpose, all-purpose flour, wheat kernels, cracked wheat, farina?</t>
  </si>
  <si>
    <t>3/15: Accepting some error of orders we know we have, that is safe to do. For example, white flour production is the origin of packaged wheat bran and germ, so white flour has minutely lower environmental costs. We are not pretending to have THAT level of accuracy, the difference between these is dwarfed by the differences of all of them and, say, pork or other wheat-independent product.</t>
  </si>
  <si>
    <t>I am realizing that reallocation and finding the derivatives of food products are complex processes that require a critical eye on the food systems at large.  I do not have this expertise, so I will need your specific guidance for all the food items that might need to be changed.  For example, regarding wheat, we decided many moons ago that whole wheat flour and all-purpose flour are equal, and the environmental attributes of wheat germ and bran are 0.05*flour. Is this reasonable?  If not, please advise an alternative calculation for these food items and any others that you would like changed.</t>
  </si>
  <si>
    <t>I can't see why not. I think it IS perfectly sensible and defensible, yes.</t>
  </si>
  <si>
    <t>Wheat germ and bran</t>
  </si>
  <si>
    <t>Environmental row 462</t>
  </si>
  <si>
    <t>same as wheat (cell M73)</t>
  </si>
  <si>
    <t>12/7: Unless you recommend otherwise, we are considering wheat gluten a byproduct of wheat.  We calculate wheat gluten as 13.5% of wheat (based on values in http://onlinelibrary.wiley.com/doi/10.1111/jgh.13703/epdf).  Can you share with us the GHGE impact of gluten?</t>
  </si>
  <si>
    <t xml:space="preserve">12/9: We do not have specific data for gluten, and I have never seen an LCA explicitly for that. It seems to me ​that wheat gluten is a wheat product, namely once you use a certain amount of wheat to produce gluten, the rest becomes byproduct feed. So the environmental cost is that of wheat, perhaps minus a very modest discount due to added benefit the resultant byproduct delivers (modest because compared with ethanol and milling byproducts, this is really not a huge source of feed).       </t>
  </si>
  <si>
    <t>12/12: We will use the environmental attributes of wheat (cell M73) for wheat gluten (row 462), without any adjustment.</t>
  </si>
  <si>
    <t xml:space="preserve">12/18: No response = "If no comment, then I am cool w your choice(s). " </t>
  </si>
  <si>
    <t>Many moons ago, we had decided to keep the environmental attributes equivalent between wheat and wheat gluten because we don't have specific data for gluten and because it is a wheat product so all that's leftover after its processing goes to feed.
As we find the blue water needs for the database, we've found that Mekonnen &amp; Hoekstra's values for wheat gluten (0.000785m3/g) differ from those of wheat (0.000342m3/g).
Would you recommend that we 1) use this new water value for wheat gluten while keeping the land use, Nr needs, and GHGEs consistent with wheat, 2) scale all the environmental variables of wheat gluten by the water need ratio between wheat and wheat gluten, or 3) leave all the wheat gluten variables the same as wheat?  Please advise.
Examples of the options:        
                                  Land(m2/1g)         NR(gNr/1g)    H2O(m^3/1g)    GHGE(kgCO2/1g
Wheat                       0.0050852            0.059954        0.000342.         0.00034
Wheat gluten 1)        0.0050852            0.059954        0.000785          0.00034
Wheat gluten 2)        0.0116722            0.137614         0.000785         0.00078
Wheat gluten 3)        same as wheat for all variables</t>
  </si>
  <si>
    <t>I am not surprised. Gluten is a fairly small fraction of  wheat, so its environmental attributes scale accordingly. The counter argument is that the remainder of the wheat is then used for other things, likely feed. Yes, but that is such degradation in quality, that we credit none of it. But that is a fine point the LCA aficionados with take issue with because it's insufficiently "rigorous". If you can find a source that says what the wheat left over from wheat gluten production is mostly used for, we can refine the above.</t>
  </si>
  <si>
    <t>From this article &lt;https://link.springer.com/chapter/10.1007/978-94-011-4018-8_50&gt;, it seems to me that wheat gluten is a byproduct of the wheat production process, along with wheat bran, pollard, and germ (which are largely used as aquatic and livestock feed).  Therefore, perhaps the additional water needs in Mekonnen and Hoekstra’s article are associated with the additional processing methods.  To keep consistent with the rest of the food items in our database, I feel inclined to keep wheat gluten’s environmental attributes equal to our values for wheat.  What do you think?</t>
  </si>
  <si>
    <t>From this article &lt;https://link.springer.com/chapter/10.1007/978-94-011-4018-8_50&gt;, it seems to me that wheat gluten is a byproduct of the wheat production process, along with wheat bran, pollard, and germ (which are largely used as aquatic and livestock feed). Therefore, perhaps the additional water needs in Mekonnen and Hoekstra’s article are associated with the additional processing methods. To keep consistent with the rest of the food items in our database, I feel inclined to keep wheat gluten’s environmental attributes equal to our values for wheat. What do you think?</t>
  </si>
  <si>
    <t>Gluten is purified protein, so it needs industrial extraction from the wheat. I don't think of it as a byproduct, but as something a small portion of all wheat is used for. Let's take wheat needs, and amplify them by the ratio of protein in commercial gluten vs raw wheat.</t>
  </si>
  <si>
    <t>Protein content:
“48052, Vital wheat gluten”                 = 75.16g/100g===== 75.16g/100g
“20071, Wheat, hard red spring”         = 15.4g/100g
“20072, Wheat, hard red winter”         = 12.61g/100g
“20073, Wheat, soft red winter”         = 10.35g/100g                = 12.07g/100g (average of all raw wheats)
“20074, Wheat, hard white”                 = 11.31g/100g
“20075, Wheat, soft white”                 = 10.69g/100g
Ratio = 6.23 gluten:raw wheat
So, I'll multiply all environmental attributes of wheat by 6.23.
Do you approve of these calculations?</t>
  </si>
  <si>
    <t xml:space="preserve">I do, wonderful! </t>
  </si>
  <si>
    <t>Wine</t>
  </si>
  <si>
    <t>For the applications of our database, do you confirm that the environmental attributes for red wine and white wine are the same?</t>
  </si>
  <si>
    <t>I really don't know. No idea. It is reasonable, but I am in no position to defend it or reject it.</t>
  </si>
  <si>
    <t>Regarding environmental attributes of red wine vs. white wine: 
The chapter, Life Cycle Assessment of wine production, in the book, Environmentally-Friendly Food Processing(2003) identifies that 1.41kg grapes are needed per kg red wine, and 1.6kg grapes are needed per kg white wine.  These values fall nicely around Akshay's 1.46kg grapes per kg wine (general) value.  
Do you confirm the use of these coefficients (1.41 for red; 1.6 for white) for converting our grape environmental values to those for red wine and white wine?</t>
  </si>
  <si>
    <t>knowing little about it, the difference is mostly in inclusion or exclusion of the seeds so this tight clustering makes sense. Let's use those values, yes.</t>
  </si>
  <si>
    <t>Yeast</t>
  </si>
  <si>
    <t>There were no LCAs of yeast readily available, and it is used in such small quantities that I think we can just assume that the environmental attributes are 0.  What do you think?</t>
  </si>
  <si>
    <t>totally negligible. You are really learning the important lessons of all of this!</t>
  </si>
  <si>
    <t>NHS2 2011 FFQ</t>
  </si>
  <si>
    <t>FFQ category/Question #</t>
  </si>
  <si>
    <t>FFQ description</t>
  </si>
  <si>
    <t>BASIC FFQ RECIPE %</t>
  </si>
  <si>
    <t>BASIC FFQ RECIPE (added)</t>
  </si>
  <si>
    <t>ENV blue water needs m^3/1g</t>
  </si>
  <si>
    <t>Dairy foods</t>
  </si>
  <si>
    <t>Skim milk (8 oz. glass)</t>
  </si>
  <si>
    <t>1 or 2 % milk (8 oz. glass)</t>
  </si>
  <si>
    <t>milk 1%</t>
  </si>
  <si>
    <t>milk 2%</t>
  </si>
  <si>
    <t>Whole milk (8 oz. glass)</t>
  </si>
  <si>
    <t>Soy milk (8 oz. glass)</t>
  </si>
  <si>
    <t>soybeans (including flour)</t>
  </si>
  <si>
    <t>Cream, e.g., coffee, sour (exclude fat free) (1 Tbs)</t>
  </si>
  <si>
    <t>high fructose corn syrup</t>
  </si>
  <si>
    <t>miscellaneous</t>
  </si>
  <si>
    <t>Non-dairy coffee whitener (exclude fat free) (1 Tbs)</t>
  </si>
  <si>
    <t>soybean oil (including partially hydrogenated)</t>
  </si>
  <si>
    <t>cottonseed oil, partially hydrogenated</t>
  </si>
  <si>
    <t>palm kernel oil, partially hydrogenated</t>
  </si>
  <si>
    <t>milk powder (=cow dairy)</t>
  </si>
  <si>
    <t>Frozen yogurt, sherbet, sorbet or low-fat ice cream (1 c)</t>
  </si>
  <si>
    <t>corn syrup (=corn)</t>
  </si>
  <si>
    <t>wheat flour, all purpose</t>
  </si>
  <si>
    <t>cream, light</t>
  </si>
  <si>
    <t>butter (=cow dairy)</t>
  </si>
  <si>
    <t>molasses (=sugar)</t>
  </si>
  <si>
    <t>corn starch (=corn)</t>
  </si>
  <si>
    <t>plain yogurt (=cow dairy)</t>
  </si>
  <si>
    <t>sweet whey, dried (=cow dairy)</t>
  </si>
  <si>
    <t>sweet whey, liquid (=cow dairy)</t>
  </si>
  <si>
    <t>orange juice (=fruit)</t>
  </si>
  <si>
    <t>peach</t>
  </si>
  <si>
    <t>strawberry (=fruit)</t>
  </si>
  <si>
    <t>Regular ice cream (1 cup)</t>
  </si>
  <si>
    <t>Pure Butter [Spreads added to food or bread; exclude use in cooking]</t>
  </si>
  <si>
    <t>Margarine (e.g., Country Crock) [Spreads added to food or bread; exclude use in cooking]</t>
  </si>
  <si>
    <t>soybean oil (including partially hydrogenated, fully hydrogenated, and lecithin)</t>
  </si>
  <si>
    <t>palm kernel oil (=palm)</t>
  </si>
  <si>
    <t>“Spreadable Butter”- butter/oil blend (e.g., Olivio Spread But.) [Spreads added to food or bread; exclude use in cooking]</t>
  </si>
  <si>
    <t>Plain Yogurt (4-6 oz.)</t>
  </si>
  <si>
    <t>Artificially sweetened (e.g., light peach) Yogurt (4-6 oz.)</t>
  </si>
  <si>
    <t>whole milk (=cow dairy)</t>
  </si>
  <si>
    <t>miscellaneous (gelatin mix)</t>
  </si>
  <si>
    <t>Sweetened (e.g., strawberry, vanilla) Yogurt (4-6 oz.)</t>
  </si>
  <si>
    <t>cream (=cow dairy)</t>
  </si>
  <si>
    <t>Cottage or ricotta cheese (1/2 cup)</t>
  </si>
  <si>
    <t>lowfat cottage cheese</t>
  </si>
  <si>
    <t>Cream cheese (1 oz.)</t>
  </si>
  <si>
    <t>Dairy</t>
  </si>
  <si>
    <t>Other cheese QUANTITY, e.g., American, cheddar, etc., plain or as part of a dish (1 slice or 1 oz. serving)</t>
  </si>
  <si>
    <t>cheddar</t>
  </si>
  <si>
    <t>Fruits</t>
  </si>
  <si>
    <t>Raisins (1 oz. or small pack) or grapes (1/2 cup)</t>
  </si>
  <si>
    <t>red/green seedless grapes</t>
  </si>
  <si>
    <t>Prunes or dried plums (1⁄4 cup or 6 dried)</t>
  </si>
  <si>
    <t>prune, dried plum</t>
  </si>
  <si>
    <t>Prune juice (small glass)</t>
  </si>
  <si>
    <t>Bananas (1)</t>
  </si>
  <si>
    <t>Cantaloupe (1/4 melon)</t>
  </si>
  <si>
    <t>Avocado (1/2 fruit or 1/2 cup)</t>
  </si>
  <si>
    <t>Fresh apples or pears (1)</t>
  </si>
  <si>
    <t>Apple juice or cider (small glass)</t>
  </si>
  <si>
    <t>Oranges (1)</t>
  </si>
  <si>
    <t>Orange juice (small glass) Calcium or Vit. D fortified</t>
  </si>
  <si>
    <t>Orange juice (small glass) Regular (not calcium fortified)</t>
  </si>
  <si>
    <t>orange juice frozen concentrate</t>
  </si>
  <si>
    <t>Grapefruit (1/2) or grapefruit juice (small glass)</t>
  </si>
  <si>
    <t>Other fruit juices (e.g., cranberry, grape) (small glass)</t>
  </si>
  <si>
    <t>pineapple juice, unsweetened</t>
  </si>
  <si>
    <t>grape juice, concentrate and water</t>
  </si>
  <si>
    <t>Strawberries, fresh, frozen or canned (1/2 cup)</t>
  </si>
  <si>
    <t>strawberries</t>
  </si>
  <si>
    <t>Blueberries, fresh, frozen or canned (1/2 cup)</t>
  </si>
  <si>
    <t>blueberries</t>
  </si>
  <si>
    <t>Peaches or plums (1 fresh or 1/2 cup canned)</t>
  </si>
  <si>
    <t>Apricots (1 fresh, 1/2 cup canned or 5 dried)</t>
  </si>
  <si>
    <t>Vegetables</t>
  </si>
  <si>
    <t>Tomatoes (2 slices)</t>
  </si>
  <si>
    <t>Tomato or V-8 juice (small glass)</t>
  </si>
  <si>
    <t>Tomato sauce (1/2 cup) e.g., spaghetti sauce</t>
  </si>
  <si>
    <t>onions</t>
  </si>
  <si>
    <t>Salsa, picante or taco sauce (1/4 cup)</t>
  </si>
  <si>
    <t>hot peppers (includes peppers)</t>
  </si>
  <si>
    <t>green and red peppers</t>
  </si>
  <si>
    <t>String beans (1/2 cup)</t>
  </si>
  <si>
    <t>green beans</t>
  </si>
  <si>
    <t>Beans or lentils, baked, dried (1/2 cup) or soup</t>
  </si>
  <si>
    <t>black beans, boiled unsalted</t>
  </si>
  <si>
    <t>red kidney beans, boiled, unsalted</t>
  </si>
  <si>
    <t xml:space="preserve">water </t>
  </si>
  <si>
    <t>"miscellaneous"</t>
  </si>
  <si>
    <t>Tofu, soy burger, soybeans, miso or other soy protein</t>
  </si>
  <si>
    <t>potato, microwaved</t>
  </si>
  <si>
    <t>soy lecithin (=soybean)</t>
  </si>
  <si>
    <t>Peas or lima beans (1/2 cup fresh, frz., canned) or soup</t>
  </si>
  <si>
    <t>Broccoli (1/2 cup)</t>
  </si>
  <si>
    <t>Cauliflower (1/2 cup)</t>
  </si>
  <si>
    <t>Cabbage or coleslaw (1/2 cup)</t>
  </si>
  <si>
    <t>Brussels sprouts (1/2 cup)</t>
  </si>
  <si>
    <t>Carrots, raw (1/2 carrot or 2–4 sticks)</t>
  </si>
  <si>
    <t>carrots, raw</t>
  </si>
  <si>
    <t>Carrots, cooked (1/2 cup) or carrot juice (2–3 oz.)</t>
  </si>
  <si>
    <t>cooked carrots</t>
  </si>
  <si>
    <t>Corn (1 ear or 1/2 cup frozen or canned)</t>
  </si>
  <si>
    <t>corn, boiled</t>
  </si>
  <si>
    <t>Mixed or stir fry vegetables (1/2 cup) or soup</t>
  </si>
  <si>
    <t>Yams or sweet potatoes (1/2 cup)</t>
  </si>
  <si>
    <t>sweet potato (cooked, canned, syrup)</t>
  </si>
  <si>
    <t>Dark orange (winter) squash (1/2 cup)</t>
  </si>
  <si>
    <t>winter squash</t>
  </si>
  <si>
    <t>Eggplant, zucchini or other summer squash (1/2 cup)</t>
  </si>
  <si>
    <t>summer squash</t>
  </si>
  <si>
    <t>Kale, mustard greens or chard (1/2 cup)</t>
  </si>
  <si>
    <t>Spinach, cooked (1/2 cup)</t>
  </si>
  <si>
    <t>spinach</t>
  </si>
  <si>
    <t>Spinach, raw as in salad (1 cup)</t>
  </si>
  <si>
    <t>Iceberg or head lettuce (1 serving)</t>
  </si>
  <si>
    <t>iceberg lettuce</t>
  </si>
  <si>
    <t>Romaine or leaf lettuce (1 serving)</t>
  </si>
  <si>
    <t>romaine lettuce</t>
  </si>
  <si>
    <t>Celery (2–3 sticks)</t>
  </si>
  <si>
    <t>Peppers: green, yellow or red (2 rings or 1/4 small)</t>
  </si>
  <si>
    <t>green peppers</t>
  </si>
  <si>
    <t>red peppers</t>
  </si>
  <si>
    <t>Onions as a garnish or in salad (1 slice)</t>
  </si>
  <si>
    <t>Onions as a cooked vegetable or rings (1/2 cup) or soup</t>
  </si>
  <si>
    <t>Eggs, Meat, Etc.</t>
  </si>
  <si>
    <t>Eggs (1) Omega-3 fortified including yolk</t>
  </si>
  <si>
    <t>eggs with omega-3s</t>
  </si>
  <si>
    <t>Eggs (1) Regular eggs including yolk</t>
  </si>
  <si>
    <t>Beef or pork hot dogs (1)</t>
  </si>
  <si>
    <t>miscellaneous (bouillon cube, etc)</t>
  </si>
  <si>
    <t>Chicken or turkey hot dogs or sausage (1)</t>
  </si>
  <si>
    <t>chicken meat</t>
  </si>
  <si>
    <t>Chicken/turkey sandwich or frozen dinner</t>
  </si>
  <si>
    <t>chicken (meat and fat)</t>
  </si>
  <si>
    <t>Other chicken or turkey, with skin (3 oz.)-including ground</t>
  </si>
  <si>
    <t>chicken (meat and skin)</t>
  </si>
  <si>
    <t>Other chicken or turkey, without skin (3 oz.)</t>
  </si>
  <si>
    <t>Bacon (2 slices)</t>
  </si>
  <si>
    <t>Meat, Fish</t>
  </si>
  <si>
    <t>Salami, bologna, or other processed meat sandwiches</t>
  </si>
  <si>
    <t>beef and pork bologna</t>
  </si>
  <si>
    <t>Other processed meats, e.g., sausage, kielbasa, etc. (2 oz. or 2 small links)</t>
  </si>
  <si>
    <t>pork and beef sausage</t>
  </si>
  <si>
    <t>Hamburger (1 patty) Regular</t>
  </si>
  <si>
    <t>beef 80% hamburger</t>
  </si>
  <si>
    <t>beef 75% hamburger</t>
  </si>
  <si>
    <t>Beef, pork, or lamb as a sandwich or mixed dish, e.g., stew, casserole, lasagna, frozen dinners, etc.</t>
  </si>
  <si>
    <t>Pork as a main dish, e.g., ham or chops (4–6 oz.)</t>
  </si>
  <si>
    <t>Beef or lamb as a main dish, e.g., steak, roast (4–6 oz.)</t>
  </si>
  <si>
    <t>Canned tuna fish (3–4 oz.)</t>
  </si>
  <si>
    <t>tuna, canned</t>
  </si>
  <si>
    <t>Breaded fish cakes, pieces, or fish sticks (1 serving, store bought)</t>
  </si>
  <si>
    <t>wheat flour</t>
  </si>
  <si>
    <t>soyean oil</t>
  </si>
  <si>
    <t>corn flour (and corn starch)</t>
  </si>
  <si>
    <t>sweet whey, liquid</t>
  </si>
  <si>
    <t>malted barley flour</t>
  </si>
  <si>
    <t>wheat gluten (=wheat)</t>
  </si>
  <si>
    <t>miscellaneous (colored with paprika, annatto, and turmeric)</t>
  </si>
  <si>
    <t>Shrimp, lobster, scallops as a main dish</t>
  </si>
  <si>
    <t>Dark meat fish, e.g., tuna steak, mackerel, salmon, sardines, bluefish, swordfish (3–5 oz.)</t>
  </si>
  <si>
    <t>Other fish, e.g., cod, haddock, halibut (3–5 oz.)</t>
  </si>
  <si>
    <t>Breads, Cereals, Starches</t>
  </si>
  <si>
    <t>Cold breakfast cereal (1 serving)</t>
  </si>
  <si>
    <t>corn starch (includes whole grain corn, cornmeal, and corn flour)</t>
  </si>
  <si>
    <t>bran (=wheat)</t>
  </si>
  <si>
    <t>corn bran (=corn)</t>
  </si>
  <si>
    <t>white rice raw (includes white rice flour, white rice raw)</t>
  </si>
  <si>
    <t>brown rice (=rice), cooked</t>
  </si>
  <si>
    <t>miscellaneous (buckwheat)</t>
  </si>
  <si>
    <t>Cooked oatmeal/cooked oat bran (including instant) (1 cup)</t>
  </si>
  <si>
    <t>oats (dry)</t>
  </si>
  <si>
    <t>Other cooked breakfast cereal (1 cup)</t>
  </si>
  <si>
    <t>barley, pearled</t>
  </si>
  <si>
    <t>wheat germ (=wheat)</t>
  </si>
  <si>
    <t>Bread (1 slice) White bread, including pita</t>
  </si>
  <si>
    <t>Bread (1 slice) Rye/Pumpernickel</t>
  </si>
  <si>
    <t>soybean oil (includes soy lecithin)</t>
  </si>
  <si>
    <t>soybean flour (=soybean)</t>
  </si>
  <si>
    <t>Bread (1 slice) Whole wheat, oatmeal, other whole grain</t>
  </si>
  <si>
    <t>wheat flour (includes all-purpose)</t>
  </si>
  <si>
    <t>soybean oil (and soy lecithin)</t>
  </si>
  <si>
    <t>walnuts</t>
  </si>
  <si>
    <t>corn oil (=corn)</t>
  </si>
  <si>
    <t>cooked oats (=oats)</t>
  </si>
  <si>
    <t>oat bran (=oats)</t>
  </si>
  <si>
    <t>Crackers (6) Whole grain/whole wheat</t>
  </si>
  <si>
    <t>Crackers (6) Other crackers</t>
  </si>
  <si>
    <t>soybean oil (includes soy lecithin and partially hydrogenated soybean oil)</t>
  </si>
  <si>
    <t>miscellaneous (millet)</t>
  </si>
  <si>
    <t>cheddar cheese (=cow dairy)</t>
  </si>
  <si>
    <t>skim milk cheese (=cow dairy)</t>
  </si>
  <si>
    <t>Bagels, English muffins, or rolls (1)</t>
  </si>
  <si>
    <t>wheat flour (includes whole, all-purpose, cracked, farina)</t>
  </si>
  <si>
    <t>skim milk (=cow dairy)</t>
  </si>
  <si>
    <t>wheat gluten (=wheat flour)</t>
  </si>
  <si>
    <t>brown rice</t>
  </si>
  <si>
    <t>oats, dry</t>
  </si>
  <si>
    <t>Muffins or biscuits (1)</t>
  </si>
  <si>
    <t>wheat flour (includes all purpose, whole wheat)</t>
  </si>
  <si>
    <t>eggs (and beaters)</t>
  </si>
  <si>
    <t>soybean oil (includes partially hydrogenated soybean oil and soy lecithin)</t>
  </si>
  <si>
    <t>cocoa (includes unsweetened chocolate chips, cocoa butter, and cocoa)</t>
  </si>
  <si>
    <t>corn syrup (light and regular)</t>
  </si>
  <si>
    <t>miscellaneous (baking soda, baking powder, dry fructose sweetener)</t>
  </si>
  <si>
    <t>soybean flour (includes soybean isolate) (=soybean)</t>
  </si>
  <si>
    <t>sweet whey, dried</t>
  </si>
  <si>
    <t>Pancakes or waffles (2 small pieces)</t>
  </si>
  <si>
    <t>wheat flour (includes all purpose and whole wheat)</t>
  </si>
  <si>
    <t>soybean oil (includes partially hydrogenated and soy lecithin)</t>
  </si>
  <si>
    <t>sugar (=sugar)</t>
  </si>
  <si>
    <t>buttermilk (=cow dairy)</t>
  </si>
  <si>
    <t>wheat bran (=wheat)</t>
  </si>
  <si>
    <t>Brown rice (1 cup)</t>
  </si>
  <si>
    <t>brown rice, cooked</t>
  </si>
  <si>
    <t>White rice (1 cup)</t>
  </si>
  <si>
    <t>white rice, cooked</t>
  </si>
  <si>
    <t>Pasta, e.g., spaghetti, noodles, couscous. etc. (1 cup)</t>
  </si>
  <si>
    <t>spaghetti (includes whole wheat spaghetti)</t>
  </si>
  <si>
    <t>Tortillas: corn or flour (2)</t>
  </si>
  <si>
    <t>soybean oil (interesterfied and hydrogenated)</t>
  </si>
  <si>
    <t>corn flour (includes starch)</t>
  </si>
  <si>
    <t>French Fries (6 oz. or 1 serving)</t>
  </si>
  <si>
    <t>soybean oil (regular, partially hydrogenated)</t>
  </si>
  <si>
    <t>Potatoes, baked, boiled (1) or mashed (1 cup)</t>
  </si>
  <si>
    <t>potato, baked</t>
  </si>
  <si>
    <t>cream, light (=cow dairy)</t>
  </si>
  <si>
    <t>parsley, dried</t>
  </si>
  <si>
    <t>sour cream (=cow dairy)</t>
  </si>
  <si>
    <t>Potato chips or corn/tortilla chips (small bag or 1 oz.)</t>
  </si>
  <si>
    <t>tomatoes, raw</t>
  </si>
  <si>
    <t>Pizza (2 slices)</t>
  </si>
  <si>
    <t>Beverages</t>
  </si>
  <si>
    <t>Low-calorie beverage with caffeine, e.g., Diet Coke</t>
  </si>
  <si>
    <t>diet soda with caffeine</t>
  </si>
  <si>
    <t>Other low-cal bev. without caffeine, e.g., Diet 7-Up</t>
  </si>
  <si>
    <t>diet soda without caffeine</t>
  </si>
  <si>
    <t>Carbonated beverage with caffeine &amp; sugar, e.g., Coke, Pepsi, Mt. Dew, Dr. Pepper</t>
  </si>
  <si>
    <t>coca-cola</t>
  </si>
  <si>
    <t>Other carbonated beverage with sugar, e.g., 7-Up, Root Beer, Ginger Ale, Caffeine-Free Coke</t>
  </si>
  <si>
    <t>other carbonated beverage with sugar, without caffeine</t>
  </si>
  <si>
    <t>Other sugared beverages: Punch, lemonade, sports drinks, or sugared ice tea (1 glass, bottle, can)</t>
  </si>
  <si>
    <t>miscellaneous ("flavor")</t>
  </si>
  <si>
    <t>Beer, regular (1 glass, bottle, can)</t>
  </si>
  <si>
    <t>Light Beer, e.g., Bud Light (1 glass, bottle, can)</t>
  </si>
  <si>
    <t>light beer</t>
  </si>
  <si>
    <t>Red wine (5 oz. glass)</t>
  </si>
  <si>
    <t>red wine</t>
  </si>
  <si>
    <t>White wine (5 oz. glass)</t>
  </si>
  <si>
    <t>white wine</t>
  </si>
  <si>
    <t>Liquor, e.g., vodka, gin, etc. (1 drink or shot)</t>
  </si>
  <si>
    <t>80 proof liquor</t>
  </si>
  <si>
    <t>Plain water: bottled, sparkling, or tap (8 oz. cup)</t>
  </si>
  <si>
    <t>Decaffeinated tea, exclude herbal (8 oz. cup)</t>
  </si>
  <si>
    <t>decaf tea</t>
  </si>
  <si>
    <t>Tea with caffeine (8 oz. cup), including green tea</t>
  </si>
  <si>
    <t>Decaffeinated coffee (8 oz. cup)</t>
  </si>
  <si>
    <t>instant decaf coffee</t>
  </si>
  <si>
    <t>Coffee with caffeine (8 oz. cup)</t>
  </si>
  <si>
    <t>Dairy coffee drink (hot/cold), e.g., Cappucino (16 oz.)</t>
  </si>
  <si>
    <t>espresso</t>
  </si>
  <si>
    <t>whipped cream, pressurized (=cow dairy)</t>
  </si>
  <si>
    <t>Sweets, Baked goods, Miscellaneous</t>
  </si>
  <si>
    <t>Milk chocolate (bar or pack), e.g., Hershey’s, M&amp;M’s</t>
  </si>
  <si>
    <t>Dark chocolate, e.g., Hershey’s Dark or Dove Dark</t>
  </si>
  <si>
    <t>Candy bars, e.g., Snickers, Milky Way, Reeses</t>
  </si>
  <si>
    <t>peanuts</t>
  </si>
  <si>
    <t>Candy without chocolate (1 oz.)</t>
  </si>
  <si>
    <t>Cookies (1) or Brownies (1) Fat free or reduced fat</t>
  </si>
  <si>
    <t>cocoa butter (=chocolate)</t>
  </si>
  <si>
    <t>cream</t>
  </si>
  <si>
    <t>cocoa (=chocolate)</t>
  </si>
  <si>
    <t>Cookies (1) or Brownies (1) Other ready made or from mix or dough</t>
  </si>
  <si>
    <t>wheat flour, all-purpose</t>
  </si>
  <si>
    <t xml:space="preserve">milk chocolate </t>
  </si>
  <si>
    <t>unsweetened baking chocolate (=chocolate)</t>
  </si>
  <si>
    <t>palm oil (includes partially hydrogenated palm oil)</t>
  </si>
  <si>
    <t>miscellaneous (baking soda, baking powder)</t>
  </si>
  <si>
    <t>palm kernel oil (includes regular and partially hydrogenated) (=palm)</t>
  </si>
  <si>
    <t>cottonseed oil (partially hydrogenated and regular)</t>
  </si>
  <si>
    <t>Cookies(1) or Brownies (1) Home-baked, from scratch</t>
  </si>
  <si>
    <t>soybean oil (partially hydrogenated, regular, lecithin)</t>
  </si>
  <si>
    <t>Doughnuts (1)</t>
  </si>
  <si>
    <t>palm oil (includes palm shortening)</t>
  </si>
  <si>
    <t>soybean oil (includes partially hydrogenated, and soy lecithin)</t>
  </si>
  <si>
    <t>palm kernel oil, partially hydrogenated (=palm)</t>
  </si>
  <si>
    <t>egg yolk</t>
  </si>
  <si>
    <t>miscellaneous (baking powder, baking soda)</t>
  </si>
  <si>
    <t>Cake, homemade or ready made (slice)</t>
  </si>
  <si>
    <t>soybean oil (regular, partially hydrogenated, interesterified, soy lecithin)</t>
  </si>
  <si>
    <t>corn syrup (regular and light)</t>
  </si>
  <si>
    <t>Pie, homemade or ready made (slice)</t>
  </si>
  <si>
    <t>apple, peeled</t>
  </si>
  <si>
    <t>wheat flour (all-purpose)</t>
  </si>
  <si>
    <t>corn syrup (includes corn syrup light)</t>
  </si>
  <si>
    <t>palm oil (regular, partially hydrogenated)</t>
  </si>
  <si>
    <t>soybean oil (includes regular, partially hydrogenated, and soy lecithin)</t>
  </si>
  <si>
    <t>cottonseed oil (partially hydrogenated)</t>
  </si>
  <si>
    <t>Jams, jellies, preserves, syrup, or honey (1 Tbs)</t>
  </si>
  <si>
    <t>corn syrup (includes light)</t>
  </si>
  <si>
    <t>Peanut butter (1 Tbs)</t>
  </si>
  <si>
    <t>soybean oil (includes partially hydrogenated soybean oil)</t>
  </si>
  <si>
    <t>soy isolate (=soybean)</t>
  </si>
  <si>
    <t>Popcorn (2–3 cups) Fat free or light</t>
  </si>
  <si>
    <t>air popped popcorn</t>
  </si>
  <si>
    <t>Popcorn (2–3 cups) Regular</t>
  </si>
  <si>
    <t>soybean oil (includes partially hydrogenated)</t>
  </si>
  <si>
    <t>Sweet roll, coffee cake or other pastry (regular, fat free or reduced fat) (1)</t>
  </si>
  <si>
    <t>wheat flour, all purpose flour</t>
  </si>
  <si>
    <t>palm oil (includes partially hydrogenated)</t>
  </si>
  <si>
    <t>soybean oil (includes paritally hydrogenated and soy lecithin)</t>
  </si>
  <si>
    <t>corn starch (includes corn flour)</t>
  </si>
  <si>
    <t>miscellaneous (dried coconut)</t>
  </si>
  <si>
    <t>Snack bars, e.g., Nutrigrain, Kashi, granola, Planter's (1)</t>
  </si>
  <si>
    <t>white rice, raw</t>
  </si>
  <si>
    <t>brown rice, raw</t>
  </si>
  <si>
    <t>corn flour (includes corn starch) (=corn)</t>
  </si>
  <si>
    <t>peanuts (oil roasted, salted)</t>
  </si>
  <si>
    <t>soybean oil (hydrogenated, partially hydrogenated, regular, lecithin)</t>
  </si>
  <si>
    <t>dried cranberry (=fruit)</t>
  </si>
  <si>
    <t>Energy bars, e.g., Clif, Luna, Glucerna, Powerbar (1)</t>
  </si>
  <si>
    <t>oats (includes dry oats and oat flour) (=oat)</t>
  </si>
  <si>
    <t>milk chocolate (=chocolate)</t>
  </si>
  <si>
    <t>oat fiber (=oats)</t>
  </si>
  <si>
    <t>soybean oil (includes soy lecithin) (=soybean)</t>
  </si>
  <si>
    <t>palm kernel oil (regular, partially hydrogenated)</t>
  </si>
  <si>
    <t>High Protein bars, e.g., Atkins, Zone, South Beach (1)</t>
  </si>
  <si>
    <t xml:space="preserve">cocoa </t>
  </si>
  <si>
    <t>white rice (flour, raw)</t>
  </si>
  <si>
    <t>soybean oil (includes partially hydrogenated, fully hydrogenated and lecithin) (=soybean)</t>
  </si>
  <si>
    <t>palm kernel oil (includes partially hydrogenated)</t>
  </si>
  <si>
    <t>palm oil (=palm)</t>
  </si>
  <si>
    <t>miscellaneous (gelatin)</t>
  </si>
  <si>
    <t>peanut oil (=peanuts)</t>
  </si>
  <si>
    <t>Diet nutrition drinks, e.g. Slimfast (1)</t>
  </si>
  <si>
    <t>miscellaneous (baking soda)</t>
  </si>
  <si>
    <t>Ensure, Boost or other meal replacement drinks (1)</t>
  </si>
  <si>
    <t>Pretzels (1 small bag or serving)</t>
  </si>
  <si>
    <t>wheat flour (all purpose)</t>
  </si>
  <si>
    <t>Peanuts (small packet or 1 oz.)</t>
  </si>
  <si>
    <t>peanuts (oil roasted and salted)</t>
  </si>
  <si>
    <t>Walnuts (1 oz.)</t>
  </si>
  <si>
    <t>Other nuts (small packet or 1 oz.)</t>
  </si>
  <si>
    <t>cashews</t>
  </si>
  <si>
    <t>Mixed dried fruit (1/4 cup)</t>
  </si>
  <si>
    <t>dried plum</t>
  </si>
  <si>
    <t>Oat bran, other bran (wheat, etc.), added to food (1 Tbs)</t>
  </si>
  <si>
    <t>wheat bran</t>
  </si>
  <si>
    <t>Wheat germ (1 Tbs)</t>
  </si>
  <si>
    <t>Chowder or cream soup (1 cup)</t>
  </si>
  <si>
    <t>mushrooms</t>
  </si>
  <si>
    <t>soybean oil (=soybean)</t>
  </si>
  <si>
    <t>miscellaneous (lobster, shrimp) - use shrimp</t>
  </si>
  <si>
    <t>shrimp, cooked</t>
  </si>
  <si>
    <t>Tomato soup (1 cup)</t>
  </si>
  <si>
    <t>Ketchup or red chili sauce (1 Tbs)</t>
  </si>
  <si>
    <t xml:space="preserve">tomato  </t>
  </si>
  <si>
    <t>Flaxseed (1 Tbs)</t>
  </si>
  <si>
    <t>Garlic, fresh or powdered (1 clove or 4 shakes)</t>
  </si>
  <si>
    <t>Olive oil added to food or bread (1 Tbs)</t>
  </si>
  <si>
    <t>Low-fat or fat-free mayonnaise (1 Tbs)</t>
  </si>
  <si>
    <t>eggs (includes egg yolks)</t>
  </si>
  <si>
    <t>Regular mayonnaise (1 Tbs)</t>
  </si>
  <si>
    <t>eggs (includes egg yolk</t>
  </si>
  <si>
    <t>Salad dressing (1-2 Tbs) QUANTITY</t>
  </si>
  <si>
    <t>egg (yolk)</t>
  </si>
  <si>
    <t>red pepper</t>
  </si>
  <si>
    <t>Artificial sweeteners (1 packet) QUANTITY</t>
  </si>
  <si>
    <t>Liver: beef, calf or pork (4 oz.)</t>
  </si>
  <si>
    <t>Liver: chicken or turkey (1 oz.)</t>
  </si>
  <si>
    <t>Watermelon (1 slice)</t>
  </si>
  <si>
    <t>nur11.sad.dd</t>
  </si>
  <si>
    <t>n11.gramwt</t>
  </si>
  <si>
    <t>forndbs.saslog or marie.2011.csv</t>
  </si>
  <si>
    <t>n11.gramwt, forndbs.saslog, marie.2011.csv, etc.</t>
  </si>
  <si>
    <t>recipes.foods.10_11; n11.gramwt</t>
  </si>
  <si>
    <t>nur11.sas.dd, n11.gramwt, forndbs.saslog, marie.2011.csv, recipes.foods.10_11, https://ndb.nal.usda.gov/ndb/search/list</t>
  </si>
  <si>
    <t>recipes.foods.10_11</t>
  </si>
  <si>
    <t>FFQ variable name</t>
  </si>
  <si>
    <t xml:space="preserve">Cohort-FFQ cycle </t>
  </si>
  <si>
    <t>Food Contr Name</t>
  </si>
  <si>
    <t>Food Contr GmWt</t>
  </si>
  <si>
    <t>Food Contr Serv</t>
  </si>
  <si>
    <t>Food Contr ndb_no or label or category</t>
  </si>
  <si>
    <t>FC item name</t>
  </si>
  <si>
    <t>FC item desc</t>
  </si>
  <si>
    <t>FC item %</t>
  </si>
  <si>
    <t>FC item gmwt</t>
  </si>
  <si>
    <t>FC item ndb_no or label name</t>
  </si>
  <si>
    <t>FC item label desc</t>
  </si>
  <si>
    <t>additional information necessary</t>
  </si>
  <si>
    <t>FC item recipe ing name</t>
  </si>
  <si>
    <t>FC item recipe ing desc</t>
  </si>
  <si>
    <t>FC item recipe ing %</t>
  </si>
  <si>
    <t>FC item recipe ing gmwt</t>
  </si>
  <si>
    <t>Percentage (NHS dietitian) - add % in FC item recipe ing % (column R)</t>
  </si>
  <si>
    <t>Percentage 100% (ColumnR*100/columnT)</t>
  </si>
  <si>
    <t>Restricting Water</t>
  </si>
  <si>
    <t>Basic sub-group ingredients</t>
  </si>
  <si>
    <t>FFQ recipe % (sub group %*item recipe ing %)</t>
  </si>
  <si>
    <t>combine ingredients</t>
  </si>
  <si>
    <t>redivide ingredients</t>
  </si>
  <si>
    <t>ENVIRONMENT item name</t>
  </si>
  <si>
    <t>Cell in Gidon's Doc</t>
  </si>
  <si>
    <t>skim11d</t>
  </si>
  <si>
    <t>NHS2-2011</t>
  </si>
  <si>
    <t>skim.kids</t>
  </si>
  <si>
    <t>8 OZ</t>
  </si>
  <si>
    <t>SKIM MILK</t>
  </si>
  <si>
    <t>FFQ item: skim11d , NDB# 1085, skim milk</t>
  </si>
  <si>
    <t>A2</t>
  </si>
  <si>
    <t>m1or211d</t>
  </si>
  <si>
    <t>milk2</t>
  </si>
  <si>
    <t>milk1%</t>
  </si>
  <si>
    <t>1% MILK</t>
  </si>
  <si>
    <t>NDB# 01083: "Milk, lowfat, fluid, 1% milkfat, with added nonfat milk solids, vitamin A and vitamin D"</t>
  </si>
  <si>
    <t>m1or2</t>
  </si>
  <si>
    <t>A28</t>
  </si>
  <si>
    <t>milk2%</t>
  </si>
  <si>
    <t>2% MILK</t>
  </si>
  <si>
    <t>NDB# 01079: Milk, reduced fat, fluid, 2% milkfat, with added vitamin A and vitamin D</t>
  </si>
  <si>
    <t>whole11d</t>
  </si>
  <si>
    <t>milk</t>
  </si>
  <si>
    <t>WHOLE MILK</t>
  </si>
  <si>
    <t>whole</t>
  </si>
  <si>
    <t>AD3</t>
  </si>
  <si>
    <t>soy11d</t>
  </si>
  <si>
    <t>soymilk.fort</t>
  </si>
  <si>
    <t>label</t>
  </si>
  <si>
    <t>FORTIFIED SOYMILK</t>
  </si>
  <si>
    <t>Silk Plain Original Soymilk (35%), Silk Vanilla Soymilk (30%), Silk Chocolate Soymilk (10%), Silk Light Plain Soymilk (12.5%), Silk Light Vanilla Soymilk (12.5%)</t>
  </si>
  <si>
    <t>/proj/nhnuts/nhnut00/bin/output/marie.2011.csv</t>
  </si>
  <si>
    <t>h2o</t>
  </si>
  <si>
    <t>FFQ item: h2o11d, NDB# 14429: Beverages, water, tap, municipal</t>
  </si>
  <si>
    <t>A243</t>
  </si>
  <si>
    <t>soy.beans</t>
  </si>
  <si>
    <t>NDB# 11451: Soybeans, green, cooked, boiled, drained, without salt</t>
  </si>
  <si>
    <t>Land/Nr: soybeans mature seeds dry rstd; H2O/GHGEs: convert soymilk to soybeans with equation: soymilk/ 0.09090909091</t>
  </si>
  <si>
    <t>Land/Nr: MAD 61; J35</t>
  </si>
  <si>
    <t>sug</t>
  </si>
  <si>
    <t>NDB# 19335: Sugars, granulated</t>
  </si>
  <si>
    <t>A222</t>
  </si>
  <si>
    <t>flour.soyb</t>
  </si>
  <si>
    <t>NDB# 16117: Soy flour, defatted</t>
  </si>
  <si>
    <t>NDB# 02047: Salt, table</t>
  </si>
  <si>
    <t>A215</t>
  </si>
  <si>
    <t>NDB# 19165: Cocoa, dry powder, unsweetened</t>
  </si>
  <si>
    <t>choco</t>
  </si>
  <si>
    <t>A175</t>
  </si>
  <si>
    <t>cream11d</t>
  </si>
  <si>
    <t>2 TBSP (= 1TBSP</t>
  </si>
  <si>
    <t>01050</t>
  </si>
  <si>
    <t>wh.top fluid</t>
  </si>
  <si>
    <t xml:space="preserve">WHIPPED TOPPING (EX. COOL WHIP) </t>
  </si>
  <si>
    <t>Cool Whip Whipped Topping Extra Creamy Aerosol /proj/nhnuts/nhnut00/bin/output/marie.2011.csv</t>
  </si>
  <si>
    <t>/proj/nhnuts/nhnut00/misc/ffq.help/n11.gramwt</t>
  </si>
  <si>
    <t>corn.syrup</t>
  </si>
  <si>
    <t>NDB# 19351: Syrups, corn, high-fructose</t>
  </si>
  <si>
    <t>SYRUPS CORN HIGH-FRUCTOSE</t>
  </si>
  <si>
    <t>K170</t>
  </si>
  <si>
    <t>NDB#: 04047	Oil, coconut</t>
  </si>
  <si>
    <t>NA; Additional Calculations</t>
  </si>
  <si>
    <t>NDB#: 04513	Vegetable oil, palm kernel</t>
  </si>
  <si>
    <t>&lt;2% (skim milk, sodium caseinate from milk, natural and artificial flavor, carageenan, polysorbate 60, mono and diglycerides, sodium stearoyl lactylate, sodium polyphosphates, beta caroteine, nitrous oxide)</t>
  </si>
  <si>
    <t>cofwh11d</t>
  </si>
  <si>
    <t>cof.wht</t>
  </si>
  <si>
    <t>TBSP</t>
  </si>
  <si>
    <t>category</t>
  </si>
  <si>
    <t>88% LIQUID AND 12% POWDERED COFFEEMATE, 2011</t>
  </si>
  <si>
    <t>Nestle Coffeemate Original Coffee Creamer (88%), Nestle Coffeemate Hazelnut Coffee Creamer (12%)</t>
  </si>
  <si>
    <t>NHS #2011 RECIPE /udd/nhaka/ENOI/recipes.foods.10_11</t>
  </si>
  <si>
    <t>corn.st</t>
  </si>
  <si>
    <t>NDB# 20020: Cornmeal</t>
  </si>
  <si>
    <t>A150</t>
  </si>
  <si>
    <t>sb.cs.ph (sb.ph 50%, cs.ph 50%)</t>
  </si>
  <si>
    <t>NDB#: 04034	Oil, soybean, salad or cooking, (partially hydrogenated)</t>
  </si>
  <si>
    <t>soyct</t>
  </si>
  <si>
    <t>A287</t>
  </si>
  <si>
    <t>"represents sodium caseinate"? "NDB#: 04502	Oil, cottonseed, salad or cooking"</t>
  </si>
  <si>
    <t>palm.kern.ph</t>
  </si>
  <si>
    <t>partially hydrogenated palm kernel oil - "represents sodium caseinate"?; "NDB#: 04513	Vegetable oil, palm kernel"</t>
  </si>
  <si>
    <t>sb.ph</t>
  </si>
  <si>
    <t>cof.wht.lt</t>
  </si>
  <si>
    <t>LIQUID AND POWDERED LIGHT CREAMER, 2011</t>
  </si>
  <si>
    <t>Coffeemate Lowfat Liquid (88%), Coffeemate Original Lite Powder (12%)</t>
  </si>
  <si>
    <t>NDB#: 04502	Oil, cottonseed, salad or cooking</t>
  </si>
  <si>
    <t>co</t>
  </si>
  <si>
    <t>0.65</t>
  </si>
  <si>
    <t>milk.powd</t>
  </si>
  <si>
    <t>NDB# 01155: Milk, dry, nonfat, instant, without added vitamin A and vitamin D</t>
  </si>
  <si>
    <t>A3</t>
  </si>
  <si>
    <t>sherb11d</t>
  </si>
  <si>
    <t>yogurt.frozen</t>
  </si>
  <si>
    <t>1 CUP</t>
  </si>
  <si>
    <t>yogurt.frozen.lf</t>
  </si>
  <si>
    <t>LOWFAT FROZEN YOGURT</t>
  </si>
  <si>
    <t>Edy's Slow Churned Rich/Creamy FroYo Choc Fudge Brownie (50%), Edy's Vanilla Slow Churned Yogurt Blend (50%)</t>
  </si>
  <si>
    <t># USED SUG FOR LIQUID SUGAR, NDB# 19335: Sugars, granulated</t>
  </si>
  <si>
    <t># USED SUG FOR LIQUID SUGAR, NDB# 19351: Syrups, corn, high-fructose</t>
  </si>
  <si>
    <t>flour.ap</t>
  </si>
  <si>
    <t>NDB#: 20081 Wheat flour, white, all-purpose, enriched, bleached</t>
  </si>
  <si>
    <t>M73</t>
  </si>
  <si>
    <t>br.sug</t>
  </si>
  <si>
    <t>NDB#: 19334 Sugars, brown</t>
  </si>
  <si>
    <t>FFQ item: cream11d, NDB# 01050 , cream fluid, light (coffee or table ceam)</t>
  </si>
  <si>
    <t>A20</t>
  </si>
  <si>
    <t xml:space="preserve">corn syrup </t>
  </si>
  <si>
    <t>bu</t>
  </si>
  <si>
    <t xml:space="preserve">FFQ item: but11d, NDB# 01001 ; butter, salted </t>
  </si>
  <si>
    <t>but</t>
  </si>
  <si>
    <t>A9</t>
  </si>
  <si>
    <t>eggs.y</t>
  </si>
  <si>
    <t>NDB#: 01125	Egg, yolk, raw, fresh</t>
  </si>
  <si>
    <t>A10</t>
  </si>
  <si>
    <t>FFQ item: eggs11d , NDB# 1123 , Eggs (1) Regular eggs including yolk, raw whole egg</t>
  </si>
  <si>
    <t>soy.90</t>
  </si>
  <si>
    <t>soybean oil; NDB#: 04044 Oil, soybean, salad or cooking</t>
  </si>
  <si>
    <t>choc</t>
  </si>
  <si>
    <t># USED CHOC FOR CHOCOLATE LIQUOR, FFQ item: mchoc11d , NDB# 19120, milk chocolate</t>
  </si>
  <si>
    <t>egg.beat</t>
  </si>
  <si>
    <t>Egg Beaters Original: 99% Egg Whites (/proj/nhnuts/nhnut00/bin/output/marie.2011.csv) # USED EGG.BEAT FOR EGG WHITES; NDB#: 45130481        EGG BEATERS Orignal With Pour Spout, UNPREPARED, GTIN: 00070272002170</t>
  </si>
  <si>
    <t># USED HONEY FOR INVERT SUGAR "NDB#: 19296        Honey"</t>
  </si>
  <si>
    <t>NDB#: 19304	Molasses</t>
  </si>
  <si>
    <t>equals 2/3 of sugar</t>
  </si>
  <si>
    <t>calculated from sugar A222</t>
  </si>
  <si>
    <t>yog.plain</t>
  </si>
  <si>
    <t>FFQ item: plyog11d , NDB# 1117, plain yogurt</t>
  </si>
  <si>
    <t>plyog</t>
  </si>
  <si>
    <t>AD12</t>
  </si>
  <si>
    <t>ice.cr.no.fat</t>
  </si>
  <si>
    <t>FAT FREE VANILLA ICE CREAM</t>
  </si>
  <si>
    <t>19867</t>
  </si>
  <si>
    <t># CORN.ST &amp; CORN.SYRUP REPRESENT POLYDEXTROSE AND MALTODEXTRIN, NDB# 20020: Cornmeal</t>
  </si>
  <si>
    <t># CORN.ST &amp; CORN.SYRUP REPRESENT POLYDEXTROSE AND MALTODEXTRIN, NDB# 19351: Syrups, corn, high-fructose</t>
  </si>
  <si>
    <t>FFQ item: cream11d, NDB# 01050 ; cream, fluid, light (coffee or table ceam)</t>
  </si>
  <si>
    <t>guar</t>
  </si>
  <si>
    <t># REPRESENTS CELLULOSE GUM, CAROB BEAN GUM, AND GUAR GUM; "NDB#: 42281        Gums, seed gums (includes locust bean, guar)"</t>
  </si>
  <si>
    <t># REPRESENTS ICE STRUCTURING PROTEIN</t>
  </si>
  <si>
    <t>ice.cr.ff.sf</t>
  </si>
  <si>
    <t>FAT FREE, NO SUGAR ADDED ICE CREAM</t>
  </si>
  <si>
    <t>Blue Bunny No Sugar Added Fat Free Vanilla (100%)</t>
  </si>
  <si>
    <t># REPRESENTS POLYDEXTROSE AND MALTODEXTRIN, NDB# 20020: Cornmeal</t>
  </si>
  <si>
    <t>swt.whey.dried</t>
  </si>
  <si>
    <t>NDB# 01115: Whey, sweet, dried</t>
  </si>
  <si>
    <t>A7</t>
  </si>
  <si>
    <t>swt.whey</t>
  </si>
  <si>
    <t>NDB#: 01114        Whey, sweet, fluid</t>
  </si>
  <si>
    <t>A6</t>
  </si>
  <si>
    <t># REPRESENTS CAROB BEAN GUM, CELLULOSE GUM, GUAR GUM; "NDB#: 42281        Gums, seed gums (includes locust bean, guar)"</t>
  </si>
  <si>
    <t>NDB# 19868 , sucralose (splenda)</t>
  </si>
  <si>
    <t>splnd</t>
  </si>
  <si>
    <t>A346</t>
  </si>
  <si>
    <t>ice.cr</t>
  </si>
  <si>
    <t>VANILLA ICE CREAM</t>
  </si>
  <si>
    <t>19095</t>
  </si>
  <si>
    <t>FFQ item : whole11d NDB # 01077 ; Milk, whole, 3.25% milkfat, with added vitamin D</t>
  </si>
  <si>
    <t># TARA GUM; "NDB#: 42281        Gums, seed gums (includes locust bean, guar)"</t>
  </si>
  <si>
    <t>SOFT SERVE VANILLA FROZEN YOGURT</t>
  </si>
  <si>
    <t>BEN &amp; JERRY'S PHISH FOOD FROZEN YOGURT (100%)</t>
  </si>
  <si>
    <t># LIQUID SUGAR , FFQ item: h2o11d, NDB# 14429: Beverages, water, tap, municipal</t>
  </si>
  <si>
    <t># LIQUID SUGAR, NDB# 19335: Sugars, granulated</t>
  </si>
  <si>
    <t># CORN SYRUP SOLIDS ; NDB# 19351: Syrups, corn, high-fructose</t>
  </si>
  <si>
    <t># YOGURT POWDER ; NDB# 01155: Milk, dry, nonfat, instant, without added vitamin A and vitamin D</t>
  </si>
  <si>
    <t>Egg Beaters Original: 99% Egg Whites # EGG WHITES (/proj/nhnuts/nhnut00/bin/output/marie.2011.csv); NDB#: 45130481	EGG BEATERS Orignal With Pour Spout, UNPREPARED, GTIN: 00070272002170</t>
  </si>
  <si>
    <t># MILK FAT ; FFQ item: cream11d, NDB# 01050 ; cream, fluid, light (coffee or table ceam)</t>
  </si>
  <si>
    <t># GUAR REPRESENTS LOCUST BEAN GUM, PECTIN, CARAGEENAN; "NDB#: 42281        Gums, seed gums (includes locust bean, guar)"</t>
  </si>
  <si>
    <t>soy.lec</t>
  </si>
  <si>
    <t>soy lecithin; no additional information available</t>
  </si>
  <si>
    <t>ice.cr.lt</t>
  </si>
  <si>
    <t>LIGHT VANILLA ICE CREAM</t>
  </si>
  <si>
    <t>19088</t>
  </si>
  <si>
    <t># TAPIOCA MALTODEXTRIN; NDB#: 20081 Wheat flour, white, all-purpose, enriched, bleached</t>
  </si>
  <si>
    <t>**# TAPIOCA MALTODEXTRIN?; "NDB#: 42281        Gums, seed gums (includes locust bean, guar)"</t>
  </si>
  <si>
    <t># DEXTROSE , NDB# 19335: Sugars, granulated</t>
  </si>
  <si>
    <t>**# DEXTROSE? , NDB# 20020: Cornmeal</t>
  </si>
  <si>
    <t>sherb</t>
  </si>
  <si>
    <t>ORANGE SHERBERT</t>
  </si>
  <si>
    <t>19097</t>
  </si>
  <si>
    <t>NDB#: 01114	Whey, sweet, fluid</t>
  </si>
  <si>
    <t>o.j</t>
  </si>
  <si>
    <t>FFQ item : oj11d , NDB# 9215 ; Orange juice, frozen concentrate, unsweetened, diluted with 3 volume water</t>
  </si>
  <si>
    <t>oj</t>
  </si>
  <si>
    <t>A59</t>
  </si>
  <si>
    <t>NDB#: 42281	Gums, seed gums (includes locust bean, guar)</t>
  </si>
  <si>
    <t>RAW PEACHES</t>
  </si>
  <si>
    <t>9236</t>
  </si>
  <si>
    <t>FFQ item: peach11d , food contr name peaches, NDB# 9236 ; peaches, yellow raw</t>
  </si>
  <si>
    <t>A64</t>
  </si>
  <si>
    <t>jam</t>
  </si>
  <si>
    <t>JAMS AND PRESERVES</t>
  </si>
  <si>
    <t>19297</t>
  </si>
  <si>
    <t>straw</t>
  </si>
  <si>
    <t>FFQ item : straw11d , NDB# 9316 ; raw strawberries</t>
  </si>
  <si>
    <t>A69</t>
  </si>
  <si>
    <t>icecr11d</t>
  </si>
  <si>
    <t># TARA GUM; guar gum; "NDB#: 42281        Gums, seed gums (includes locust bean, guar)"</t>
  </si>
  <si>
    <t>but11d</t>
  </si>
  <si>
    <t>TSP</t>
  </si>
  <si>
    <t>SALTED BUTTER</t>
  </si>
  <si>
    <t>1001</t>
  </si>
  <si>
    <t>marg11d</t>
  </si>
  <si>
    <t>margarine</t>
  </si>
  <si>
    <t>category (from recipes.margarine.10_11)</t>
  </si>
  <si>
    <t>smart.bal.67</t>
  </si>
  <si>
    <t>SMART BALANCE (67% veg oil) TUB</t>
  </si>
  <si>
    <t>SMART BALANCE (67% veg oil) TUB; I CAN'T BELIEVE ITS NOT BUTTER SOFT (57; PROMISE BUTTERY SPREAD TUB 60%; OLIVIO (60%); FLEISCHMANN'S OLIVE OIL TUB 57%; BENECOL 60% VEGETABLE OIL SPREAD; GENERIC MARGARINE, SOFT TUB, SOYBEAN</t>
  </si>
  <si>
    <t>*estimate based on [%sat.fat,%mon.fat,%poly.fat,%totfa11,%e02mg,%ubtoco,%ugtoco,%udtoco,%uaT3,%ubT3,%ugT3,%udT3,vitk,dvitk,frcho,gpcho,pcho,ptdcho,isoflav] from /proj/nhnuts/nhnut00/recipes/fat.11/recipes.margarine.10_11</t>
  </si>
  <si>
    <t>NDB#: 04055	Oil, palm</t>
  </si>
  <si>
    <t>NDB# 04582 ; oil, canola</t>
  </si>
  <si>
    <t>canct</t>
  </si>
  <si>
    <t>A285</t>
  </si>
  <si>
    <t>o</t>
  </si>
  <si>
    <t>ooil</t>
  </si>
  <si>
    <t>A253</t>
  </si>
  <si>
    <t>*estimate based on [%sat.fat,%mon.fat,%poly.fat,%totfa11,%e02mg,%ubtoco,%ugtoco,%udtoco,%uaT3,%ubT3,%ugT3,%udT3,vitk,dvitk,frcho,gpcho,pcho,ptdcho,isoflav] from /proj/nhnuts/nhnut00/recipes/fat.11/recipes.margarine.10_11, the rest of this recipe is water, in a 67:33 ratio</t>
  </si>
  <si>
    <t>t.bel.bu.70</t>
  </si>
  <si>
    <t>I CAN'T BELIEVE ITS NOT BUTTER SOFT (57</t>
  </si>
  <si>
    <t>*estimate based on [%sat.fat,%mon.fat,%poly.fat,%e02mg,%ubtoco,%ugtoco,%udtoco,%uaT3,%ubT3,%ugT3,vitk,dvitk,frcho,gpcho,pcho,ptdcho,isoflav] from /proj/nhnuts/nhnut00/recipes/fat.11/recipes.margarine.10_11</t>
  </si>
  <si>
    <t>palm.kern</t>
  </si>
  <si>
    <t>*estimate based on [%sat.fat,%mon.fat,%poly.fat,%e02mg,%ubtoco,%ugtoco,%udtoco,%uaT3,%ubT3,%ugT3,vitk,dvitk,frcho,gpcho,pcho,ptdcho,isoflav] from /proj/nhnuts/nhnut00/recipes/fat.11/recipes.margarine.10_11, the rest of this recipe is water, in a 70:30 ratio</t>
  </si>
  <si>
    <t>prom.t.57</t>
  </si>
  <si>
    <t>PROMISE BUTTERY SPREAD TUB 60%</t>
  </si>
  <si>
    <t>*estimate based on [prom.t.57:%sat.fat,%mon.fat,%poly.fat,%totfa11,%ubtoco,%ugtoco,%udtoco,%uaT3,%ubT3,%udT3,%ugT3,dvitk,frcho,gpcho,pcho,ptdcho,isoflav] from /proj/nhnuts/nhnut00/recipes/fat.11/recipes.margarine.10_11</t>
  </si>
  <si>
    <t>sn</t>
  </si>
  <si>
    <t>sunflower oil; "NDB#: 04060	Oil, sunflower, linoleic (less than 60%)"</t>
  </si>
  <si>
    <t>*estimate based on [prom.t.57:%sat.fat,%mon.fat,%poly.fat,%totfa11,%ubtoco,%ugtoco,%udtoco,%uaT3,%ubT3,%udT3,%ugT3,dvitk,frcho,gpcho,pcho,ptdcho,isoflav] from /proj/nhnuts/nhnut00/recipes/fat.11/recipes.margarine.10_11, the rest of the recipe is water, in a 57:43 ratio</t>
  </si>
  <si>
    <t>olivio</t>
  </si>
  <si>
    <t>OLIVIO (60%)</t>
  </si>
  <si>
    <t>*estimate based on [olivio:%sat.fat,%mon.fat,%poly.fat,%totfa11,%e02mg,%ubtoco,%ugtoco,%udtoco,%uaT3,%ubT3,%ugT3,%udT3,vitk,dvitk,frcho,gpcho,pcho,ptdcho,isoflav] from /proj/nhnuts/nhnut00/recipes/fat.11/recipes.margarine.10_11</t>
  </si>
  <si>
    <t>*estimate based on [olivio:%sat.fat,%mon.fat,%poly.fat,%totfa11,%e02mg,%ubtoco,%ugtoco,%udtoco,%uaT3,%ubT3,%ugT3,%udT3,vitk,dvitk,frcho,gpcho,pcho,ptdcho,isoflav] from /proj/nhnuts/nhnut00/recipes/fat.11/recipes.margarine.10_11, the rest of the recipe is water, in a 60:40 ratio</t>
  </si>
  <si>
    <t>fl.t.60</t>
  </si>
  <si>
    <t>FLEISCHMANN'S OLIVE OIL TUB 57%</t>
  </si>
  <si>
    <t>*estimate based on [fl.t.60:%sat.fat,%mon.fat,%poly.fat,%e02mg,%ubtoco,%ugtoco,%udtoco,%uaT3,%ubT3,%ugT3,%udT3,vitk,dvitk,frcho,gpcho,pcho,ptdcho,isoflav] from /proj/nhnuts/nhnut00/recipes/fat.11/recipes.margarine.10_11</t>
  </si>
  <si>
    <t>sb.hyd</t>
  </si>
  <si>
    <t>soybean oil, fully hydrogenated; no additional information available</t>
  </si>
  <si>
    <t>cs.hyd</t>
  </si>
  <si>
    <t>cottonseed oil, fully hydrogenated; NDB#: 04702        Oil, industrial, cottonseed, fully hydrogenated</t>
  </si>
  <si>
    <t>cottonseed oil, fully hydrogenated</t>
  </si>
  <si>
    <t>NA; Additional calculations</t>
  </si>
  <si>
    <t>*estimate based on [fl.t.60:%sat.fat,%mon.fat,%poly.fat,%e02mg,%ubtoco,%ugtoco,%udtoco,%uaT3,%ubT3,%ugT3,%udT3,vitk,dvitk,frcho,gpcho,pcho,ptdcho,isoflav] from /proj/nhnuts/nhnut00/recipes/fat.11/recipes.margarine.10_11, the rest of the recipe is water, in a 57:43 ratio</t>
  </si>
  <si>
    <t>benecol.65</t>
  </si>
  <si>
    <t>BENECOL 60% VEGETABLE OIL SPREAD</t>
  </si>
  <si>
    <t>*estimate based on [%sat.fat,%mon.fat,%poly.fat,%e02mg,%ubtoco,%uaT3,%ubT3,%ugT3,%udT3,frcho,gpcho,pcho,ptdcho,isoflav] from /proj/nhnuts/nhnut00/recipes/fat.11/recipes.margarine.10_11</t>
  </si>
  <si>
    <t>soybean oil, partially hydrogenated (soybean oil)</t>
  </si>
  <si>
    <t>*estimate based on [%sat.fat,%mon.fat,%poly.fat,%e02mg,%ubtoco,%uaT3,%ubT3,%ugT3,%udT3,frcho,gpcho,pcho,ptdcho,isoflav] from /proj/nhnuts/nhnut00/recipes/fat.11/recipes.margarine.10_11, the rest of the recipe is water, in a 60:40 ratio</t>
  </si>
  <si>
    <t>t.sb.78.star</t>
  </si>
  <si>
    <t>GENERIC MARGARINE, SOFT TUB, SOYBEAN</t>
  </si>
  <si>
    <t>*estimate based on [t.sb.78.star:%sat.fat,%monfat,%mon.fat,%poly,%poly.fat,%totfa11,%e02mg,%ubtoco,%ugtoco,%udtoco,%uaT3,%ubT3,%ugT3,%udT3,vitk,dvitk,frcho,gpcho,pcho,ptdcho,isoflav] from /proj/nhnuts/nhnut00/recipes/fat.11/recipes.margarine.10_11</t>
  </si>
  <si>
    <t>soybean oil, partially hydrogenated; 04034        Oil, soybean, salad or cooking, (partially hydrogenated)</t>
  </si>
  <si>
    <t>*estimate based on [t.sb.78.star:%sat.fat,%monfat,%mon.fat,%poly,%poly.fat,%totfa11,%e02mg,%ubtoco,%ugtoco,%udtoco,%uaT3,%ubT3,%ugT3,%udT3,vitk,dvitk,frcho,gpcho,pcho,ptdcho,isoflav] from /proj/nhnuts/nhnut00/recipes/fat.11/recipes.margarine.10_11, the rest of the recipe is water, in a 78:22 ratio</t>
  </si>
  <si>
    <t>spbut11d</t>
  </si>
  <si>
    <t>spread.bu</t>
  </si>
  <si>
    <t>label (from recipes.margarine.10_11)</t>
  </si>
  <si>
    <t>t.bu.can.shedd</t>
  </si>
  <si>
    <t>SHEDD COUNTRY CROCK BUTTER CANOLA SPREAD, 80% TUB</t>
  </si>
  <si>
    <t>*estimate based on [t.bu.can.shedd:%afat,%dfat,%sat.fat,%mon.fat,%poly.fat,addfat_sol,addfat_liq,%cla,vitd3,dvitd,micronut--retinol--carot--sodium--vitc--calc--iron,%e02mg,%ubtoco,%ugtoco,%udtoco,%uaT3,%ubT3,%ugT3,%udT3,vitk,dvitk,frcho,gpcho,pcho,ptdcho,h2o] from /proj/nhnuts/nhnut00/recipes/fat.11/recipes.margarine.10_11</t>
  </si>
  <si>
    <t>*estimate based on [t.bu.can.shedd:%afat,%dfat,%sat.fat,%mon.fat,%poly.fat,addfat_sol,addfat_liq,%cla,vitd3,dvitd,micronut--retinol--carot--sodium--vitc--calc--iron,%e02mg,%ubtoco,%ugtoco,%udtoco,%uaT3,%ubT3,%ugT3,%udT3,vitk,dvitk,frcho,gpcho,pcho,ptdcho,h2o] from /proj/nhnuts/nhnut00/recipes/fat.11/recipes.margarine.10_11, the rest of the recipe is water, in an 80:20 ratio</t>
  </si>
  <si>
    <t>plyog11d</t>
  </si>
  <si>
    <t>6 OZ</t>
  </si>
  <si>
    <t>PLAIN LOWFAT YOGURT</t>
  </si>
  <si>
    <t>FFQ item : plyog11d ; NDB #1117 ; yogurt, plain, low fat, 12 grams protein per 8 oz</t>
  </si>
  <si>
    <t>artyog11d</t>
  </si>
  <si>
    <t>yog.lt.asp</t>
  </si>
  <si>
    <t>NONFAT STRAWB YOGURT (W/ASPARTAME &amp; FRUCT)</t>
  </si>
  <si>
    <t>nutrasweet</t>
  </si>
  <si>
    <t>no additional information available</t>
  </si>
  <si>
    <t>gelatin</t>
  </si>
  <si>
    <t>NDB#: 19172	Gelatin desserts, dry mix</t>
  </si>
  <si>
    <t>average</t>
  </si>
  <si>
    <t>flyog11d</t>
  </si>
  <si>
    <t>yog</t>
  </si>
  <si>
    <t>LOWFAT FRUITED YOGURT</t>
  </si>
  <si>
    <t>ban</t>
  </si>
  <si>
    <t>FFQ item: ban11d , NDB # 9040 , raw bananas</t>
  </si>
  <si>
    <t>A49</t>
  </si>
  <si>
    <t>yog.greek</t>
  </si>
  <si>
    <t>CHOBANI GREEK YOGURT</t>
  </si>
  <si>
    <t>Chobani Chobani Nonfat Greek Yogurt (67%), Chobani Chobani Low Fat Greek Yogurt (33%)</t>
  </si>
  <si>
    <t>blue</t>
  </si>
  <si>
    <t>FFQ item blueb11d, NDB# 9050 , raw blueberries</t>
  </si>
  <si>
    <t>blueb</t>
  </si>
  <si>
    <t>A50</t>
  </si>
  <si>
    <t>yogurt.nonfat</t>
  </si>
  <si>
    <t>NONFAT FRUITED YOGURT</t>
  </si>
  <si>
    <t>FFQ item : m1or211d , NDB # 1082 , 1% milk</t>
  </si>
  <si>
    <t>rasberry</t>
  </si>
  <si>
    <t>NDB#: 09302 Raspberries, raw</t>
  </si>
  <si>
    <t>cotch11d</t>
  </si>
  <si>
    <t>cot.ch</t>
  </si>
  <si>
    <t>0.5 CUP</t>
  </si>
  <si>
    <t>lofat.cott (default); cot.ch; cot.ch.ff</t>
  </si>
  <si>
    <t>1% LOWFAT COTTAGE CHEESE (default); COTTAGE CHEESE; NONFAT COTTAGE CHEESE</t>
  </si>
  <si>
    <t>113 (default); 109; 113</t>
  </si>
  <si>
    <t>lofat.cott</t>
  </si>
  <si>
    <t>ffq item: cotch11d, food contr name cot.ch, NDB# 01016 ; 1% lowfat cottage cheese</t>
  </si>
  <si>
    <t>cotch</t>
  </si>
  <si>
    <t>crmch11d</t>
  </si>
  <si>
    <t>cr.ch</t>
  </si>
  <si>
    <t>OZ</t>
  </si>
  <si>
    <t>cr.ch (Any combination of cream cheese types may be selected); lofatcr.cheese; cr.ch.ff</t>
  </si>
  <si>
    <t>CREAM CHEESE; NEUFCHATEL CHEESE (LOWFAT CREAM CHEESE); FAT FREE CREAM CHEESE</t>
  </si>
  <si>
    <t>FFQ item: crmch11d, NDB # 01017 , cream cheese</t>
  </si>
  <si>
    <t>cream cheese (full- to no-fat)</t>
  </si>
  <si>
    <t>crmch</t>
  </si>
  <si>
    <t>A22</t>
  </si>
  <si>
    <t>otch11d</t>
  </si>
  <si>
    <t>oth.ch</t>
  </si>
  <si>
    <t>oth.ch (Any combination of cream cheese types may be selected); lowfat.cheese; am.ch.nofat</t>
  </si>
  <si>
    <t>CHEDDAR CHEESE; LOW FAT CHEDDAR/COLBY CHEESE; PASTEURIZED PROCESSED NONFAT AMERICAN CHEESE</t>
  </si>
  <si>
    <t>28; 28;19</t>
  </si>
  <si>
    <t>FFQ item: otch11d , NDB # 1009 , cheddar cheese</t>
  </si>
  <si>
    <t>cheddar, lowfat cheddar/colby, or nonfat American cheese</t>
  </si>
  <si>
    <t>chreg</t>
  </si>
  <si>
    <t>A37</t>
  </si>
  <si>
    <t>rais11d</t>
  </si>
  <si>
    <t>raisgrp</t>
  </si>
  <si>
    <t>OZ or 0.5 CUP</t>
  </si>
  <si>
    <t>rais</t>
  </si>
  <si>
    <t>RAISINS</t>
  </si>
  <si>
    <t>9298</t>
  </si>
  <si>
    <t>FFQ item : rais11d , NDB # 9298 food contr name raisgrp , raisins seedless</t>
  </si>
  <si>
    <t>A68</t>
  </si>
  <si>
    <t>RED/GREEN SEEDLESS GRAPES</t>
  </si>
  <si>
    <t>9132</t>
  </si>
  <si>
    <t>FFQ item rais11d , NDB # 9132 , food contr name raisgrp , Grapes, red or green (European type, such as Thompson seedless), raw</t>
  </si>
  <si>
    <t>M68</t>
  </si>
  <si>
    <t>prune11d</t>
  </si>
  <si>
    <t>prun</t>
  </si>
  <si>
    <t>6 or 1/4 CUP</t>
  </si>
  <si>
    <t>dr.prune</t>
  </si>
  <si>
    <t>DRIED PLUMS (PRUNES)</t>
  </si>
  <si>
    <t>9291</t>
  </si>
  <si>
    <t>FFQ item: prune11d , NDB # 9291, food contr name: prun ;  Plums, dried (prunes), uncooked</t>
  </si>
  <si>
    <t>dried plums</t>
  </si>
  <si>
    <t>prune</t>
  </si>
  <si>
    <t>A66</t>
  </si>
  <si>
    <t>PRUNES CANNED IN HEAVY SYRUP (W/SYRUP)</t>
  </si>
  <si>
    <t>9288</t>
  </si>
  <si>
    <t>FFQ item: prune11d, NDB# 09288 , Prunes, canned, heavy syrup pack, solids and liquids</t>
  </si>
  <si>
    <t>prunes with syrup</t>
  </si>
  <si>
    <t>prunj11d</t>
  </si>
  <si>
    <t>prun.j</t>
  </si>
  <si>
    <t>CANNED PRUNE JUICE</t>
  </si>
  <si>
    <t>9294</t>
  </si>
  <si>
    <t>FFQ item:prunj11d, NDB# 9294, Prune juice, canned</t>
  </si>
  <si>
    <t>canned prune juice</t>
  </si>
  <si>
    <t>prunj</t>
  </si>
  <si>
    <t>A67</t>
  </si>
  <si>
    <t>ban11d</t>
  </si>
  <si>
    <t>MEDIUM</t>
  </si>
  <si>
    <t>RAW BANANAS</t>
  </si>
  <si>
    <t>9040</t>
  </si>
  <si>
    <t>raw bananas</t>
  </si>
  <si>
    <t>cant11d</t>
  </si>
  <si>
    <t>cant</t>
  </si>
  <si>
    <t>0.25 MELON</t>
  </si>
  <si>
    <t>CANTALOUPE</t>
  </si>
  <si>
    <t>9181</t>
  </si>
  <si>
    <t>FFQ item: cant11d, NDB# 9181, Melons, cantaloupe, raw</t>
  </si>
  <si>
    <t>cantaloupe</t>
  </si>
  <si>
    <t>A51</t>
  </si>
  <si>
    <t>avo11d</t>
  </si>
  <si>
    <t>0.5 FRUIT</t>
  </si>
  <si>
    <t>9037</t>
  </si>
  <si>
    <t>FFQ item: avo11d, NDB# 9037, Avocados, raw, all commercial varieties</t>
  </si>
  <si>
    <t>avocados</t>
  </si>
  <si>
    <t>avo</t>
  </si>
  <si>
    <t>A138</t>
  </si>
  <si>
    <t>appl11d</t>
  </si>
  <si>
    <t>RAW APPLES WITH SKIN</t>
  </si>
  <si>
    <t>9003</t>
  </si>
  <si>
    <t>FFQ item: appl11d, NDB# 9003, Apples, raw, with skin</t>
  </si>
  <si>
    <t>raw apples with skin</t>
  </si>
  <si>
    <t>appl</t>
  </si>
  <si>
    <t>A45</t>
  </si>
  <si>
    <t>RAW PEARS</t>
  </si>
  <si>
    <t>9252</t>
  </si>
  <si>
    <t>FFQ item: appl11d, NDB# 9252, food contr name: apple ; pears, raw</t>
  </si>
  <si>
    <t>raw pears</t>
  </si>
  <si>
    <t>A65</t>
  </si>
  <si>
    <t>aj11d</t>
  </si>
  <si>
    <t>a.j</t>
  </si>
  <si>
    <t>7 OZ</t>
  </si>
  <si>
    <t>UNSWEETENED APPLE JUICE</t>
  </si>
  <si>
    <t>9016</t>
  </si>
  <si>
    <t>FFQ item: aj11d, NDB# 9016 , Apple juice, canned or bottled, unsweetened, without added ascorbic acid</t>
  </si>
  <si>
    <t>unsweetened apple juice</t>
  </si>
  <si>
    <t>aj</t>
  </si>
  <si>
    <t>A44</t>
  </si>
  <si>
    <t>oran11d</t>
  </si>
  <si>
    <t>orang</t>
  </si>
  <si>
    <t>RAW ORANGES</t>
  </si>
  <si>
    <t>9200</t>
  </si>
  <si>
    <t>FFQ item: oran11d , NDB# 9200, Oranges, raw, all commercial varieties</t>
  </si>
  <si>
    <t>oran</t>
  </si>
  <si>
    <t>A61</t>
  </si>
  <si>
    <t>ojca11d</t>
  </si>
  <si>
    <t>o.j.ca.d</t>
  </si>
  <si>
    <t xml:space="preserve">o.j.ca.d </t>
  </si>
  <si>
    <t>ORANGE JUC,CHILLED,INCL FROM CONC,FORT W/ CA &amp; VITAMIN D</t>
  </si>
  <si>
    <t>9210</t>
  </si>
  <si>
    <t>FFQ item: ojca11d, NDB # 9210, Orange juice, chilled, includes from concentrate, with added calcium and vitamin D</t>
  </si>
  <si>
    <t>orange juice, include from concentrate fortified with Ca and vit. D</t>
  </si>
  <si>
    <t>oj11d</t>
  </si>
  <si>
    <t>UNSWEETENED FROZEN ORANGE JUICE, PREPARED WITH WATER</t>
  </si>
  <si>
    <t>9215</t>
  </si>
  <si>
    <t xml:space="preserve">o.j </t>
  </si>
  <si>
    <t>FFQ item: oj11d, NDB # 9215, Orange juice, frozen concentrate, unsweetened, diluted with 3 volume water</t>
  </si>
  <si>
    <t>unsweetened frozen orange juice, prepared with water</t>
  </si>
  <si>
    <t>3.5*oj</t>
  </si>
  <si>
    <t>grfr11d</t>
  </si>
  <si>
    <t>grfrt</t>
  </si>
  <si>
    <t>0.5 MEDIUM</t>
  </si>
  <si>
    <t>RAW GRAPEFRUIT</t>
  </si>
  <si>
    <t>9111</t>
  </si>
  <si>
    <t>FFQ item:grfr11d, NDB# 9111 ,Grapefruit, raw, pink and red and white, all areas</t>
  </si>
  <si>
    <t>raw grapefruit</t>
  </si>
  <si>
    <t>grfr</t>
  </si>
  <si>
    <t>A55</t>
  </si>
  <si>
    <t>othjf11d</t>
  </si>
  <si>
    <t>oth.f.j</t>
  </si>
  <si>
    <t xml:space="preserve">oth.f.j </t>
  </si>
  <si>
    <t>BOTTLED CRANBERRY JUICE COCKTAIL</t>
  </si>
  <si>
    <t>14242</t>
  </si>
  <si>
    <t>Ocean Spray Cranberry Juice Cocktail</t>
  </si>
  <si>
    <t>estimated from misc.carb, substituting "cranber" for a.j based on label NHS #2011 RECIPE /udd/nhaka/ENOI/recipes.foods.10_11</t>
  </si>
  <si>
    <t>cranber*</t>
  </si>
  <si>
    <t>NDB# 43382; Cranberry juice, unsweetened</t>
  </si>
  <si>
    <t>unsweetened cranberry juice</t>
  </si>
  <si>
    <t>p.apple.j</t>
  </si>
  <si>
    <t>CANNED, UNSWEETENED PINEAPPLE JUICE</t>
  </si>
  <si>
    <t>9409</t>
  </si>
  <si>
    <t>p.apple</t>
  </si>
  <si>
    <t>NDB#: 09273	Pineapple juice, canned or bottled, unsweetened, without added ascorbic acid</t>
  </si>
  <si>
    <t>1.6*fcock</t>
  </si>
  <si>
    <t>A54</t>
  </si>
  <si>
    <t>grape.j</t>
  </si>
  <si>
    <t>FRZN GRAPE JUICE FROM CONC, DILUTED W/WATER</t>
  </si>
  <si>
    <t>9137</t>
  </si>
  <si>
    <t>othj</t>
  </si>
  <si>
    <t>A63</t>
  </si>
  <si>
    <t>pom.jc</t>
  </si>
  <si>
    <t>9442</t>
  </si>
  <si>
    <t>estimated (isoflav; coum) /udd/nhaka/ENOI/recipes.foods.10_11</t>
  </si>
  <si>
    <t>pomgran</t>
  </si>
  <si>
    <t>NDB#: 09442	Pomegranate juice, bottled</t>
  </si>
  <si>
    <t>straw11d</t>
  </si>
  <si>
    <t>RAW STRAWBERRIES</t>
  </si>
  <si>
    <t>9316</t>
  </si>
  <si>
    <t>blueb11d</t>
  </si>
  <si>
    <t>9050</t>
  </si>
  <si>
    <t>peach11d</t>
  </si>
  <si>
    <t>MEDIUM/0.5 CUP</t>
  </si>
  <si>
    <t>peach.cn</t>
  </si>
  <si>
    <t>CANNED PEACHES IN HEAVY SYRUP (W/SYRUP)</t>
  </si>
  <si>
    <t>9241</t>
  </si>
  <si>
    <t>estimated (phytoest) /udd/nhaka/ENOI/recipes.foods.10_11</t>
  </si>
  <si>
    <t>peach.cn.jc</t>
  </si>
  <si>
    <t>CANNED JUICE PACKED PEACHES (W/JUICE)</t>
  </si>
  <si>
    <t>9238</t>
  </si>
  <si>
    <t>RAW PLUMS</t>
  </si>
  <si>
    <t>9279</t>
  </si>
  <si>
    <t>FFQ item: peach11d , food contr name peaches, NDB# 9279 , raw plums</t>
  </si>
  <si>
    <t>0.1917*prune</t>
  </si>
  <si>
    <t>Additional Calculations sheet</t>
  </si>
  <si>
    <t>apric11d</t>
  </si>
  <si>
    <t>1 RAW/5 HALVES/0.5 CUP</t>
  </si>
  <si>
    <t>dr.apric</t>
  </si>
  <si>
    <t>SULFURED DRIED APRICOTS</t>
  </si>
  <si>
    <t>FFQ item: apric11d, food contr name apricot, NDB# 9032; apricots, dried, sulfured, uncooked</t>
  </si>
  <si>
    <t>apric*5.016025641</t>
  </si>
  <si>
    <t>A46</t>
  </si>
  <si>
    <t>RAW APRICOTS (represents fresh and canned)</t>
  </si>
  <si>
    <t>9021</t>
  </si>
  <si>
    <t>FFQ item: apric11d, NDB# 9021 ; raw apricots</t>
  </si>
  <si>
    <t>apric</t>
  </si>
  <si>
    <t>tom11d</t>
  </si>
  <si>
    <t>2 SLICES</t>
  </si>
  <si>
    <t>RIPE, RED TOMATOES</t>
  </si>
  <si>
    <t>11529</t>
  </si>
  <si>
    <t>FFQ item: tom11d, NDB# 11529 ; RIPE RED TOMATOES ; raw</t>
  </si>
  <si>
    <t>toj11d</t>
  </si>
  <si>
    <t>tom.j</t>
  </si>
  <si>
    <t>CANNED, SALTED TOMATO JUICE</t>
  </si>
  <si>
    <t>11540</t>
  </si>
  <si>
    <t>FFQ item: toj11d, NDB# 11540; CANNED, SALTED TOMATO JUICE</t>
  </si>
  <si>
    <t>toj</t>
  </si>
  <si>
    <t>A70</t>
  </si>
  <si>
    <t>v8</t>
  </si>
  <si>
    <t>CANNED VEGETABLE JUICE</t>
  </si>
  <si>
    <t>11578</t>
  </si>
  <si>
    <t>carrot.j</t>
  </si>
  <si>
    <t>NDB#: 11655	Carrot juice, canned</t>
  </si>
  <si>
    <t>rcar</t>
  </si>
  <si>
    <t>A164</t>
  </si>
  <si>
    <t>FFQ item: cel11d , NDB# 11143 ; RAW CELERY</t>
  </si>
  <si>
    <t>mixv</t>
  </si>
  <si>
    <t>A157; calculated based on all our vegetable calculations</t>
  </si>
  <si>
    <t>peppers</t>
  </si>
  <si>
    <t>FFQ item: grpep11d, NDB # 11333 ; peppers, sweet, green, raw</t>
  </si>
  <si>
    <t>beet</t>
  </si>
  <si>
    <t>NDB# 11080 ; beets raw</t>
  </si>
  <si>
    <t>beets</t>
  </si>
  <si>
    <t>parsley</t>
  </si>
  <si>
    <t xml:space="preserve">NDB#: 02029	Spices, parsley, dried	</t>
  </si>
  <si>
    <t>ice.let</t>
  </si>
  <si>
    <t>FFQ item: ilett11d , NDB# 11252 ; iceberg lettuce</t>
  </si>
  <si>
    <t>spin.raw</t>
  </si>
  <si>
    <t>FFQ item: rspin11d , NDB# 11457 ; RAW SPINACH</t>
  </si>
  <si>
    <t>tosau11d</t>
  </si>
  <si>
    <t>tom.s</t>
  </si>
  <si>
    <t>READY TO SERVE MARINARA/SPAGHETTI SAUCE</t>
  </si>
  <si>
    <t>6931</t>
  </si>
  <si>
    <t>tom.paste</t>
  </si>
  <si>
    <t>Contadina Tomato Paste (100% Tomatoes) /proj/nhnuts/nhnut00/bin/output/marie.2011.csv; NDB#: 11546        Tomato products, canned, paste, without salt added</t>
  </si>
  <si>
    <t>tom*4.56235046143329</t>
  </si>
  <si>
    <t>Additional Calculations = tomato paste</t>
  </si>
  <si>
    <t>FFQ item: oniov11d **(but maybe FFQ item oniog11d) ; food contr name onions1 **(but maybe onions) ; NDB# 11282 ; raw onions</t>
  </si>
  <si>
    <t>oniov</t>
  </si>
  <si>
    <t>A160</t>
  </si>
  <si>
    <t>garlic2</t>
  </si>
  <si>
    <t>FFQ item: garl11d ; NDB# 2020; garlic powder</t>
  </si>
  <si>
    <t>garl</t>
  </si>
  <si>
    <t>A153</t>
  </si>
  <si>
    <t>NDB# 02047 table salt</t>
  </si>
  <si>
    <t xml:space="preserve">o </t>
  </si>
  <si>
    <t>salsa11d</t>
  </si>
  <si>
    <t>salsa</t>
  </si>
  <si>
    <t>0.25 CUP</t>
  </si>
  <si>
    <t>SALSA</t>
  </si>
  <si>
    <t>6164</t>
  </si>
  <si>
    <t>#TOMATO PUREE; Contadina Tomato Paste (100% Tomatoes) /proj/nhnuts/nhnut00/bin/output/marie.2011.csv NDB#: 11546 Tomato products, canned, paste, without salt added</t>
  </si>
  <si>
    <t>#TOMATO PUREE FFQ item: toj11d, NDB# 11540; CANNED, SALTED TOMATO JUICE</t>
  </si>
  <si>
    <t>#TOMATO PUREE FFQ item: tom11d, NDB# 11529 ; RIPE RED TOMATOES ; raw</t>
  </si>
  <si>
    <t>FFQ item: oniog11d ; food contr name onions1 **(but maybe onions) ; NDB# 11282 ; raw onions</t>
  </si>
  <si>
    <t>hot.pep</t>
  </si>
  <si>
    <t>No additional information available</t>
  </si>
  <si>
    <t>grpep</t>
  </si>
  <si>
    <t>A154</t>
  </si>
  <si>
    <t>#SHOPRITE/PRIVATE LABEL BRANDS CONTAINS GREEN PEPPERS**FFQ item: grpep11d, NDB # 11333 ; peppers, sweet, green, raw</t>
  </si>
  <si>
    <t>salt 1</t>
  </si>
  <si>
    <t>#NEWMAN'S, STOREBRANDS CONTAIN SUGAR &lt;2% ; NDB# 19335: Sugars, granulated</t>
  </si>
  <si>
    <t>sbean11d</t>
  </si>
  <si>
    <t>st.beans</t>
  </si>
  <si>
    <t>BOILED, DRAINED, UNSALTED GREEN BEANS</t>
  </si>
  <si>
    <t>11061</t>
  </si>
  <si>
    <t>FFQ item: sbean11d NDB# 11061, Beans, snap, green, frozen, cooked, boiled, drained without salt; boiled drained unsalted string beans BOILED, DRAINED, UNSALTED GREEN BEANS</t>
  </si>
  <si>
    <t>sbean</t>
  </si>
  <si>
    <t>A167</t>
  </si>
  <si>
    <t>bean11d</t>
  </si>
  <si>
    <t>CANNED NAVY BEANS</t>
  </si>
  <si>
    <t>16039</t>
  </si>
  <si>
    <t>FFQ item: bean11d, food contr name: beans, food contr ndb# 16039, NDB# 16039 ; Beans, navy, mature seeds, canned; CANNED NAVY BEANS</t>
  </si>
  <si>
    <t>bean</t>
  </si>
  <si>
    <t>A140</t>
  </si>
  <si>
    <t>blk.beans</t>
  </si>
  <si>
    <t>BOILED, UNSALTED BLACK BEANS</t>
  </si>
  <si>
    <t>16015</t>
  </si>
  <si>
    <t>FFQ item: bean11d, food contr name: beans, food contr ndb# 16039, NDB# 16015 ; Beans, black, mature seeds, cooked, boiled, without salt; BOILED, UNSALTED BLACK BEANS</t>
  </si>
  <si>
    <t>red.bean</t>
  </si>
  <si>
    <t>BOILED, UNSALTED, RED KIDNEY BEANS</t>
  </si>
  <si>
    <t>16033</t>
  </si>
  <si>
    <t>FFQ item: bean11d, food contr name: beans, food contr ndb# 16039, NDB# 16033; Beans, kidney, red, mature seeds, cooked, boiled, without salt; BOILED, UNSALTED, RED KIDNEY BEANS</t>
  </si>
  <si>
    <t>blk.bn.soup</t>
  </si>
  <si>
    <t>CANNED BLACK BEAN SOUP, WATER ADDED</t>
  </si>
  <si>
    <t>6402</t>
  </si>
  <si>
    <t>estimate based on [%afat,%aprot,crude,engl,%st,%sucr,%fruct,%glu,%malt,%heme,%cla,%glyb6,umyri,uquer,ukaem,ucat,udlp,umlv,upet,upro,nitrate,betaine,%expasy,%totfa11,%udtoco,%ugtoco,%uaT3,%ubT3,%ugT3,%udT3,addfat_sol,addfat_liq,misc.carb,isoflav,phytoest] /udd/nhaka/ENOI/recipes.foods.10_11</t>
  </si>
  <si>
    <t># USED TOMATO SAUCE FOR TOMATO PASTE ; NDB# 6931; FFQ item: tosau11d</t>
  </si>
  <si>
    <t>water (44.9%)</t>
  </si>
  <si>
    <t>tomatoes (include puree) (72.3%)</t>
  </si>
  <si>
    <t>onions (18.1%)</t>
  </si>
  <si>
    <t>miscellaneous (9.6%)</t>
  </si>
  <si>
    <t>cel</t>
  </si>
  <si>
    <t>A149</t>
  </si>
  <si>
    <t>FFQ item: bacon11d , NDB# 10124; BROILED, PAN-FRIED, OR ROASTED BACON</t>
  </si>
  <si>
    <t>pmain; pork</t>
  </si>
  <si>
    <t>N109</t>
  </si>
  <si>
    <t>soy.isolate</t>
  </si>
  <si>
    <t># USED SOY ISOLATE FOR HYDROLYZED SOY PROTEIN; No additional information</t>
  </si>
  <si>
    <t>*same as soybeans (Gidon Correspondence) Land/Nr: soybeans mature seeds dry rstd; H2O/GHGEs: convert soymilk to soybeans with equation: soymilk/ 0.09090909091</t>
  </si>
  <si>
    <t># USED ONIONS FOR ONION POWDER ; FFQ item oniov11d or FFQ item oniog11d ; food contr name onions1 or onions ; NDB# 11282 raw onions</t>
  </si>
  <si>
    <t>lent.soup</t>
  </si>
  <si>
    <t>LENTIL SOUP</t>
  </si>
  <si>
    <t>Progesso Classic Lentil Soup (100%)</t>
  </si>
  <si>
    <t xml:space="preserve">h2o </t>
  </si>
  <si>
    <t>FFQ item: bean11d , food contr name: beans, NDB# 16070 ; Lentils, mature seeds, cooked, boiled, without salt; BOILED, UNSALTED LENTILS</t>
  </si>
  <si>
    <t>LENTILS RAW</t>
  </si>
  <si>
    <t>Row 60 in MAD sheet of EnvironCalcPaper3_15110AS_poultryconcise (2)</t>
  </si>
  <si>
    <t># MODIFIED FOOD STARCH; NDB#: 20081 Wheat flour, white, all-purpose, enriched, bleached</t>
  </si>
  <si>
    <t>spin.ckd</t>
  </si>
  <si>
    <t>FFQ item: cspin11d , NDB# 11458, BOILED, DRAINED, UNSALTED SPINACH; Spinach, cooked, boiled, drained, without salt</t>
  </si>
  <si>
    <t>rspin; spin</t>
  </si>
  <si>
    <t>A166; A168</t>
  </si>
  <si>
    <t>BOILED, UNSALTED LENTILS</t>
  </si>
  <si>
    <t>16070</t>
  </si>
  <si>
    <t>tofu11d</t>
  </si>
  <si>
    <t>3.5 OZ/0.5 CUP</t>
  </si>
  <si>
    <t>soy.burger</t>
  </si>
  <si>
    <t>VEGAN SOY BURGER 2011</t>
  </si>
  <si>
    <t>Morningstar Farm Grillers Vegan 100%</t>
  </si>
  <si>
    <t># REPRESENTS TEXTURED SOY PROTEIN CONCENTRATE; NDB#: 16122	Soy protein isolate</t>
  </si>
  <si>
    <t>soybean isolate (soybeans)</t>
  </si>
  <si>
    <t>c</t>
  </si>
  <si>
    <t>"corn oil" - Laura Samson 9/11/17; NDB#: 04518	Oil, corn, industrial and retail, all purpose salad or cooking</t>
  </si>
  <si>
    <t>crnct</t>
  </si>
  <si>
    <t># REPRESENTS NATURAL VEGETABLE FLAVORS; NDB# 11578, FFQ item : toj11d , CANNED VEGETABLE JUICE ; Vegetable juice cocktail, canned</t>
  </si>
  <si>
    <t>CANNED, SALTED TOMATO JUICE (34.2%)</t>
  </si>
  <si>
    <t>carrot juice (34.2%)</t>
  </si>
  <si>
    <t>water (25.5%)</t>
  </si>
  <si>
    <t>mixed vegetables (31.6%)</t>
  </si>
  <si>
    <t># REPRESENTS VEGETABLE GUM; NDB#: 42281        Gums, seed gums (includes locust bean, guar)</t>
  </si>
  <si>
    <t># CORN.ST AND CORN.SYRUP REPRESENT MALTODEXTRIN ; NDB# 20020: Cornmeal</t>
  </si>
  <si>
    <t># CORN.ST AND CORN.SYRUP REPRESENT MALTODEXTRIN; NDB# 19351: Syrups, corn, high-fructose</t>
  </si>
  <si>
    <t># REPRESENTS SOY FIBER; NDB# 16117: Soy flour, defatted</t>
  </si>
  <si>
    <t># REPRESENTS CARAGEENAN; NDB#: 42281        Gums, seed gums (includes locust bean, guar)</t>
  </si>
  <si>
    <t>pot.micro</t>
  </si>
  <si>
    <t># REPRESENTS POTATO STARCH ; FFQ item: pot11d, food contr name: pot , NDB# 11368; MICROW POTATO (SKIN&amp;FLESH) W/NO SALT ADDED; Potatoes, microwaved, cooked in skin, flesh, without salt</t>
  </si>
  <si>
    <t>potato (microwaved)</t>
  </si>
  <si>
    <t>pot</t>
  </si>
  <si>
    <t>A163</t>
  </si>
  <si>
    <t>oat.fiber</t>
  </si>
  <si>
    <t># REPRESENTS KONJAC FLOUR; No additional information available</t>
  </si>
  <si>
    <t>0.05*oat; oatbr</t>
  </si>
  <si>
    <t>A89</t>
  </si>
  <si>
    <t>sesame; No additional information available</t>
  </si>
  <si>
    <t>soy.sce</t>
  </si>
  <si>
    <t>soy sauce; 16123	Soy sauce made from soy and wheat (shoyu)</t>
  </si>
  <si>
    <t>water (67%)</t>
  </si>
  <si>
    <t>soy sauce; 16123 Soy sauce made from soy and wheat (shoyu)</t>
  </si>
  <si>
    <t>wheat flour, all purpose (5%)</t>
  </si>
  <si>
    <t>soy beans (7%)</t>
  </si>
  <si>
    <t>soy isolate (7%)</t>
  </si>
  <si>
    <t>salt (14%)</t>
  </si>
  <si>
    <t>vinegar; No additional information available</t>
  </si>
  <si>
    <t>SOFT TOFU</t>
  </si>
  <si>
    <t>16127</t>
  </si>
  <si>
    <t>estimated based on lack of recipes in /udd/nhaka/ENOI/recipes.foods.10_11</t>
  </si>
  <si>
    <t>FFQ item: tofu11d , NDB# 16127, SOFT TOFU , Tofu, soft, prepared with calcium sulfate and magnesium chloride (nigari)</t>
  </si>
  <si>
    <t>A169</t>
  </si>
  <si>
    <t>BOILED, DRAINED, UNSALTED GREEN SOYBEANS</t>
  </si>
  <si>
    <t>11451</t>
  </si>
  <si>
    <t>FFQ item: tofu11d , NDB# 11451; BOILED, DRAINED, UNSALTED GREEN SOYBEANS; Soybeans, green, cooked, boiled, drained, without salt</t>
  </si>
  <si>
    <t>soy beans</t>
  </si>
  <si>
    <t>peas11d</t>
  </si>
  <si>
    <t>BOILED, DRAINED, UNSALTED GREEN PEAS</t>
  </si>
  <si>
    <t>11313</t>
  </si>
  <si>
    <t>FFQ item: peas11d, NDB# 11313 , BOILED, DRAINED, UNSALTED GREEN PEAS; Peas, green, frozen, cooked, boiled, drained, without salt</t>
  </si>
  <si>
    <t>A162</t>
  </si>
  <si>
    <t>lima.beans</t>
  </si>
  <si>
    <t>BOILED, DRAINED, UNSALTED LIMA BEANS</t>
  </si>
  <si>
    <t>11032</t>
  </si>
  <si>
    <t>FFQ item: peas11d, NDB# 11032, BOILED, DRAINED, UNSALTED LIMA BEANS, Lima beans, immature seeds, cooked, boiled, drained, without salt</t>
  </si>
  <si>
    <t>brocc11d</t>
  </si>
  <si>
    <t>broc</t>
  </si>
  <si>
    <t>BOILED, DRAINED, UNSALTED BROCCOLI</t>
  </si>
  <si>
    <t>11091</t>
  </si>
  <si>
    <t>FFQ item: brocc11d, NDB#11091; BOILED, DRAINED, UNSALTED BROCCOLI; Broccoli, cooked, boiled, drained, without salt</t>
  </si>
  <si>
    <t>brocc</t>
  </si>
  <si>
    <t>A142</t>
  </si>
  <si>
    <t>cauli11d</t>
  </si>
  <si>
    <t>caul</t>
  </si>
  <si>
    <t>BOILED, DRAINED, UNSALTED CAULIFLOWER</t>
  </si>
  <si>
    <t>11136</t>
  </si>
  <si>
    <t>FFQ item: cauli11d, NDB# 11136, BOILED, DRAINED, UNSALTED CAULIFLOWER;         Cauliflower, cooked, boiled, drained, without salt</t>
  </si>
  <si>
    <t>cauli</t>
  </si>
  <si>
    <t>A146</t>
  </si>
  <si>
    <t>cabb11d</t>
  </si>
  <si>
    <t>cabb</t>
  </si>
  <si>
    <t>BOILED, DRAINED, UNSALTED CABBAGE</t>
  </si>
  <si>
    <t>11110</t>
  </si>
  <si>
    <t>FFQ item: cabb11d, NDB# 11110; BOILED, DRAINED, UNSALTED CABBAGE; Cabbage, cooked, boiled, drained, without salt</t>
  </si>
  <si>
    <t>A144</t>
  </si>
  <si>
    <t>coleslaw</t>
  </si>
  <si>
    <t>COLESLAW (FAST FOOD)</t>
  </si>
  <si>
    <t>21127</t>
  </si>
  <si>
    <t># 2011 recipe based on [%aprot,%afat,%st,addsug,othfib,fdfol,%uaT3,%ubT3,%ugT3,%udT3,%totfa11,%amino.acid,addfat_sol,addfat_liq,crude,engl,%glyb6,betaine,cholines,isoflav,vitd,%cla,%expasy,nitrate,uflav,uanth,upro,%gi,%ii06,misc.carb,phytoest] estimated in /udd/nhaka/ENOI/recipes.foods.10_11</t>
  </si>
  <si>
    <t>carrot.r</t>
  </si>
  <si>
    <t>FFQ item: rcar11d, NDB# 11124; RAW CARROTS; Carrots, raw</t>
  </si>
  <si>
    <t>raw carrots</t>
  </si>
  <si>
    <t>mayo</t>
  </si>
  <si>
    <t>FFQ item: mayo11d, NDB# 4025, MAYONNAISE</t>
  </si>
  <si>
    <t>bruss11d</t>
  </si>
  <si>
    <t>brusl</t>
  </si>
  <si>
    <t>BOILED, DRAINED, UNSALTED BRUSSELS SPROUTS</t>
  </si>
  <si>
    <t>11101</t>
  </si>
  <si>
    <t>FFQ item: bruss11d, NDB# 11101; BOILED, DRAINED, UNSALTED BRUSSELS SPROUTS; Brussels sprouts, frozen, cooked, boiled, drained, without salt</t>
  </si>
  <si>
    <t>brussel sprouts</t>
  </si>
  <si>
    <t>bruss</t>
  </si>
  <si>
    <t>A143</t>
  </si>
  <si>
    <t>rcar11d</t>
  </si>
  <si>
    <t>0.5 LARGE</t>
  </si>
  <si>
    <t>RAW CARROTS</t>
  </si>
  <si>
    <t>11124</t>
  </si>
  <si>
    <t>car</t>
  </si>
  <si>
    <t>A145</t>
  </si>
  <si>
    <t>ccar11d</t>
  </si>
  <si>
    <t>carrot.c</t>
  </si>
  <si>
    <t>BOILED, DRAINED, UNSALTED CARROTS</t>
  </si>
  <si>
    <t>11125</t>
  </si>
  <si>
    <t>FFQ item:ccar11d, NDB#11125, BOILED, DRAINED, UNSALTED CARROTS; Carrots, cooked, boiled, drained, without salt</t>
  </si>
  <si>
    <t>ccar</t>
  </si>
  <si>
    <t>A148</t>
  </si>
  <si>
    <t>corn11d</t>
  </si>
  <si>
    <t>BOILED, DRAINED, UNSALTED SWEET YELLOW CORN KERNELS</t>
  </si>
  <si>
    <t>11179</t>
  </si>
  <si>
    <t>FFQ item: corn 11d, NDB# 11179; BOILED, DRAINED, UNSALTED SWEET YELLOW CORN KERNELS;         Corn, sweet, yellow, frozen, kernels cut off cob, boiled, drained, without salt</t>
  </si>
  <si>
    <t>mixv11d</t>
  </si>
  <si>
    <t>mix.veg</t>
  </si>
  <si>
    <t>BOILED, DRAINED, UNSALTED MIXED FROZEN VEGETABLES</t>
  </si>
  <si>
    <t>11584</t>
  </si>
  <si>
    <t>yam11d</t>
  </si>
  <si>
    <t>swt.pot.bk</t>
  </si>
  <si>
    <t>ONE MEDIUM/0.5 CUP</t>
  </si>
  <si>
    <t>SWEET POTATO,CKD,BKD IN SKN,WO/ SALT</t>
  </si>
  <si>
    <t>11508</t>
  </si>
  <si>
    <t>FFQ item: yam11d, NDB# 11508; SWEET POTATO,CKD,BKD IN SKN,WO/ SALT; Sweet potato, cooked, baked in skin, flesh, without salt</t>
  </si>
  <si>
    <t>yam; yams</t>
  </si>
  <si>
    <t>A171; A172</t>
  </si>
  <si>
    <t>swt.pot</t>
  </si>
  <si>
    <t>CANNED, DRAINED SWEET POTATOES WITH SYRUP</t>
  </si>
  <si>
    <t>11647</t>
  </si>
  <si>
    <t xml:space="preserve">swt.pot </t>
  </si>
  <si>
    <t>FFQ item: yam11d, NDB# 11647, CANNED, DRAINED SWEET POTATOES WITH SYRUP, Sweet potato, canned, syrup pack, drained solids</t>
  </si>
  <si>
    <t>osqua11d</t>
  </si>
  <si>
    <t>yel.sqs</t>
  </si>
  <si>
    <t>BAKED, UNSALTED WINTER SQUASH</t>
  </si>
  <si>
    <t>11644</t>
  </si>
  <si>
    <t>FFQ item: osqua11d, NDB# 11644; BAKED, UNSALTED WINTER SQUASH; Squash, winter, all varieties, cooked, baked, without salt</t>
  </si>
  <si>
    <t>osqua</t>
  </si>
  <si>
    <t>A161</t>
  </si>
  <si>
    <t>eggpl11d</t>
  </si>
  <si>
    <t>zuke</t>
  </si>
  <si>
    <t>BOILED, DRAINED, UNSALTED SUMMER SQUASH</t>
  </si>
  <si>
    <t>11478</t>
  </si>
  <si>
    <t>FFQ item: eggpl11d, NDB# 11478; BOILED, DRAINED, UNSALTED SUMMER SQUASH; Squash, summer, zucchini, includes skin, cooked, boiled, drained, without salt</t>
  </si>
  <si>
    <t>ysqu</t>
  </si>
  <si>
    <t>A173</t>
  </si>
  <si>
    <t>kale11d</t>
  </si>
  <si>
    <t>must.gr</t>
  </si>
  <si>
    <t>BOILED, DRAINED, UNSALTED MUSTARD GREENS</t>
  </si>
  <si>
    <t>11271</t>
  </si>
  <si>
    <t>FFQ item: kale11d, NDB# 11271,BOILED, DRAINED, UNSALTED MUSTARD GREENS;  Mustard greens, cooked, boiled, drained, without salt</t>
  </si>
  <si>
    <t>A156</t>
  </si>
  <si>
    <t>BOILED, DRAINED, UNSALTED KALE</t>
  </si>
  <si>
    <t>11234</t>
  </si>
  <si>
    <t>FFQ item: kale11d, NDB# 11234; BOILED, DRAINED, UNSALTED KALE, Kale, cooked, boiled, drained, without salt</t>
  </si>
  <si>
    <t>cspin11d</t>
  </si>
  <si>
    <t>BOILED, DRAINED, UNSALTED SPINACH</t>
  </si>
  <si>
    <t>11458</t>
  </si>
  <si>
    <t>spin</t>
  </si>
  <si>
    <t>A168</t>
  </si>
  <si>
    <t>rspin11d</t>
  </si>
  <si>
    <t>CUP</t>
  </si>
  <si>
    <t>RAW SPINACH</t>
  </si>
  <si>
    <t xml:space="preserve"> 11457</t>
  </si>
  <si>
    <t>rspin</t>
  </si>
  <si>
    <t>A166</t>
  </si>
  <si>
    <t>ilett11d</t>
  </si>
  <si>
    <t>NLEA SERV</t>
  </si>
  <si>
    <t>ICEBERG LETTUCE</t>
  </si>
  <si>
    <t>11252</t>
  </si>
  <si>
    <t>ilett</t>
  </si>
  <si>
    <t>A155</t>
  </si>
  <si>
    <t>rlett11d</t>
  </si>
  <si>
    <t>rom.let</t>
  </si>
  <si>
    <t>ROMAINE LETTUCE</t>
  </si>
  <si>
    <t>11251</t>
  </si>
  <si>
    <t>FFQ item: rlett11d, NDB# 11251; ROMAINE LETTUCE</t>
  </si>
  <si>
    <t>rlett</t>
  </si>
  <si>
    <t>A165</t>
  </si>
  <si>
    <t>cel11d</t>
  </si>
  <si>
    <t>RAW CELERY</t>
  </si>
  <si>
    <t>11143</t>
  </si>
  <si>
    <t>grpep11d</t>
  </si>
  <si>
    <t>2 RINGS</t>
  </si>
  <si>
    <t>RAW GREEN PEPPERS</t>
  </si>
  <si>
    <t>peppers.red</t>
  </si>
  <si>
    <t>RAW RED PEPPERS</t>
  </si>
  <si>
    <t>FFQ item: grpep11d, NDB# 11821, RAW RED PEPPERS; Peppers, sweet, red, raw</t>
  </si>
  <si>
    <t>oniog11d</t>
  </si>
  <si>
    <t>1 SLICE</t>
  </si>
  <si>
    <t>RAW ONIONS</t>
  </si>
  <si>
    <t>FFQ item: oniog11d (also FFQ item: oniov11d), food contr name: onions (alternate onions1) NDB# 11282, RAW ONIONS</t>
  </si>
  <si>
    <t>oniov11d</t>
  </si>
  <si>
    <t>FFQ item: oniov11d (also FFQ item: oniog11d), food contr name: onions1 (alternate onions) NDB# 11282, RAW ONIONS</t>
  </si>
  <si>
    <t>eggom11d</t>
  </si>
  <si>
    <t>eggs.omega</t>
  </si>
  <si>
    <t>LARGE</t>
  </si>
  <si>
    <t xml:space="preserve">OMEGA 3 SUPPLEMENTED EGGS </t>
  </si>
  <si>
    <t xml:space="preserve">FFQ item: eggom11d, OMEGA 3 SUPPLEMENTED EGGS </t>
  </si>
  <si>
    <t>eggom</t>
  </si>
  <si>
    <t>A41</t>
  </si>
  <si>
    <t>egg11d</t>
  </si>
  <si>
    <t>RAW WHOLE EGG</t>
  </si>
  <si>
    <t xml:space="preserve">eggs </t>
  </si>
  <si>
    <t>FFQ item: egg11d, NDB# 1123, RAW WHOLE EGG, Egg, whole, raw, fresh</t>
  </si>
  <si>
    <t>dog11d</t>
  </si>
  <si>
    <t>hotdog</t>
  </si>
  <si>
    <t>ONE</t>
  </si>
  <si>
    <t>BEEF HOT DOG</t>
  </si>
  <si>
    <t>7022</t>
  </si>
  <si>
    <t>FFQ item: dog11d, NDB# 7022, BEEF HOT DOG, Frankfurter, beef, unheated</t>
  </si>
  <si>
    <t>N108</t>
  </si>
  <si>
    <t>hotdog.nofat</t>
  </si>
  <si>
    <t>FAT FREE BEEF, PORK, &amp; TURKEY HOT DOG</t>
  </si>
  <si>
    <t>7905</t>
  </si>
  <si>
    <t>estimate based on [# ADDED HEME TO RECIPE 04/12/12; # CHECK SUGARS; SUGARS IN B.CUBE HAVE INCREASED; RECIPE was 80%, REWROTE RECIPE; #BASED ON 2011 BALL PARK FAT FREE FRANK: SEE TEMPLATE. RAN TO UPDATE; #MERGED II06; hotdog.nofat:%aprot,%expasy,misc.carb,addsug,%sucr,%fruct,%glu,%malt,%heme,%ii06]  /udd/nhaka/ENOI/recipes.foods.10_11</t>
  </si>
  <si>
    <t>FFQ item: bmain11d</t>
  </si>
  <si>
    <t>FFQ item: pmain11d, NDB# 10046, BROILED BONE IN PORK,LOIN/CHOPS,MEAT&amp;FAT; Pork, fresh, loin, center rib (chops), bone-in, separable lean and fat, cooked, broiled</t>
  </si>
  <si>
    <t>b.cube</t>
  </si>
  <si>
    <t>NDB#: 06981	Soup, bouillon cubes and granules, low sodium, dry</t>
  </si>
  <si>
    <t>bouillon cube</t>
  </si>
  <si>
    <t>NDB# 5168, ROASTED TURKEY MEAT; Turkey, whole, meat only, cooked, roasted</t>
  </si>
  <si>
    <t>No additional information</t>
  </si>
  <si>
    <t>soy protein isolate</t>
  </si>
  <si>
    <t>ctdog11d</t>
  </si>
  <si>
    <t>chix.dog</t>
  </si>
  <si>
    <t>CHICKEN HOT DOG</t>
  </si>
  <si>
    <t>7024</t>
  </si>
  <si>
    <t>estimate based on [%expasy] /udd/nhaka/ENOI/recipes.foods.10_11</t>
  </si>
  <si>
    <t>chix.no</t>
  </si>
  <si>
    <t>FFQ item: chwo11d , NDB# 5013, ROASTED CHICKEN MEAT, Chicken, broilers or fryers, meat only, roasted</t>
  </si>
  <si>
    <t>ROASTED CHICKEN MEAT</t>
  </si>
  <si>
    <t>chwi</t>
  </si>
  <si>
    <t>A106</t>
  </si>
  <si>
    <t>chix.fat</t>
  </si>
  <si>
    <t>NDB# 04542: Fat, chicken</t>
  </si>
  <si>
    <t>Chicken fat</t>
  </si>
  <si>
    <t>turk.dog</t>
  </si>
  <si>
    <t>TURKEY HOT DOG</t>
  </si>
  <si>
    <t>7025</t>
  </si>
  <si>
    <t>use turk.dog.lf estimate, because no turk.dog recipe identified /udd/nhaka/ENOI/recipes.foods.10_11</t>
  </si>
  <si>
    <t>beef.wic</t>
  </si>
  <si>
    <t>beef ("broiled top sirloin" - Laura Samson 9/11/17)</t>
  </si>
  <si>
    <t>new values instructed by Gidon</t>
  </si>
  <si>
    <t>ff.chix.turk.dog</t>
  </si>
  <si>
    <t>FAT FREE CHICKEN/TURKEY HOT DOGS</t>
  </si>
  <si>
    <t>7246</t>
  </si>
  <si>
    <t>estimate based on [%st,mn,b1,b2,niacin,panto,b6,fdfol,b12,%amino.acid,retinol,engl,%expasy,misc.carb] /udd/nhaka/ENOI/recipes.foods.10_11</t>
  </si>
  <si>
    <t>turk.dog.lf</t>
  </si>
  <si>
    <t>LOWFAT MEAT &amp; POULTRY HOT DOG</t>
  </si>
  <si>
    <t>42280</t>
  </si>
  <si>
    <t>estimate based on [# ADDED HEME TO RECIPE  04/12/12; turk.dog.lf:%dprot,%dfat,dvitd,st,mn,panto,%glyb6,%heme,nitrate,cla,%ubtoco,%ugtoco,%udtoco,%uaT3,%ubT3,%ugT3,%udT3,%expasy,misc.carb] /udd/nhaka/ENOI/recipes.foods.10_11</t>
  </si>
  <si>
    <t>turk.saus</t>
  </si>
  <si>
    <t>COOKED TURKEY SAUSAGE</t>
  </si>
  <si>
    <t>7958</t>
  </si>
  <si>
    <t>use turk.dog.lf estimate, because no turk.saus recipe identified /udd/nhaka/ENOI/recipes.foods.10_11</t>
  </si>
  <si>
    <t>chksa11d</t>
  </si>
  <si>
    <t>chix.no.sand</t>
  </si>
  <si>
    <t>3 OZ</t>
  </si>
  <si>
    <t>chicken.roll</t>
  </si>
  <si>
    <t>LIGHT MEAT CHICKEN ROLL</t>
  </si>
  <si>
    <t>7017</t>
  </si>
  <si>
    <t>Oscar Mayer Chicken Breast Deli Pack 9/05 /proj/nhnuts/nhnut00/bin/output/marie.2011.csv</t>
  </si>
  <si>
    <t>estimate based on [crude,engl,nitrate,%ubtoco,%ugtoco,%udtoco,%uaT3,%ubT3,%ugT3,%udT3,%expasy] /udd/nhaka/ENOI/recipes.foods.10_11</t>
  </si>
  <si>
    <t xml:space="preserve">chix.no </t>
  </si>
  <si>
    <t>FFQ item: chwo11d</t>
  </si>
  <si>
    <t xml:space="preserve">corn.st </t>
  </si>
  <si>
    <t xml:space="preserve">salt </t>
  </si>
  <si>
    <t xml:space="preserve">chix.fat </t>
  </si>
  <si>
    <t>ROASTED TURKEY MEAT</t>
  </si>
  <si>
    <t>5168</t>
  </si>
  <si>
    <t>ROASTED TURKEY MEAT; Turkey, whole, meat only, cooked, roasted</t>
  </si>
  <si>
    <t>chwi11d</t>
  </si>
  <si>
    <t>chix.sk</t>
  </si>
  <si>
    <t>ROASTED CHICKEN (MEAT &amp; SKIN)</t>
  </si>
  <si>
    <t>FFQ item:chwi11d, NDB# 5009, ROASTED CHICKEN (MEAT &amp; SKIN); Chicken, broilers or fryers, meat and skin, cooked, roasted</t>
  </si>
  <si>
    <t>turkey.sk</t>
  </si>
  <si>
    <t>ROASTED TURKEY BREAST MEAT &amp; SKIN</t>
  </si>
  <si>
    <t>5192</t>
  </si>
  <si>
    <t>FFQ item: chwi11d, NDB# 5192; ROASTED TURKEY BREAST MEAT &amp; SKIN; Turkey, all classes, breast, meat and skin, cooked, roasted</t>
  </si>
  <si>
    <t>grnd.turk</t>
  </si>
  <si>
    <t>COOKED GROUND TURKEY</t>
  </si>
  <si>
    <t>5306</t>
  </si>
  <si>
    <t>Shady Brook Farms Lean Ground Turkey (17.7%); Shady Brook Farms Extra Lean Ground Breast of Turkey (17.7%); Shady Brook Farms Ground Turkey (17.6%); Jennie-O Lean Ground Turkey (47%) /proj/nhnuts/nhnut00/bin/output/marie.2011.csv</t>
  </si>
  <si>
    <t>raw item determined from /proj/nhnuts/nhnut00/misc/ffq.help/n11.gramwt</t>
  </si>
  <si>
    <t>grnd.turkey</t>
  </si>
  <si>
    <t>NDB# 5306, Ground turkey, cooked</t>
  </si>
  <si>
    <t>chwo11d</t>
  </si>
  <si>
    <t xml:space="preserve">turkey </t>
  </si>
  <si>
    <t>bacon11d</t>
  </si>
  <si>
    <t>BROILED, PAN-FRIED, OR ROASTED BACON</t>
  </si>
  <si>
    <t>10124</t>
  </si>
  <si>
    <t>FFQ item: bacon11d, no additional information</t>
  </si>
  <si>
    <t>pmain or pork</t>
  </si>
  <si>
    <t>A131 or N109</t>
  </si>
  <si>
    <t>pmsan11d</t>
  </si>
  <si>
    <t>BEEF AND PORK BOLOGNA</t>
  </si>
  <si>
    <t>7008</t>
  </si>
  <si>
    <t>FFQ item: pmsan11d , NDB# 7008, BEEF AND PORK BOLOGNA</t>
  </si>
  <si>
    <t>procm</t>
  </si>
  <si>
    <t>A109</t>
  </si>
  <si>
    <t>procm11d</t>
  </si>
  <si>
    <t>proc.mts</t>
  </si>
  <si>
    <t>2 PATTIES</t>
  </si>
  <si>
    <t>COOKED PORK &amp; BEEF SAUSAGE</t>
  </si>
  <si>
    <t>7065</t>
  </si>
  <si>
    <t>FFQ item: procm11d; NDB # 07065, Pork and beef sausage, fresh, cooked</t>
  </si>
  <si>
    <t>pork and beef sausage, fresh, cooked</t>
  </si>
  <si>
    <t>hamb11d</t>
  </si>
  <si>
    <t>hamb</t>
  </si>
  <si>
    <t>BROILED 80% LEAN GROUND BEEF PATTY</t>
  </si>
  <si>
    <t>23573</t>
  </si>
  <si>
    <t>FFQ item: hamb11d; NDB# 23573, Beef, ground, 80% lean meat / 20% fat, patty, cooked, broiled</t>
  </si>
  <si>
    <t>hamburger (80%)</t>
  </si>
  <si>
    <t>lean75.hamb</t>
  </si>
  <si>
    <t>BROILED 75% LEAN MEAT GROUND BEEF PATTY</t>
  </si>
  <si>
    <t>23578</t>
  </si>
  <si>
    <t>FFQ item: hamb11d; NDB# 23578, Beef, ground, 75% lean meat / 25% fat, patty, cooked, broiled</t>
  </si>
  <si>
    <t>hamburger (75%)</t>
  </si>
  <si>
    <t>bmix11d</t>
  </si>
  <si>
    <t>sand.bf.ham</t>
  </si>
  <si>
    <t>beef.trm</t>
  </si>
  <si>
    <t>BROILED BEEF TENDERLOIN,LEAN,0"FAT TRIM</t>
  </si>
  <si>
    <t>13442</t>
  </si>
  <si>
    <t>FFQ item: bmain11d; NDB #13442, Beef, loin, top loin, separable lean and fat, trimmed to 1/8" fat, all grades, cooked, grilled</t>
  </si>
  <si>
    <t>beef (100%)</t>
  </si>
  <si>
    <t>beef02</t>
  </si>
  <si>
    <t>BRLD SHORT+TOP LOIN,LEAN&amp;FAT,1/8" FAT TRIM</t>
  </si>
  <si>
    <t>13910</t>
  </si>
  <si>
    <t>FFQ item: bmain11d; NDB#13910, Beef, loin, top loin, separable lean and fat, trimmed to 1/8" fat, all grades, cooked, grilled</t>
  </si>
  <si>
    <t>beef (lean)</t>
  </si>
  <si>
    <t>CANNED HAM</t>
  </si>
  <si>
    <t>10184</t>
  </si>
  <si>
    <t>FFQ item: pmain11d or  bmix11d, NDB# 10184, CANNED HAM; Pork, cured, ham, extra lean and regular, canned, unheated</t>
  </si>
  <si>
    <t>A131; N109</t>
  </si>
  <si>
    <t>pmain11d</t>
  </si>
  <si>
    <t>FFQ item: pmain11d, NDB# 10046, BROILED BONE IN PORK,LOIN/CHOPS,MEAT&amp;FAT</t>
  </si>
  <si>
    <t>5 OZ</t>
  </si>
  <si>
    <t>BROILED BONE IN PORK,LOIN/CHOPS,MEAT&amp;FAT</t>
  </si>
  <si>
    <t>10046</t>
  </si>
  <si>
    <t>FFQ item: pmain11d or bmix11d, NDB# 10184, CANNED HAM; Pork, cured, ham, extra lean and regular, canned, unheated</t>
  </si>
  <si>
    <t>bmain11d</t>
  </si>
  <si>
    <t>ctuna11d</t>
  </si>
  <si>
    <t>3.5 OZ.</t>
  </si>
  <si>
    <t>tuna.all</t>
  </si>
  <si>
    <t>PROFILE TUNA LIGHT IN OIL,WATER; TUNA WHITE IN OIL,WATER</t>
  </si>
  <si>
    <t>FFQ item: ctuna11d, PROFILE TUNA LIGHT IN OIL,WATER; TUNA WHITE IN OIL,WATER</t>
  </si>
  <si>
    <t>N111</t>
  </si>
  <si>
    <t>bfsh11d</t>
  </si>
  <si>
    <t>fr.fish.kids</t>
  </si>
  <si>
    <t>FILLET</t>
  </si>
  <si>
    <t xml:space="preserve">PREHEATED FROZEN FISH PORTIONS/STICKS </t>
  </si>
  <si>
    <t>15027</t>
  </si>
  <si>
    <t>estimate based on #2011 recipe /udd/nhaka/ENOI/recipes.foods.10_11</t>
  </si>
  <si>
    <t>FFQ item: ofish11d, NDB# 15205, DRY HEAT COOKED ATLANTIC POLLOCK</t>
  </si>
  <si>
    <t>all purpose flour</t>
  </si>
  <si>
    <t>cs</t>
  </si>
  <si>
    <t>cottonseed oil; NDB# 04502	Oil, cottonseed, salad or cooking</t>
  </si>
  <si>
    <t>ricebran</t>
  </si>
  <si>
    <t>NDB#: 20060	Rice bran, crude</t>
  </si>
  <si>
    <t>0.05*brice</t>
  </si>
  <si>
    <t>A83</t>
  </si>
  <si>
    <t>flour.corn.deg</t>
  </si>
  <si>
    <t>NDB#: 20018	Corn flour, yellow, degermed, unenriched</t>
  </si>
  <si>
    <t># REPRESENTS DEXTROSE NDB# 20020: Cornmeal</t>
  </si>
  <si>
    <t>flour.b.malt</t>
  </si>
  <si>
    <t>NDB#: 20131	Barley malt flour</t>
  </si>
  <si>
    <t>M74</t>
  </si>
  <si>
    <t>wheat.glut</t>
  </si>
  <si>
    <t># REPRESENTS HYDROLYZED WHEAT PROTEIN; NDB#: 48052 Vital wheat gluten</t>
  </si>
  <si>
    <t>6.23*wheat</t>
  </si>
  <si>
    <t xml:space="preserve">flour.corn </t>
  </si>
  <si>
    <t># REPRESENTS HYDROLYZED CORN GLUTEN; NDB#: 20016 Corn flour, whole-grain, yellow</t>
  </si>
  <si>
    <t>02028_24</t>
  </si>
  <si>
    <t>#COLORED WITH PAPRIKA, ANNATTO, TURMERIC</t>
  </si>
  <si>
    <t>paprika, annatto, turmeric</t>
  </si>
  <si>
    <t>flour.w.r</t>
  </si>
  <si>
    <t>NDB#: 20061        Rice flour, white, unenriched</t>
  </si>
  <si>
    <t>wrice</t>
  </si>
  <si>
    <t>A84</t>
  </si>
  <si>
    <t>shrim11d</t>
  </si>
  <si>
    <t>shrimp.ckd</t>
  </si>
  <si>
    <t>MOIST HEAT COOKED SHRIMP</t>
  </si>
  <si>
    <t>15151</t>
  </si>
  <si>
    <t>FFQ item: shrim11d, NDB# 15151, MOIST HEAT COOKED SHRIMP</t>
  </si>
  <si>
    <t>N113</t>
  </si>
  <si>
    <t>oyster.farm</t>
  </si>
  <si>
    <t>DRY HEAT COOKED FARMED OYSTERS</t>
  </si>
  <si>
    <t>15246</t>
  </si>
  <si>
    <t>FFQ item: shrim11d, NDB# 15246, DRY HEAT COOKED FARMED OYSTERS</t>
  </si>
  <si>
    <t>clams.ckd</t>
  </si>
  <si>
    <t>CLAM,MXD SP,CKD,MOIST HEAT</t>
  </si>
  <si>
    <t>15159</t>
  </si>
  <si>
    <t>FFQ item: shrim11d, NDB# 15159; , CLAM,MXD SP,CKD,MOIST HEAT, Mollusks, clam, mixed species, cooked, moist heat</t>
  </si>
  <si>
    <t>clam</t>
  </si>
  <si>
    <t>N112</t>
  </si>
  <si>
    <t>dkfsh11d</t>
  </si>
  <si>
    <t>dk.fish</t>
  </si>
  <si>
    <t>4 OZ</t>
  </si>
  <si>
    <t>DRY HEAT COOKED SWORDFISH</t>
  </si>
  <si>
    <t>15111</t>
  </si>
  <si>
    <t>FFQ item: dkfsh11d, NDB# 15111, DRY HEAT COOKED SWORDFISH</t>
  </si>
  <si>
    <t>herring.atl</t>
  </si>
  <si>
    <t>DRY HEAT COOKED ATLANTIC HERRING</t>
  </si>
  <si>
    <t>15040</t>
  </si>
  <si>
    <t>FFQ item: dkfsh11d, NDB# 15040</t>
  </si>
  <si>
    <t>atlantic herring</t>
  </si>
  <si>
    <t>NA; Seafood sheet</t>
  </si>
  <si>
    <t>DRY HEAT COOKED SOCKEYE SALMON</t>
  </si>
  <si>
    <t>FFQ item: dkfsh11d, NDB# 15086, DRY HEAT COOKED SOCKEYE SALMON</t>
  </si>
  <si>
    <t>N110</t>
  </si>
  <si>
    <t>tuna.stk</t>
  </si>
  <si>
    <t>DRY HEAT COOKED YELLOWFIN TUNA</t>
  </si>
  <si>
    <t>15221</t>
  </si>
  <si>
    <t>FFQ item: dkfsh11d, NDB# 15221; DRY HEAT COOKED YELLOWFIN TUNA</t>
  </si>
  <si>
    <t>salmon.chum.ckd</t>
  </si>
  <si>
    <t>DRY HEAT COOKED CHUM SALMON</t>
  </si>
  <si>
    <t>15211</t>
  </si>
  <si>
    <t>FFQ item: dkfsh11d, NDB# 15211, DRY HEAT COOKED CHUM SALMON</t>
  </si>
  <si>
    <t>salmon.pink.cn</t>
  </si>
  <si>
    <t>CANNED PINK SALMON WITH BONES/LIQUID</t>
  </si>
  <si>
    <t>15084</t>
  </si>
  <si>
    <t>FFQ item: dkfsh11d, NDB# 15084, CANNED PINK SALMON WITH BONES/LIQUID</t>
  </si>
  <si>
    <t>salmon.pink.ckd</t>
  </si>
  <si>
    <t>DRY HEAT COOKED PINK SALMON</t>
  </si>
  <si>
    <t>15212</t>
  </si>
  <si>
    <t>salmom.pink.ckd</t>
  </si>
  <si>
    <t>FFQ item: dkfsh11d, NDB# 15212, DRY HEAT COOKED PINK SALMON</t>
  </si>
  <si>
    <t xml:space="preserve">salmon.atl.ckd </t>
  </si>
  <si>
    <t>DRY HEAT COOKED FARMED ATLANTIC SALMON</t>
  </si>
  <si>
    <t>15237</t>
  </si>
  <si>
    <t>salmon.atl.ckd</t>
  </si>
  <si>
    <t>FFQ item: dkfsh11d, NDB# 15237, DRY HEAT COOKED FARMED ATLANTIC SALMON</t>
  </si>
  <si>
    <t xml:space="preserve">bluefish              </t>
  </si>
  <si>
    <t>DRY HEAT COOKED BLUEFISH</t>
  </si>
  <si>
    <t>15189</t>
  </si>
  <si>
    <t>FFQ item: dkfsh11d, NDB# 15189; DRY HEAT COOKED BLUEFISH</t>
  </si>
  <si>
    <t>NA; average of marine wild caught fish</t>
  </si>
  <si>
    <t xml:space="preserve">sardine.pac </t>
  </si>
  <si>
    <t>TOM SAUCE CND, DRND PACIFIC SARDINES,W/BONE</t>
  </si>
  <si>
    <t>15089</t>
  </si>
  <si>
    <t>sardine.atl</t>
  </si>
  <si>
    <t>NDB#: 15088	Fish, sardine, Atlantic, canned in oil, drained solids with bone</t>
  </si>
  <si>
    <t>ATLANTIC SARDINES (90%)</t>
  </si>
  <si>
    <t>estimate *see tom.s.recipe</t>
  </si>
  <si>
    <t>ofish11d</t>
  </si>
  <si>
    <t>oth.fish</t>
  </si>
  <si>
    <t>DRY HEAT COOKED ATLANTIC POLLOCK</t>
  </si>
  <si>
    <t>15205</t>
  </si>
  <si>
    <t>DRY HEAT COOKED FARMED, CHANNEL CATFISH</t>
  </si>
  <si>
    <t>15235</t>
  </si>
  <si>
    <t>FFQ item: ofish11d, NDB# 15235, DRY HEAT COOKED FARMED, CHANNEL CATFISH</t>
  </si>
  <si>
    <t>tilapia.farm</t>
  </si>
  <si>
    <t>COOKED FARMED TILAPIA</t>
  </si>
  <si>
    <t>FFQ item: ofish11d, COOKED FARMED TILAPIA</t>
  </si>
  <si>
    <t>cod.pacific</t>
  </si>
  <si>
    <t>DRY HEAT COOKED PACIFIC COD</t>
  </si>
  <si>
    <t>15192</t>
  </si>
  <si>
    <t>FFQ item: ofish11d, NDB# 15192; DRY HEAT COOKED PACIFIC COD</t>
  </si>
  <si>
    <t>flounder</t>
  </si>
  <si>
    <t>DRY HEAT COOKED FLATFISH (FLOUNDER &amp; SOLE)</t>
  </si>
  <si>
    <t>15029</t>
  </si>
  <si>
    <t>FFQ item: ofish11d, NDB# 15029, DRY HEAT COOKED FLATFISH (FLOUNDER &amp; SOLE)</t>
  </si>
  <si>
    <t>DRY HEAT COOKED HALIBUT</t>
  </si>
  <si>
    <t>15037</t>
  </si>
  <si>
    <t>FFQ item: ofish11d, NDB# 15037; DRY HEAT COOKED HALIBUT</t>
  </si>
  <si>
    <t>DRY HEAT COOKED HADDOCK</t>
  </si>
  <si>
    <t>15034</t>
  </si>
  <si>
    <t>FFQ item: ofish11d, NDB# 15034; DRY HEAT COOKED HADDOCK</t>
  </si>
  <si>
    <t>cer11d</t>
  </si>
  <si>
    <t>cold.cer</t>
  </si>
  <si>
    <t>1 SERV</t>
  </si>
  <si>
    <t xml:space="preserve">category (from recipes.cereal.2011.test) </t>
  </si>
  <si>
    <t>cheerio.hn</t>
  </si>
  <si>
    <t>GENERAL MILLS,HONEY NUT CHEERIOS</t>
  </si>
  <si>
    <t xml:space="preserve"> proj/nhnuts/nhnut00/recipes/recipes.cereal.2011.test</t>
  </si>
  <si>
    <t>oats.dry</t>
  </si>
  <si>
    <t>NDB#: 08120        Cereals, oats, regular and quick, not fortified, dry</t>
  </si>
  <si>
    <t>A79</t>
  </si>
  <si>
    <t>b.40%.P</t>
  </si>
  <si>
    <t>POST 40% BRAN FLAKES</t>
  </si>
  <si>
    <t>flour.ww</t>
  </si>
  <si>
    <t>NDB#: 20080	Wheat flour, whole-grain</t>
  </si>
  <si>
    <t>FFQ item: oatbr11d, NDB#20077, CRUDE WHEAT BRAN</t>
  </si>
  <si>
    <t>A77</t>
  </si>
  <si>
    <t>fr.miniwht</t>
  </si>
  <si>
    <t>KELLOGG'S FRSTD MINI-WHEATS,BIG BITE</t>
  </si>
  <si>
    <t>fiber</t>
  </si>
  <si>
    <t>GENERAL MILLS,FIBER ONE</t>
  </si>
  <si>
    <t>corn.bran</t>
  </si>
  <si>
    <t>NDB#: 20015	Corn bran, crude</t>
  </si>
  <si>
    <t>5% of corn</t>
  </si>
  <si>
    <t>spec.k.red</t>
  </si>
  <si>
    <t>KELLOGG,KELLOGG'S SPL K RED BERRIES</t>
  </si>
  <si>
    <t>NDB#: 20061	Rice flour, white, unenriched</t>
  </si>
  <si>
    <t>br.sugar</t>
  </si>
  <si>
    <t>hon.bun.oat.a</t>
  </si>
  <si>
    <t>POST,HONEY BUNCHES OF OATS,W/ ALMONDS</t>
  </si>
  <si>
    <t>corn.wg</t>
  </si>
  <si>
    <t>NDB#: 20014	Corn grain, yellow</t>
  </si>
  <si>
    <t>NDB#: 20020 Cornmeal, whole-grain, yellow</t>
  </si>
  <si>
    <t>NDB#: 08120	Cereals, oats, regular and quick, not fortified, dry</t>
  </si>
  <si>
    <t xml:space="preserve">r.krisp </t>
  </si>
  <si>
    <t>KELLOGG,KELLOGG'S RICE KRISPIES</t>
  </si>
  <si>
    <t>FFQ item: cer11d KELLOGG,KELLOGG'S RICE KRISPIES</t>
  </si>
  <si>
    <t>wh.rice.raw</t>
  </si>
  <si>
    <t>Found in r.krisp document; NDB#: 20050        Rice, white, medium-grain, raw, enriched        OR        20450        Rice, white, medium-grain, raw, unenriched        OR        20452        Rice, white, short-grain, raw, unenriched OR        20044        Rice, white, long-grain, regular, raw, enriched        OR        20444        Rice, white, long-grain, regular, raw, unenriched"</t>
  </si>
  <si>
    <t>Found in r.krisp document; NDB# 19335: Sugars, granulated</t>
  </si>
  <si>
    <t>nat.q.lf</t>
  </si>
  <si>
    <t>QUAKER,LOFAT 100% NAT GRANOLA W/ RAISINS</t>
  </si>
  <si>
    <t>r.krisp</t>
  </si>
  <si>
    <t>c.flk.K</t>
  </si>
  <si>
    <t>cornmeal (88%)</t>
  </si>
  <si>
    <t>puf.r</t>
  </si>
  <si>
    <t>NDB#: 08156	Cereals ready-to-eat, rice, puffed, fortified</t>
  </si>
  <si>
    <t>kashi.go.lean</t>
  </si>
  <si>
    <t>KASHI GOLEAN BY KELLOGG</t>
  </si>
  <si>
    <t>FFQ item: cer11d, KASHI GOLEAN BY KELLOGG</t>
  </si>
  <si>
    <t>NDB#: ORGANIC WHOLE GROUND SOY FLOUR, UPC: 039978008664</t>
  </si>
  <si>
    <t>br.rice</t>
  </si>
  <si>
    <t>FFQ item: brice11d, NDB# 20037, COOKED LONG GRAIN BROWN RICE</t>
  </si>
  <si>
    <t>brice</t>
  </si>
  <si>
    <t>barley.dry</t>
  </si>
  <si>
    <t>NDB#: 20004	Barley, hulled</t>
  </si>
  <si>
    <t>rye.grain</t>
  </si>
  <si>
    <t>NDB#: 20062	Rye grain</t>
  </si>
  <si>
    <t>M75</t>
  </si>
  <si>
    <t>buckwht</t>
  </si>
  <si>
    <t>NDB#: 20008	Buckwheat</t>
  </si>
  <si>
    <t>buckwheat</t>
  </si>
  <si>
    <t>hon.bun.oats</t>
  </si>
  <si>
    <t>POST,HONEY BUNCHES OF OATS,HONEY RSTD</t>
  </si>
  <si>
    <t>NDB#: 08091 Cereals, corn grits, white, regular and quick, enriched, cooked with water, without salt; or NDB#: 20020        Cornmeal, whole-grain, yellow</t>
  </si>
  <si>
    <t>life</t>
  </si>
  <si>
    <t>QUAKER,QUAKER OAT LIFE,PLN</t>
  </si>
  <si>
    <t>flour.oat.wh</t>
  </si>
  <si>
    <t>NDB#: 45026825	WHOLE GRAIN OAT FLOUR, UPC: 039978003775?</t>
  </si>
  <si>
    <t>oat flour</t>
  </si>
  <si>
    <t>flour.corn</t>
  </si>
  <si>
    <t>NDB#: 20016 Corn flour, whole-grain, yellow</t>
  </si>
  <si>
    <t>oat11d</t>
  </si>
  <si>
    <t>oatmeal.bran</t>
  </si>
  <si>
    <t>oat.bran</t>
  </si>
  <si>
    <t>RAW OAT BRAN</t>
  </si>
  <si>
    <t>20033</t>
  </si>
  <si>
    <t xml:space="preserve">ckd.oats </t>
  </si>
  <si>
    <t>REG/QUICK/INST UNENR OATS,CKD W/H2O, NO SALT</t>
  </si>
  <si>
    <t>8121</t>
  </si>
  <si>
    <t>ckd.oats</t>
  </si>
  <si>
    <t>FFQ item: oat11d, NDB# 8121, REG/QUICK/INST UNENR OATS,CKD W/H2O, NO SALT</t>
  </si>
  <si>
    <t xml:space="preserve">REG/QUICK/INST UNENR OATS,CKD W/H2O, NO SALT </t>
  </si>
  <si>
    <t>0.18*oat</t>
  </si>
  <si>
    <t>TAP WATER (for oat bran)</t>
  </si>
  <si>
    <t>14429</t>
  </si>
  <si>
    <t>GRANULATED SUGAR (2 tsp)</t>
  </si>
  <si>
    <t>19335</t>
  </si>
  <si>
    <t xml:space="preserve">ckd.oats  </t>
  </si>
  <si>
    <t>GRANULATED SUGAR (1 tsp)</t>
  </si>
  <si>
    <t>ckcer11d</t>
  </si>
  <si>
    <t>ckd.cer</t>
  </si>
  <si>
    <t xml:space="preserve">ckd.cer.quak </t>
  </si>
  <si>
    <t>QUAK MULTIGRN OATMEAL,CKD W/WATER,NO SALT</t>
  </si>
  <si>
    <t>8249</t>
  </si>
  <si>
    <t>rye grain</t>
  </si>
  <si>
    <t>barley.ckd</t>
  </si>
  <si>
    <t>NDB#: 20006        Barley, pearled, cooked</t>
  </si>
  <si>
    <t>NDB#: 20012	Bulgur, dry</t>
  </si>
  <si>
    <t>bulgur wheat</t>
  </si>
  <si>
    <t>otgrn</t>
  </si>
  <si>
    <t>A86</t>
  </si>
  <si>
    <t>QUICK CREAM OF WHEAT,CKD W/WATER, NO SALT</t>
  </si>
  <si>
    <t>8105</t>
  </si>
  <si>
    <t>proj/nhnuts/nhnut00/recipes/cer.final (most comprehensive, comparable to recipes.foods.10_11)</t>
  </si>
  <si>
    <t>NDB#: 20081 Wheat flour, white, all-purpose, enriched, bleached; #WHEAT FARINA (SEMOLINA)</t>
  </si>
  <si>
    <t>wh.germ</t>
  </si>
  <si>
    <t>FFQ item: wgerm11d, NDB# 8084, TOASTED, PLAIN WHEAT GERM</t>
  </si>
  <si>
    <t>0.05*wheat; wgerm</t>
  </si>
  <si>
    <t>A77;A78</t>
  </si>
  <si>
    <t>corn.grit</t>
  </si>
  <si>
    <t>REG/QUICK ENR CORN GRITS,CKD W/WATER,NO SALT</t>
  </si>
  <si>
    <t>8091</t>
  </si>
  <si>
    <t>closest computation to NDB# is based on [phytoest]\ in recipes.foods.10_11</t>
  </si>
  <si>
    <t>closest computation to NDB# is for phytoest in recipes.foods.10_11</t>
  </si>
  <si>
    <t>whbr11d</t>
  </si>
  <si>
    <t>wh.br</t>
  </si>
  <si>
    <t>SLICE</t>
  </si>
  <si>
    <t>WHITE BREAD</t>
  </si>
  <si>
    <t>18069</t>
  </si>
  <si>
    <t>2011 RECIPE in recipes.foods.10_11</t>
  </si>
  <si>
    <t>NDB#: 19296	Honey</t>
  </si>
  <si>
    <t># MALTODEXTRIN; NDB# 20020: Cornmeal</t>
  </si>
  <si>
    <t># DEXTROSE; NDB# 19335: Sugars, granulated</t>
  </si>
  <si>
    <t>ryebr11d</t>
  </si>
  <si>
    <t>rye.br</t>
  </si>
  <si>
    <t>RYE BREAD</t>
  </si>
  <si>
    <t>18060</t>
  </si>
  <si>
    <t xml:space="preserve">rye </t>
  </si>
  <si>
    <t>NDB#: 48052 Vital wheat gluten</t>
  </si>
  <si>
    <t># MALTED BARLEY EXTRACT ; "NDB#: 20131	Barley malt flour"</t>
  </si>
  <si>
    <t># MALTED CORN EXTRACT; NDB#: 20016 Corn flour, whole-grain, yellow</t>
  </si>
  <si>
    <t>soy lecithin, no additional information available</t>
  </si>
  <si>
    <t>dkbr11d</t>
  </si>
  <si>
    <t>dk.br</t>
  </si>
  <si>
    <t>cr.wheat.br</t>
  </si>
  <si>
    <t>CRACKED WHEAT BREAD</t>
  </si>
  <si>
    <t>18025</t>
  </si>
  <si>
    <t>2/3*sugar</t>
  </si>
  <si>
    <t>2/3*A222</t>
  </si>
  <si>
    <t>wh.bran.br</t>
  </si>
  <si>
    <t>WHEAT BRAN BREAD</t>
  </si>
  <si>
    <t>18066</t>
  </si>
  <si>
    <t xml:space="preserve">oat.bran.br </t>
  </si>
  <si>
    <t>OAT BRAN BREAD</t>
  </si>
  <si>
    <t>Arnold's Country Classics Oat Bran Bread (50%); Arnold's Oat Bran Bread (50%)</t>
  </si>
  <si>
    <t>FFQ item: oatbr11d, NDB# 20033, RAW OAT BRAN</t>
  </si>
  <si>
    <t># REPRESENTS FRUCTOSE; NDB# 19351: Syrups, corn, high-fructose</t>
  </si>
  <si>
    <t># REPRESENTS DEXTROSE &amp; MALTODEXTRIN; NDB# 20020: Cornmeal</t>
  </si>
  <si>
    <t>FFQ item: wnut11d, NDB# 12155, WALNUTS</t>
  </si>
  <si>
    <t>wnut</t>
  </si>
  <si>
    <t>A270</t>
  </si>
  <si>
    <t>NDB#: 01115 Whey, sweet, dried</t>
  </si>
  <si>
    <t xml:space="preserve">wheat.br </t>
  </si>
  <si>
    <t>WHOLE WHEAT BREAD</t>
  </si>
  <si>
    <t>18075</t>
  </si>
  <si>
    <t>short.ph.sb (soy.90 72%, sb.ph 10.5%, palm oil, ph 9%, cs.ph 8.5%)</t>
  </si>
  <si>
    <t># NEXT 2 INGREDIENTS PARTIALLY HYDROGENATED VEG SHORTENING; Crisco All Vegetable Shortening (83%); Shaw's Vegetable Shortening (17%) /proj/nhnuts/nhnut00/bin/output/marie.2011.csv; NDB#: 04044 Oil, soybean, salad or cooking</t>
  </si>
  <si>
    <t># NEXT 2 INGREDIENTS PARTIALLY HYDROGENATED VEG SHORTENING; Crisco All Vegetable Shortening (83%); Shaw's Vegetable Shortening (17%) /proj/nhnuts/nhnut00/bin/output/marie.2011.csv; 04034        Oil, soybean, salad or cooking, (partially hydrogenated)</t>
  </si>
  <si>
    <t># NEXT 2 INGREDIENTS PARTIALLY HYDROGENATED VEG SHORTENING; Crisco All Vegetable Shortening (83%); Shaw's Vegetable Shortening (17%) /proj/nhnuts/nhnut00/bin/output/marie.2011.csv; 04055        Oil, palm</t>
  </si>
  <si>
    <t>palm oil, fully or partially hydrogenated</t>
  </si>
  <si>
    <t># NEXT 2 INGREDIENTS PARTIALLY HYDROGENATED VEG SHORTENING; Crisco All Vegetable Shortening (83%); Shaw's Vegetable Shortening (17%) /proj/nhnuts/nhnut00/bin/output/marie.2011.csv; 04502        Oil, cottonseed, salad or cooking</t>
  </si>
  <si>
    <t>partially hydrogenated soybean cottonseed oil # NEXT 2 INGREDIENTS PARTIALLY HYDROGENATED VEG SHORTENING; Crisco All Vegetable Shortening (83%); Shaw's Vegetable Shortening (17%) /proj/nhnuts/nhnut00/bin/output/marie.2011.csv; "NDB#: 04034	Oil, soybean, salad or cooking, (partially hydrogenated)"</t>
  </si>
  <si>
    <t>partially hydrogenated soybean cottonseed oil # NEXT 2 INGREDIENTS PARTIALLY HYDROGENATED VEG SHORTENING; Crisco All Vegetable Shortening (83%); Shaw's Vegetable Shortening (17%) /proj/nhnuts/nhnut00/bin/output/marie.2011.csv; 04502	Oil, cottonseed, salad or cooking</t>
  </si>
  <si>
    <t># CULTURED WHEAT FLOUR; NDB#: 20081 Wheat flour, white, all-purpose, enriched, bleached</t>
  </si>
  <si>
    <t>whties</t>
  </si>
  <si>
    <t># WHOLE WHEAT FLAKES; NDB#: 08089	Cereals ready-to-eat, GENERAL MILLS, WHEATIES</t>
  </si>
  <si>
    <t>whect</t>
  </si>
  <si>
    <t>A100</t>
  </si>
  <si>
    <t># RAISIN JUICE CONCENTRATE; FFQ item : rais11d , NDB # 9298 food contr name raisgrp , raisins seedless</t>
  </si>
  <si>
    <t xml:space="preserve">oat.br.wh </t>
  </si>
  <si>
    <t>WHOLE OAT BREAD</t>
  </si>
  <si>
    <t>Pepperidge Farm Whole Grain Hearty Texture Oatmeal (100%)</t>
  </si>
  <si>
    <t># WHEAT PROTEIN ISOLATE; NDB#: 20081 Wheat flour, white, all-purpose, enriched, bleached</t>
  </si>
  <si>
    <t>oat.br.ref</t>
  </si>
  <si>
    <t>OATMEAL BREAD</t>
  </si>
  <si>
    <t>18039</t>
  </si>
  <si>
    <t>oatbr</t>
  </si>
  <si>
    <t xml:space="preserve">bu </t>
  </si>
  <si>
    <t>crackww11d</t>
  </si>
  <si>
    <t>crax.ww</t>
  </si>
  <si>
    <t>20 GM</t>
  </si>
  <si>
    <t>WHOLE WHEAT CRACKERS, 2011</t>
  </si>
  <si>
    <t>Nabisco Triscuit Original (26%); Nabisco Reduced Fat Triscuits (19%); Nabisco Wheat Thins Original (32%); Nabisco Reduced Fat Wheat Thins (23%)</t>
  </si>
  <si>
    <t># FLOUR.B.MALT IS USED FOR MALT SYRUP; "NDB#: 20131        Barley malt flour"</t>
  </si>
  <si>
    <t># USING BARLEY.DRY FOR WHOLE GRAIN BARLEY FLAKES; NDB#: 20004        Barley, hulled</t>
  </si>
  <si>
    <t>dry barley</t>
  </si>
  <si>
    <t># WHOLE GRAIN RYE "NDB#: 20062        Rye grain"</t>
  </si>
  <si>
    <t>crackot11d</t>
  </si>
  <si>
    <t>crax.oth</t>
  </si>
  <si>
    <t>crax.multi</t>
  </si>
  <si>
    <t>MULTIGRAIN CRACKERS, 2011</t>
  </si>
  <si>
    <t>Keebler Multi-Grain Club Crackers 37%; Kellogg's All-Bran Multi-Grain Crackers (15%); Nabisco Wheat Thins Multigrain Crackers (48%)</t>
  </si>
  <si>
    <t># DEFATTED WHEAT GERM; FFQ item: wgerm11d, NDB# 8084, TOASTED, PLAIN WHEAT GERM</t>
  </si>
  <si>
    <t>oat fiber; no additional information available</t>
  </si>
  <si>
    <t># MALT EXTRACT; "NDB#: 20131	Barley malt flour"</t>
  </si>
  <si>
    <t>barley malt flour</t>
  </si>
  <si>
    <t># WHEAT BRAN; FFQ item: oatbr11d, NDB#20077, CRUDE WHEAT BRAN</t>
  </si>
  <si>
    <t># REPRESENTS WHOLE GRAIN RYE &amp; RYE MEAL "NDB#: 20062        Rye grain"</t>
  </si>
  <si>
    <t>barley dry</t>
  </si>
  <si>
    <t># RICE FLOUR; NDB#: 20061	Rice flour, white, unenriched</t>
  </si>
  <si>
    <t># REPRESENTS STEEL CUT OATS &amp; WHOLE GRAIN ROLLED OATS "NDB#: 08120        Cereals, oats, regular and quick, not fortified, dry"</t>
  </si>
  <si>
    <t>millet</t>
  </si>
  <si>
    <t>NDB#: 20031	Millet, raw</t>
  </si>
  <si>
    <t>NDB#: 02010	Spices, cinnamon, ground</t>
  </si>
  <si>
    <t>MIX OF REGULAR AND LOWFAT CRACKERS 2011</t>
  </si>
  <si>
    <t>Nabisco Original Premium Saltine Crackers (11%); Nabisco Ritz Crackers (17%); Nabisco Reduced Fat Ritz Crackers (16%); Pepperidge Farm Goldfish Baked Snack Crackers: Cheddar (12%); Nabisco Fat Free Saltine Crackers (10%); Sunshine Reduced Fat CheezIt Baked Snack Crackers (16%); Sunshine CheezIt Baked Snack Crackers (18%)</t>
  </si>
  <si>
    <t>CHEDDAR CHEESE</t>
  </si>
  <si>
    <t>lofat.cheese</t>
  </si>
  <si>
    <t>CHEESE MADE WITH SKIM MILK</t>
  </si>
  <si>
    <t>chnft11d</t>
  </si>
  <si>
    <t>A38</t>
  </si>
  <si>
    <t>PARTIALLY HYDROGENATED COTTONSEED OIL; "NDB#: 04034	Oil, soybean, salad or cooking, (partially hydrogenated)"</t>
  </si>
  <si>
    <t>CANOLA, SUNFLOWER, AND/OR SOYBEAN OIL; "NDB#: 04060	Oil, sunflower, linoleic (less than 60%)"</t>
  </si>
  <si>
    <t>rapeseed (canola) oil</t>
  </si>
  <si>
    <t>SOYBEAN AND PALM OIL; "NDB#: 04055	Oil, palm"</t>
  </si>
  <si>
    <t>engl11d</t>
  </si>
  <si>
    <t>eng.muff</t>
  </si>
  <si>
    <t>PLAIN, ENRICHED ENGLISH MUFFIN</t>
  </si>
  <si>
    <t>18258</t>
  </si>
  <si>
    <t>from proj/nhnuts/nhnut00/recipes/eng.muff</t>
  </si>
  <si>
    <t xml:space="preserve">~100% wh.br </t>
  </si>
  <si>
    <t>reference wh.br11d</t>
  </si>
  <si>
    <t xml:space="preserve">skim milk </t>
  </si>
  <si>
    <t>soybean oil (=soybean flour)*</t>
  </si>
  <si>
    <t>eng.muff.multi</t>
  </si>
  <si>
    <t>MIXED GRAIN ENGLISH MUFFIN</t>
  </si>
  <si>
    <t>18260</t>
  </si>
  <si>
    <t>NDB#: 08172	Cereals, farina, unenriched, dry</t>
  </si>
  <si>
    <t>FFQ item: flaxd11d, NDB# 12220, SEEDS,FLAXSEED</t>
  </si>
  <si>
    <t># CORN CEREAL; REPLACE c.flk.K WITH FLOUR.CORN; NDB#: 20016 Corn flour, whole-grain, yellow</t>
  </si>
  <si>
    <t># DEXTROSE; NDB# 20020: Cornmeal</t>
  </si>
  <si>
    <t>A76</t>
  </si>
  <si>
    <t>soy.bn.raw</t>
  </si>
  <si>
    <t>NDB#:16108	Soybeans, mature seeds, raw</t>
  </si>
  <si>
    <t># TRITICALE; "NDB#: 20080        Wheat flour, whole-grain"</t>
  </si>
  <si>
    <t xml:space="preserve">eng.muff.wheat </t>
  </si>
  <si>
    <t>WHEAT ENGLISH MUFFIN</t>
  </si>
  <si>
    <t>18264</t>
  </si>
  <si>
    <t># POLYDEXTROSE;  NDB# 20020: Cornmeal</t>
  </si>
  <si>
    <t># MALT; "NDB#: 20131	Barley malt flour"</t>
  </si>
  <si>
    <t>FFQ item: artswt11d, NDB# 19868 , sucralose (splenda)</t>
  </si>
  <si>
    <t>eng.muff.ww</t>
  </si>
  <si>
    <t>WHOLE WHEAT ENGLISH MUFFIN</t>
  </si>
  <si>
    <t>18266</t>
  </si>
  <si>
    <t>cr.wheat</t>
  </si>
  <si>
    <t>cracked wheat; no additional information available</t>
  </si>
  <si>
    <t>cracked wheat</t>
  </si>
  <si>
    <t>corn whole grain</t>
  </si>
  <si>
    <t>WHITE BREAD (represents rolls)</t>
  </si>
  <si>
    <t>rapeseed (canola)</t>
  </si>
  <si>
    <t>**# MALTODEXTRIN?; NDB# 19351: Syrups, corn, high-fructose</t>
  </si>
  <si>
    <t>muff11d</t>
  </si>
  <si>
    <t>muffin</t>
  </si>
  <si>
    <t>REG &amp; LOWFAT BLUE,CHOCO CHIP MUFFIN 2011</t>
  </si>
  <si>
    <t>Weight Watchers Blueberry Muffin (1.5%); Dunkin Donuts Blueberry Muffin (12.75%); Entenmann's Little Bites Blueberry Muffins (8%); Entenmann's Little Bites Chocolate Chip Muffins (11%); Hostess Mini Blueberry Muffins (7%); Hostess Mini Chocolate Chip Muffins (9%); Stop and Shop Blueberry Muffins (12.75%); Stop and Shop Chocolate Chip Muffins (12.75%); Stop and Shop Low Fat Blueberry Muffins (1.5%); Betty Crocker Wild Blueberry Muffin Mix (8%); Dunkin Donuts Chocolate Chip Muffin (12.75%); Dunkin Donuts Reduced Fat Blueberry Muffin (1.5%); Weight Watchers Double Chocolate Muffins (1.5%)</t>
  </si>
  <si>
    <t>NHS estimate - Homecooked Biscuit profile /udd/nhaka/ENOI/recipes.foods.10_11</t>
  </si>
  <si>
    <t>#CHOCOLATE CHIPS; NDB# 19335: Sugars, granulated</t>
  </si>
  <si>
    <t>19077_24</t>
  </si>
  <si>
    <t># CHOCOLATE CHIPS;BAKING CHOCOLATE, UNSWEETENED, LIQUID : NDB#: 19077	Baking chocolate, unsweetened, liquid</t>
  </si>
  <si>
    <t>unsweetened chocolate chips</t>
  </si>
  <si>
    <t>coc.but</t>
  </si>
  <si>
    <t>#CHOCOLATE CHIPS &amp; INGREDIENT HOSTESS; NDB#: 04501        Oil, cocoa butter</t>
  </si>
  <si>
    <t>#CHOCOLATE CHIPS; soy lecithin; no additional information available</t>
  </si>
  <si>
    <t>Egg Beaters Original: 99% Egg Whites #CHOCOLATE CHIPS &amp; INGREDIENT HOSTESS (/proj/nhnuts/nhnut00/bin/output/marie.2011.csv); NDB#: 45130481        EGG BEATERS Orignal With Pour Spout, UNPREPARED, GTIN: 00070272002170</t>
  </si>
  <si>
    <t>#CHOCOLATE CHIPS;MILKFAT ; FFQ item : whole11d NDB # 01077 ; Milk, whole, 3.25% milkfat, with added vitamin D</t>
  </si>
  <si>
    <t>#CHOCOLATE CHIPS; DEXTROSE; NDB# 20020: Cornmeal</t>
  </si>
  <si>
    <t>corn.syrup.lt</t>
  </si>
  <si>
    <t>#CHOCOLATE CHIPS; NDB#: 19350        Syrups, corn, light</t>
  </si>
  <si>
    <t>corn syrup, light</t>
  </si>
  <si>
    <t>#MODIFIED CORN STARCH; MODIFIED FOOD STARCH; NDB# 20020: Cornmeal</t>
  </si>
  <si>
    <t>partially hydrogenated soybean cottonseed oil # NEXT 2 INGREDIENTS PARTIALLY HYDROGENATED VEG SHORTENING; Crisco All Vegetable Shortening (83%); Shaw's Vegetable Shortening (17%) /proj/nhnuts/nhnut00/bin/output/marie.2011.csv; 04502        Oil, cottonseed, salad or cooking</t>
  </si>
  <si>
    <t>18372_24</t>
  </si>
  <si>
    <t>#BAKING SODA; NDB 18372        Leavening agents, baking soda</t>
  </si>
  <si>
    <t>baking soda</t>
  </si>
  <si>
    <t>18369_24</t>
  </si>
  <si>
    <t>#BAKING POWDER, SODIUM AUMINUM PHOSPHATE; NDB#: 18369        Leavening agents, baking powder, double-acting, sodium aluminum sulfate</t>
  </si>
  <si>
    <t>baking powder</t>
  </si>
  <si>
    <t>#GUAR, XANTHAN GUM, CELLULOSE GUM; "NDB#: 42281        Gums, seed gums (includes locust bean, guar)"</t>
  </si>
  <si>
    <t>sweet whey (wet)</t>
  </si>
  <si>
    <t>#GELATINIZED WHEAT STARCH; NDB#: 20081 Wheat flour, white, all-purpose, enriched, bleached</t>
  </si>
  <si>
    <t>#GELATINIZED WHEAT STARCH; NDB# 20020: Cornmeal</t>
  </si>
  <si>
    <t>#DEXTROSE &amp; CORN STARCH  NDB#: 48052 Vital wheat gluten</t>
  </si>
  <si>
    <t>43216_24</t>
  </si>
  <si>
    <t>#SWEETENERS,TABLETOP,FRUCTOSE,DRY,POWDER (NDB)</t>
  </si>
  <si>
    <t>sweetener, dry fructose</t>
  </si>
  <si>
    <t>#NONFAT MILK SOLIDS; NDB# 01155: Milk, dry, nonfat, instant, without added vitamin A and vitamin D</t>
  </si>
  <si>
    <t>sour.cr</t>
  </si>
  <si>
    <t>#DRIED CULTURE CREAM; NDB#: 01056        Cream, sour, cultured</t>
  </si>
  <si>
    <t>sour</t>
  </si>
  <si>
    <t>A21</t>
  </si>
  <si>
    <t>#SOY FIBER; NDB# 16117: Soy flour, defatted</t>
  </si>
  <si>
    <t>biscuit</t>
  </si>
  <si>
    <t>FROZEN &amp; READY MADE BISCUITS, 2011</t>
  </si>
  <si>
    <t>KFC Biscuit (10%); Pillsbury Grand Buttermilk Biscuit (21%); Pillsbury Original Buttermilk Biscuits(59%); Stop and Shop Southern Style Biscuits (10%)</t>
  </si>
  <si>
    <t>partially hydrogenated soybean oil</t>
  </si>
  <si>
    <t>NDB#: 04513        Vegetable oil, palm kernel</t>
  </si>
  <si>
    <t>bu.milk</t>
  </si>
  <si>
    <t>#NO BUTTERMILK in PILLSBURY BiSCUITS BUTTERMILK LABEL which is 80% of profile; NDB#: 01088        Milk, buttermilk, fluid, cultured, lowfat</t>
  </si>
  <si>
    <t>A13</t>
  </si>
  <si>
    <t>#VITAL WHEAT GLUTEN  NDB#: 48052 Vital wheat gluten</t>
  </si>
  <si>
    <t>#WHEY; NDB# 01115: Whey, sweet, dried</t>
  </si>
  <si>
    <t>sweet dry whey</t>
  </si>
  <si>
    <t>#NONFAT MILK; FFQ item: skim11d , NDB# 1085, skim milk</t>
  </si>
  <si>
    <t>#XANTHUM GUM; NDB# 19335: Sugars, granulated</t>
  </si>
  <si>
    <t>#WHEY PROTEIN CONCENTRATE; NDB# 01115: Whey, sweet, dried</t>
  </si>
  <si>
    <t>#WHEY PROTEIN ISOLATE; "NDB#: 20080        Wheat flour, whole-grain"</t>
  </si>
  <si>
    <t>#HYDROGENATED SOYBEAN OIL; "NDB#: 04034	Oil, soybean, salad or cooking, (partially hydrogenated)"</t>
  </si>
  <si>
    <t>pcake11d</t>
  </si>
  <si>
    <t>pancak.all</t>
  </si>
  <si>
    <t>2 SMALL</t>
  </si>
  <si>
    <t>PANCAKES &amp; WAFFLES, 2011</t>
  </si>
  <si>
    <t>Aunt Jemima Buttermilk Complete Pancake Mix (9%); Aunt Jemima Whole Wheat Blend Pancake &amp; Waffle Mix (7%); Janssen &amp; Meyer De Wafelbakkers All Natural Whole Grain Pancakes (21%); Kellogg's Homestyle Eggo Waffles (38%); Kellogg's Whole Grain Eggo Waffles (13%); Krusteaz Buttermilk Complete Pancake Mix (12%)</t>
  </si>
  <si>
    <t xml:space="preserve">palm </t>
  </si>
  <si>
    <t xml:space="preserve">palm.kern </t>
  </si>
  <si>
    <t>NDB#: 01088	Milk, buttermilk, fluid, cultured, lowfat</t>
  </si>
  <si>
    <t>NDB#: 19334	Sugars, brown</t>
  </si>
  <si>
    <t>sweet whey, wet</t>
  </si>
  <si>
    <t>Egg Beaters Original: 99% Egg Whites# EGG WHITES (/proj/nhnuts/nhnut00/bin/output/marie.2011.csv); 45130481	EGG BEATERS Orignal With Pour Spout, UNPREPARED, GTIN: 00070272002170</t>
  </si>
  <si>
    <t># WHEAT STARCH AND DEXTROSE; NDB#: 20081 Wheat flour, white, all-purpose, enriched, bleached</t>
  </si>
  <si>
    <t>barley flour, malted</t>
  </si>
  <si>
    <t>brice11d</t>
  </si>
  <si>
    <t>COOKED LONG GRAIN BROWN RICE</t>
  </si>
  <si>
    <t>20037</t>
  </si>
  <si>
    <t>wrice11d</t>
  </si>
  <si>
    <t>wh.rice</t>
  </si>
  <si>
    <t>COOKED LONG GRAIN WHITE RICE</t>
  </si>
  <si>
    <t>20045</t>
  </si>
  <si>
    <t>FFQ item: wrice11d, NDB# 20045; COOKED LONG GRAIN WHITE RICE</t>
  </si>
  <si>
    <t>white rice</t>
  </si>
  <si>
    <t>pasta11d</t>
  </si>
  <si>
    <t>pasta</t>
  </si>
  <si>
    <t>COOKED SPAGHETTI</t>
  </si>
  <si>
    <t>20121</t>
  </si>
  <si>
    <t>FFQ item: pasta11d, NDB# 20121; COOKED SPAGHETTI</t>
  </si>
  <si>
    <t>1.76*wheat</t>
  </si>
  <si>
    <t>1.76*M73</t>
  </si>
  <si>
    <t>pasta.blend</t>
  </si>
  <si>
    <t>COOKED BLENDED PASTA</t>
  </si>
  <si>
    <t>Barilla Rotini Whole Grain All Natural (50%); Ronzoni Healthy Harvest Rotini Whole Wheat Blend (50%)</t>
  </si>
  <si>
    <t>pasta.ww</t>
  </si>
  <si>
    <t>COOKED WHOLE WHEAT SPAGHETTI</t>
  </si>
  <si>
    <t>20125</t>
  </si>
  <si>
    <t>FFQ item:pasta11d, NDB# 20125; COOKED WHOLE WHEAT SPAGHETTI</t>
  </si>
  <si>
    <t>whole wheat spaghetti</t>
  </si>
  <si>
    <t>tort11d</t>
  </si>
  <si>
    <t>tortillas</t>
  </si>
  <si>
    <t>TWO</t>
  </si>
  <si>
    <t>tortillas.fl</t>
  </si>
  <si>
    <t>FLOUR TORTILLAS</t>
  </si>
  <si>
    <t>18364</t>
  </si>
  <si>
    <t>Mission Flour Tortillas Homestyle (60%); Guerrero Tortillas de Harina Caseras (40%) /proj/nhnuts/nhnut00/bin/output/marie.2011.csv</t>
  </si>
  <si>
    <t>estimated from NHS #2011 RECIPE /udd/nhaka/ENOI/recipes.foods.10_11</t>
  </si>
  <si>
    <t>sb.int</t>
  </si>
  <si>
    <t>soybean oil interesterified , no additional information available</t>
  </si>
  <si>
    <t>soybean oil hydrogenated, no additional information available</t>
  </si>
  <si>
    <t>soybean oil, hydrogenated</t>
  </si>
  <si>
    <t>CORN TORTILLAS</t>
  </si>
  <si>
    <t>18363</t>
  </si>
  <si>
    <t>Mission White Corn Tortillas (60%); Guerrero Tortillas de Maiz Estillo Ranchero (40%) /proj/nhnuts/nhnut00/bin/output/marie.2011.csv</t>
  </si>
  <si>
    <t>NDB#: 19350	Syrups, corn, light</t>
  </si>
  <si>
    <t>fries11d</t>
  </si>
  <si>
    <t>ff.pot.fast</t>
  </si>
  <si>
    <t>FAST FOOD FRENCH FRIES, 2011</t>
  </si>
  <si>
    <t>Burger King Small French Fries (27%); McDonald's Small French Fries (48%); Wendy's Small French Fries (25%)</t>
  </si>
  <si>
    <t>FFQ item: pot11d, food contr name: pot , NDB# 11368; MICROW POTATO (SKIN&amp;FLESH) W/NO SALT ADDED; Potatoes, microwaved, cooked in skin, flesh, without salt</t>
  </si>
  <si>
    <t>microwaved potato</t>
  </si>
  <si>
    <t xml:space="preserve"> /udd/nhaka/ENOI/recipes.foods.10_11</t>
  </si>
  <si>
    <t>ff.pot</t>
  </si>
  <si>
    <t>PREPARED FROZEN FRENCH FRIES, 2011</t>
  </si>
  <si>
    <t>Oreida Extra Crispy Golden Crinkles</t>
  </si>
  <si>
    <t>"NDB#: 04502	Oil, cottonseed, salad or cooking"</t>
  </si>
  <si>
    <t>pot11d</t>
  </si>
  <si>
    <t>1 MEDIUM/1 CUP</t>
  </si>
  <si>
    <t>pot+skin</t>
  </si>
  <si>
    <t>BAKED, UNSALTED POTATO, FLESH &amp; SKIN</t>
  </si>
  <si>
    <t>11674</t>
  </si>
  <si>
    <t>FFQ item: pot11d, NDB# 11674; BAKED, UNSALTED POTATO, FLESH &amp; SKIN</t>
  </si>
  <si>
    <t>MICROW POTATO (SKIN&amp;FLESH) W/NO SALT ADDED</t>
  </si>
  <si>
    <t>11368</t>
  </si>
  <si>
    <t xml:space="preserve">mashed.pot            </t>
  </si>
  <si>
    <t>RTS, INSTANT &amp; HOME MASHED POTATO, 2011</t>
  </si>
  <si>
    <t>Betty Crocker Butter &amp; Herb Instant Potatoes (9%); Hungry Jack Instant Mashed Potatoes (6%); Stop &amp; Shop 100% Idaho Instant Potatoes (6%); Simply Potatoes Ready to Serve Mashed Potatoes (14%); HOME MADE MASHED POTATOES (65%)</t>
  </si>
  <si>
    <t xml:space="preserve">buttermilk </t>
  </si>
  <si>
    <t>FFQ item:marg11d, I CAN'T BELIEVE ITS NOT BUTTER SOFT (57</t>
  </si>
  <si>
    <t>FFQ item:marg11d, I CAN'T BELIEVE ITS NOT BUTTER SOFT (57; "NDB#: 04055	Oil, palm"</t>
  </si>
  <si>
    <t xml:space="preserve">soy lecithin </t>
  </si>
  <si>
    <t xml:space="preserve">corn.syrup </t>
  </si>
  <si>
    <t>02029_24</t>
  </si>
  <si>
    <t>NDB#: 02029        Spices, parsley, dried</t>
  </si>
  <si>
    <t>dried parsley</t>
  </si>
  <si>
    <t>derived from spinach: rspin; spin; Additional calculations for dried; NDB#: 02029        Spices, parsley, dried</t>
  </si>
  <si>
    <t>garl*3.864</t>
  </si>
  <si>
    <t>NDB#: 01056	Cream, sour, cultured</t>
  </si>
  <si>
    <t>pchip11d</t>
  </si>
  <si>
    <t>pot.chip</t>
  </si>
  <si>
    <t>1 OZ.</t>
  </si>
  <si>
    <t>NR (closest reference is "snack.chip")</t>
  </si>
  <si>
    <t>snack.chip = "COMBO POTATO CHIP/TORTILLA CHIP, REGULAR,REDUCED FAT,BAKED"</t>
  </si>
  <si>
    <t>Lays Classic (67%); Lays Barbecue (29%); Lays Cheddar &amp; Sour Cream (4%)</t>
  </si>
  <si>
    <t xml:space="preserve">swt.whey </t>
  </si>
  <si>
    <t>partially hydrogenated soybean cottonseed oil # NEXT 2 INGREDIENTS PARTIALLY HYDROGENATED VEG SHORTENING; Crisco All Vegetable Shortening (83%); Shaw's Vegetable Shortening (17%) /proj/nhnuts/nhnut00/bin/output/marie.2011.csv; """NDB#: 04502	Oil, cottonseed, salad or cooking"""</t>
  </si>
  <si>
    <t>pizza11d</t>
  </si>
  <si>
    <t>pizza.f.r</t>
  </si>
  <si>
    <t>MIX OF FROZEN &amp; RESTAURANT PIZZA 2011</t>
  </si>
  <si>
    <t>DiGiorno Four Cheese Pizza (20%); Red Baron Classic Crust 4 Cheese Pizza (8%); Stop and Shop Cheese Pizza (10%); Pizza Hut Large 14" Thin n Crispy Cheese Pizza (37%); Domino's 14" Thin Crust Cheese Pizza (25%)</t>
  </si>
  <si>
    <t>moz.ch.lf</t>
  </si>
  <si>
    <t>NDB#: 01029        Cheese, mozzarella, low moisture, part-skim</t>
  </si>
  <si>
    <t>FFQ item:tosau11d, NDB# 6931; READY TO SERVE MARINARA/SPAGHETTI SAUCE</t>
  </si>
  <si>
    <t>tomatoes (72.3%)</t>
  </si>
  <si>
    <t># SOYBEAN OIL AND/OR CORN OIL; NDB#: 04044 Oil, soybean, salad or cooking</t>
  </si>
  <si>
    <t># PALM OIL; "NDB#: 04055	Oil, palm"</t>
  </si>
  <si>
    <t># PARTIALLY HYDROGENATED SOYBEAN AND COTTONSEED OIL; "NDB#: 04034	Oil, soybean, salad or cooking, (partially hydrogenated)"</t>
  </si>
  <si>
    <t># PARTIALLY HYDROGENATED SOYBEAN AND COTTONSEED OIL; """NDB#: 04502	Oil, cottonseed, salad or cooking"""</t>
  </si>
  <si>
    <t>lccaf11d</t>
  </si>
  <si>
    <t>dietsoda.caf</t>
  </si>
  <si>
    <t>12 OZ</t>
  </si>
  <si>
    <t>LOW CAL BEV W CAFFEINE</t>
  </si>
  <si>
    <t>low calorie beverage with caffeine</t>
  </si>
  <si>
    <t>lcnoc11d</t>
  </si>
  <si>
    <t>dietsoda.nocaf</t>
  </si>
  <si>
    <t xml:space="preserve">LOW CAL BEV WITHOUT CAFF </t>
  </si>
  <si>
    <t>low calorie beverage without caffeine</t>
  </si>
  <si>
    <t>cola11d</t>
  </si>
  <si>
    <t>coke</t>
  </si>
  <si>
    <t xml:space="preserve">CAFFEINATED COLA </t>
  </si>
  <si>
    <t>14400</t>
  </si>
  <si>
    <t xml:space="preserve">FFQ item: cola 11d, NDB# 14400; CAFFEINATED COLA </t>
  </si>
  <si>
    <t>cola</t>
  </si>
  <si>
    <t>A190</t>
  </si>
  <si>
    <t>otsug11d</t>
  </si>
  <si>
    <t>soda.nocaf</t>
  </si>
  <si>
    <t>OTH CARBONATED BEV WITH SUGAR WITHOUT CAFF</t>
  </si>
  <si>
    <t>FFQ item: otsug11d; OTH CARBONATED BEV WITH SUGAR WITHOUT CAFF</t>
  </si>
  <si>
    <t>carbonated beverage with sugar, without caffeine</t>
  </si>
  <si>
    <t>otsug</t>
  </si>
  <si>
    <t>A192</t>
  </si>
  <si>
    <t>punch11d</t>
  </si>
  <si>
    <t>punch</t>
  </si>
  <si>
    <t>lemonade.drk</t>
  </si>
  <si>
    <t>FRZ WHITE LEMONDE FROM CONC, WATER ADDED</t>
  </si>
  <si>
    <t>14293</t>
  </si>
  <si>
    <t>lem.j.con</t>
  </si>
  <si>
    <t>NDB#: 09153	Lemon juice from concentrate, canned or bottled</t>
  </si>
  <si>
    <t>3.524144869*oj</t>
  </si>
  <si>
    <t>Additional Calculations sheet: orange juice, chilled, from concentrate</t>
  </si>
  <si>
    <t xml:space="preserve">citrus.drk </t>
  </si>
  <si>
    <t>CITRUS FRUIT JUICE FROM FROZEN CONC, WATER ADDED</t>
  </si>
  <si>
    <t>14263</t>
  </si>
  <si>
    <t>grfrt.j</t>
  </si>
  <si>
    <t>NDB#: 09123        Grapefruit juice, white, canned or bottled, unsweetened</t>
  </si>
  <si>
    <t>grj</t>
  </si>
  <si>
    <t>A56</t>
  </si>
  <si>
    <t xml:space="preserve">sug.ice.tea </t>
  </si>
  <si>
    <t xml:space="preserve">INSTANT LEMON FLAV, SUGAR SWEETENED, POWD TEA </t>
  </si>
  <si>
    <t>14370</t>
  </si>
  <si>
    <t>FFQ item: tea11d, NDB# 14355; BREWED TEA? (described as tea, sugar, flavor - assumption to divide these by 3)</t>
  </si>
  <si>
    <t>A186</t>
  </si>
  <si>
    <t>flavor</t>
  </si>
  <si>
    <t>TAP WATER (for instant tea)</t>
  </si>
  <si>
    <t>beer11d</t>
  </si>
  <si>
    <t>REGULAR BEER</t>
  </si>
  <si>
    <t>14003</t>
  </si>
  <si>
    <t>FFQ item:beer11d, NDB# 14003; REGULAR BEER</t>
  </si>
  <si>
    <t>A187</t>
  </si>
  <si>
    <t>lbeer11d</t>
  </si>
  <si>
    <t>beer.lite</t>
  </si>
  <si>
    <t>14006</t>
  </si>
  <si>
    <t>FFQ item: lbeer11d, NDB# 14006; LIGHT BEER</t>
  </si>
  <si>
    <t>lbeer</t>
  </si>
  <si>
    <t>A256</t>
  </si>
  <si>
    <t>rwine11d</t>
  </si>
  <si>
    <t>r.wine</t>
  </si>
  <si>
    <t>14096</t>
  </si>
  <si>
    <t>FFQ item: rwine11d, NDB# 14096; RED WINE</t>
  </si>
  <si>
    <t>rwine</t>
  </si>
  <si>
    <t>A229</t>
  </si>
  <si>
    <t>wwine11d</t>
  </si>
  <si>
    <t>w.wine</t>
  </si>
  <si>
    <t>14106</t>
  </si>
  <si>
    <t>FFQ item: wwine11d, NDB# 14106; WHITE WINE</t>
  </si>
  <si>
    <t>wwine</t>
  </si>
  <si>
    <t>A242</t>
  </si>
  <si>
    <t>liq11d</t>
  </si>
  <si>
    <t>liq</t>
  </si>
  <si>
    <t>JIGGER</t>
  </si>
  <si>
    <t>ALCOHOLIC 80 PROOF BEVERAGE (GIN,RUM,VODKA,WHISKEY)</t>
  </si>
  <si>
    <t>14037</t>
  </si>
  <si>
    <t>FFQ item: liq11d, NDB# 14037; ALCOHOLIC 80 PROOF BEVERAGE (GIN,RUM,VODKA,WHISKEY)</t>
  </si>
  <si>
    <t>A189</t>
  </si>
  <si>
    <t>h2o11d</t>
  </si>
  <si>
    <t>TAP WATER</t>
  </si>
  <si>
    <t>Beverages, water, tap, municipal</t>
  </si>
  <si>
    <t>dtea11d</t>
  </si>
  <si>
    <t>tea.decaf</t>
  </si>
  <si>
    <t>*assumption made based on tea11d</t>
  </si>
  <si>
    <t>decaffeinated tea</t>
  </si>
  <si>
    <t>dtea</t>
  </si>
  <si>
    <t>A266</t>
  </si>
  <si>
    <t>tea11d</t>
  </si>
  <si>
    <t>BREWED TEA</t>
  </si>
  <si>
    <t>14355</t>
  </si>
  <si>
    <t>FFQ item: tea11d, NDB# 14355; BREWED TEA</t>
  </si>
  <si>
    <t>brewed tea</t>
  </si>
  <si>
    <t>decaf11d</t>
  </si>
  <si>
    <t>decaf</t>
  </si>
  <si>
    <t>PREPARED INSTANT DECAF COFFEE</t>
  </si>
  <si>
    <t>14219</t>
  </si>
  <si>
    <t>FFQ item: decaf11d, NDB# 14219; PREPARED INSTANT DECAF COFFEE</t>
  </si>
  <si>
    <t>dcaf</t>
  </si>
  <si>
    <t>A228</t>
  </si>
  <si>
    <t>coff11d</t>
  </si>
  <si>
    <t>coff</t>
  </si>
  <si>
    <t>BREWED COFFEE</t>
  </si>
  <si>
    <t>14209</t>
  </si>
  <si>
    <t>FFQ item: coff1d, NDB# 14209; BREWED COFFEE</t>
  </si>
  <si>
    <t>cof</t>
  </si>
  <si>
    <t>A185</t>
  </si>
  <si>
    <t>dcofdk11d</t>
  </si>
  <si>
    <t>coff.drink</t>
  </si>
  <si>
    <t>16 OZ</t>
  </si>
  <si>
    <t>coff.capp</t>
  </si>
  <si>
    <t>50% LATTE/50% CAPPUCCINO FROM STARBUCKS</t>
  </si>
  <si>
    <t>Starbucks Cappuccino (50%); Starbucks Latte (50%)</t>
  </si>
  <si>
    <t>NDB#: 14210	Beverages, coffee, brewed, espresso, restaurant-prepared</t>
  </si>
  <si>
    <t># RF IS MILK, HEATED, APPROX 10 MINS NDB# 01079: Milk, reduced fat, fluid, 2% milkfat, with added vitamin A and vitamin D</t>
  </si>
  <si>
    <t>m2</t>
  </si>
  <si>
    <t>A34</t>
  </si>
  <si>
    <t>coff.mocha</t>
  </si>
  <si>
    <t>STARBUCKS MOCHA COFFEE DRINK</t>
  </si>
  <si>
    <t>Starbucks Caffe Mocha (100%)</t>
  </si>
  <si>
    <t># RF IS MILK, HEATED, APPROX 10 MINS; NDB# 01079: Milk, reduced fat, fluid, 2% milkfat, with added vitamin A and vitamin D</t>
  </si>
  <si>
    <t># SUG AND COCOA REPRESENT BITTERSWEET MOCHA SAUCE; NDB# 19335: Sugars, granulated</t>
  </si>
  <si>
    <t># SUG AND COCOA REPRESENT BITTERSWEET MOCHA SAUCE; NDB# 19165: Cocoa, dry powder, unsweetened</t>
  </si>
  <si>
    <t>whip.cr</t>
  </si>
  <si>
    <t>NDB#: 01054        Cream, whipped, cream topping, pressurized</t>
  </si>
  <si>
    <t>0.88*cream</t>
  </si>
  <si>
    <t>mchoc11d</t>
  </si>
  <si>
    <t>BAR</t>
  </si>
  <si>
    <t>MILK CHOCOLATE CANDIES</t>
  </si>
  <si>
    <t>19120</t>
  </si>
  <si>
    <t>FFQ item:mchoc11d, NDB# 19120; MILK CHOCOLATE CANDIES</t>
  </si>
  <si>
    <t>milk chocolate candies</t>
  </si>
  <si>
    <t>mchoc</t>
  </si>
  <si>
    <t>A278</t>
  </si>
  <si>
    <t>dchoc11d</t>
  </si>
  <si>
    <t>choc.dark</t>
  </si>
  <si>
    <t xml:space="preserve">DARK CHOCOLATE BAR </t>
  </si>
  <si>
    <t>19164</t>
  </si>
  <si>
    <t xml:space="preserve">FFQ item: dchoc11d, NDB# 19164; DARK CHOCOLATE BAR </t>
  </si>
  <si>
    <t>dchoc</t>
  </si>
  <si>
    <t>A279</t>
  </si>
  <si>
    <t>cdyw11d</t>
  </si>
  <si>
    <t>candy.&amp;.nuts</t>
  </si>
  <si>
    <t xml:space="preserve">SNICKERS BAR </t>
  </si>
  <si>
    <t>19155</t>
  </si>
  <si>
    <t>nuts</t>
  </si>
  <si>
    <t>FFQ item: pnut11d, NDB#16089; OIL ROASTED, SALTED PEANUTS</t>
  </si>
  <si>
    <t>oil roasted, salted peanuts</t>
  </si>
  <si>
    <t>pnut</t>
  </si>
  <si>
    <t>A235</t>
  </si>
  <si>
    <t>cdywo11d</t>
  </si>
  <si>
    <t>candy</t>
  </si>
  <si>
    <t>1 OZ</t>
  </si>
  <si>
    <t>HARD CANDIES</t>
  </si>
  <si>
    <t>19107</t>
  </si>
  <si>
    <t>coknf11d</t>
  </si>
  <si>
    <t>coox.brn.rf</t>
  </si>
  <si>
    <t>coox.lf</t>
  </si>
  <si>
    <t>LOW-FAT COOKIE, 2011</t>
  </si>
  <si>
    <t>Nabisco Chips Ahoy Reduced Fat Choc Chip Cookies (45%); Keebler Chips Deluxe Cookies (21%); Nabisco Snackwell's Creme Sandwich Cookies (34%)</t>
  </si>
  <si>
    <t>#SEMISWEET CHOCOLATE CHIPS; FFQ item:mchoc11d, NDB# 19120; MILK CHOCOLATE CANDIES</t>
  </si>
  <si>
    <t>#SEMISWEET CHOCOLATE CHIPS; soy lecithin; no additional information available</t>
  </si>
  <si>
    <t>#SEMISWEET CHOCOLATE CHIPS; NDB#: 04501 Oil, cocoa butter</t>
  </si>
  <si>
    <t>#PARTIALLY HYDROGENATED COTTONSEED OIL "NDB#: 04034	Oil, soybean, salad or cooking, (partially hydrogenated)"</t>
  </si>
  <si>
    <t>#PARTIALLY HYDROGENATED COTTONSEED OIL; """NDB#: 04502	Oil, cottonseed, salad or cooking"""</t>
  </si>
  <si>
    <t>#LEAVENING; NDB# 01115: Whey, sweet, dried</t>
  </si>
  <si>
    <t>brownie.home</t>
  </si>
  <si>
    <t>HOME-MADE BROWNIE, 2011</t>
  </si>
  <si>
    <t>Betty Crocker Original Supreme Brownie Mix (50%); Duncan Hines Chewy Fudge Brownie Mix (29%); Pillsbury Chocolate Fudge Brownie Mix (21%)</t>
  </si>
  <si>
    <t># NEXT 4 INGREDIENTS = CHOCOLATE SYRUP/COCOA; NDB# 19351: Syrups, corn, high-fructose</t>
  </si>
  <si>
    <t># NEXT 4 INGREDIENTS = CHOCOLATE SYRUP/COCOA;NDB# 19335: Sugars, granulated</t>
  </si>
  <si>
    <t># NEXT 4 INGREDIENTS = CHOCOLATE SYRUP/COCOA; NDB# 19165: Cocoa, dry powder, unsweetened</t>
  </si>
  <si>
    <t># NEXT 4 INGREDIENTS = CHOCOLATE SYRUP/COCOA; FFQ item: h2o11d, NDB# 14429: Beverages, water, tap, municipal</t>
  </si>
  <si>
    <t># WHEAT STARCH; NDB#: 20081 Wheat flour, white, all-purpose, enriched, bleached</t>
  </si>
  <si>
    <t># CORN STARCH AND SUGAR = POWDERED SUGAR; NDB# 20020: Cornmeal</t>
  </si>
  <si>
    <t># CORN STARCH AND SUGAR = POWDERED SUGAR; NDB# 19335: Sugars, granulated</t>
  </si>
  <si>
    <t>Crisco All Vegetable Shortening (83%); Shaw's Vegetable Shortening (17%) /proj/nhnuts/nhnut00/bin/output/marie.2011.csv; NDB#: 04044 Oil, soybean, salad or cooking</t>
  </si>
  <si>
    <t>Crisco All Vegetable Shortening (83%); Shaw's Vegetable Shortening (17%) /proj/nhnuts/nhnut00/bin/output/marie.2011.csv; "NDB#: 04034	Oil, soybean, salad or cooking, (partially hydrogenated)"</t>
  </si>
  <si>
    <t>Crisco All Vegetable Shortening (83%); Shaw's Vegetable Shortening (17%) /proj/nhnuts/nhnut00/bin/output/marie.2011.csv; "NDB#: 04055	Oil, palm"</t>
  </si>
  <si>
    <t>Crisco All Vegetable Shortening (83%); Shaw's Vegetable Shortening (17%) /proj/nhnuts/nhnut00/bin/output/marie.2011.csv; """NDB#: 04502	Oil, cottonseed, salad or cooking"""</t>
  </si>
  <si>
    <t>cokr11d</t>
  </si>
  <si>
    <t>coox.brn</t>
  </si>
  <si>
    <t>coox.rte</t>
  </si>
  <si>
    <t>READY-TO-EAT COOKIE, 2011</t>
  </si>
  <si>
    <t>Chips Ahoy Original Chocolate Chip Cookies (31%); Nabisco Oreo Original Cookie (43%); Stop and Shop Chocolate Chip Cookie Bucket (13%); Stop and Shop Oatmeal Raisin Cookie Bucket (12%)</t>
  </si>
  <si>
    <t>NHS #2011 PROFILE/RECIPE /udd/nhaka/ENOI/recipes.foods.10_11</t>
  </si>
  <si>
    <t>#MORSELS; NDB# 19335: Sugars, granulated</t>
  </si>
  <si>
    <t>#MORSELS; FFQ item:mchoc11d, NDB# 19120; MILK CHOCOLATE CANDIES</t>
  </si>
  <si>
    <t>#MORSELS; NDB#: 04501 Oil, cocoa butter</t>
  </si>
  <si>
    <t>#MORSELS; soy lecithin; no additional information available</t>
  </si>
  <si>
    <t>19078_24</t>
  </si>
  <si>
    <t>#BAKING CHOCOLATE, UNSWEETENED,SQUARES FOR CHOCOLATE LI; NDB#: 19078	Baking chocolate, unsweetened, squares</t>
  </si>
  <si>
    <t>#MARGARINE + AND/OR PALM OIL; "NDB#: 04055	Oil, palm"</t>
  </si>
  <si>
    <t>#MARGARINE; soy lecithin</t>
  </si>
  <si>
    <t>#MARGARINE; "NDB#: 01114        Whey, sweet, fluid"</t>
  </si>
  <si>
    <t>raisin</t>
  </si>
  <si>
    <t>#BAKING SODA # AND/OR BAKING POWDER, SODIUM AUMINUM PHOSPHATE; 18372	Leavening agents, baking soda</t>
  </si>
  <si>
    <t>cc.dough</t>
  </si>
  <si>
    <t>CHOCOLATE CHIP COOKIE DOUGH</t>
  </si>
  <si>
    <t>Nestle Toll House Chocolate Chip Cookie Dough (50%); Pillsbury Chocolate Chip Flavored Cookies (50%)</t>
  </si>
  <si>
    <t>#MORSELS; NDB# 19165: Cocoa, dry powder, unsweetened</t>
  </si>
  <si>
    <t>#DEXTROSE+SUGAR, MORSELS; NDB# 19335: Sugars, granulated</t>
  </si>
  <si>
    <t>#MARGARINE; "NDB#: 04513        Vegetable oil, palm kernel"</t>
  </si>
  <si>
    <t>additional calculations</t>
  </si>
  <si>
    <t>#MARGARINE; "NDB#: 04055	Oil, palm"</t>
  </si>
  <si>
    <t>#BAKING SODA NDB 18372	Leavening agents, baking soda</t>
  </si>
  <si>
    <t>#BAKING POWDER, SODIUM AUMINUM PHOSPHATE; 18369        Leavening agents, baking powder, double-acting, sodium aluminum sulfate</t>
  </si>
  <si>
    <t>brownie.rte</t>
  </si>
  <si>
    <t>READY-TO-EAT BROWNIE, 2011</t>
  </si>
  <si>
    <t>Little Debbie Cosmic Brownies w/ Chocolate Chip Candy (49%); Little Debbie Fudge Brownies with English Walnuts (29%); Little Bites: Fudge Brownies (22%)</t>
  </si>
  <si>
    <t>partially hydrogenated soybean cottonseed oil # NEXT 2 INGREDIENTS PARTIALLY HYDROGENATED VEG SHORTENING; Crisco All Vegetable Shortening (83%); Shaw's Vegetable Shortening (17%) /proj/nhnuts/nhnut00/bin/output/marie.2011.csv; "NDB#: 04034        Oil, soybean, salad or cooking, (partially hydrogenated)"</t>
  </si>
  <si>
    <t>#DEXTROSE SUBSTITUTED WITH CORN.SYRUP; NDB# 19351: Syrups, corn, high-fructose</t>
  </si>
  <si>
    <t>baking chocolate, unsweetened</t>
  </si>
  <si>
    <t>#CANDY TOPPERS; 04501	Oil, cocoa butter</t>
  </si>
  <si>
    <t>#CANDY TOPPERS; soy lecithin; no additional information available</t>
  </si>
  <si>
    <t>#CANDY TOPPERS; NDB# 19335: Sugars, granulated</t>
  </si>
  <si>
    <t>#CANDY TOPPERS; NDB# 20020: Cornmeal</t>
  </si>
  <si>
    <t xml:space="preserve">milk </t>
  </si>
  <si>
    <t>#CANDY TOPPERS; FFQ item : whole11d NDB # 01077 ; Milk, whole, 3.25% milkfat, with added vitamin D</t>
  </si>
  <si>
    <t>#CANDY TOPPERS; "NDB#: 04055	Oil, palm"</t>
  </si>
  <si>
    <t>#SUG FOR FRUCTOSE; NDB# 19335: Sugars, granulated</t>
  </si>
  <si>
    <t>Egg Beaters Original: 99% Egg Whites /proj/nhnuts/nhnut00/bin/output/marie.2011.csv; 45130481        EGG BEATERS Orignal With Pour Spout, UNPREPARED, GTIN: 00070272002170</t>
  </si>
  <si>
    <t>#BAKING SODA ndb18372	Leavening agents, baking soda</t>
  </si>
  <si>
    <t>#BAKING POWDER, SODIUM ALUMINUM PHOSPHATE; 18369	Leavening agents, baking powder, double-acting, sodium aluminum sulfate</t>
  </si>
  <si>
    <t>FFQ item: onut11d, NDB# 12065; OIL ROASTED, UNSALTED ALMONDS</t>
  </si>
  <si>
    <t>#XANTHAN GUM; NDB# 19335: Sugars, granulated</t>
  </si>
  <si>
    <t>cokh11d</t>
  </si>
  <si>
    <t>coox.brn.home</t>
  </si>
  <si>
    <t>crude /udd/nhaka/ENOI/recipes.foods.10_11</t>
  </si>
  <si>
    <t>coox.home.cc</t>
  </si>
  <si>
    <t>HOME PREPARED CHOCOLATE CHIP COOKIES</t>
  </si>
  <si>
    <t>donut11d</t>
  </si>
  <si>
    <t>donut</t>
  </si>
  <si>
    <t>CAKE&amp;YEAST,CHOC&amp;PLAIN,FROSTED,GLAZE,PWDR DONUT</t>
  </si>
  <si>
    <t>Shaw's Glazed Donuts (25%); Dunkin Donuts Chocolate Frosted Donut (6%); Dunkin Donuts Chocolate Glazed Cake Donut (6%); Dunkin Donuts French Cruller (6%); Dunkin Donuts Old Fashioned Cake Donut (6%); Hostess Donettes Frosted Mini Donuts (13%); Entenmann's Classic &amp; Rich Frosted Donuts (16%); Entenmann's Classic &amp; Frosted Devil's Food Donuts (6%); Hostess Donettes Powdered Mini Donuts (16%)</t>
  </si>
  <si>
    <t>**#DEXTROSE? ; NDB# 19351: Syrups, corn, high-fructose</t>
  </si>
  <si>
    <t>short.palm</t>
  </si>
  <si>
    <t>#PH PALM OIL AND PALM SHORTENING; "NDB#: 04055	Oil, palm"</t>
  </si>
  <si>
    <t>#BAKING POWDER, SODIUM AUMINUM PHOSPHATE, LEAVENING; 18369	Leavening agents, baking powder, double-acting, sodium aluminum sulfate</t>
  </si>
  <si>
    <t>#BAKING SODA, LEAVENING 18372	Leavening agents, baking soda</t>
  </si>
  <si>
    <t>#REPRESENTS WHEAT STARCH, GELATINIZED WHEAT STARCH, MODIFIED WHEAT STARCH; NDB# 20020: Cornmeal</t>
  </si>
  <si>
    <t>#REPRESENTS WHEAT STARCH, GELATINIZED WHEAT STARCH, MODIFIED WHEAT STARCH; NDB#: 20081 Wheat flour, white, all-purpose, enriched, bleached</t>
  </si>
  <si>
    <t>#REPRESENTS TAPIOCA DEXTRIN,CORN DEXTRIN; NDB# 20020: Cornmeal</t>
  </si>
  <si>
    <t>#CORN.SYRUP AND DEXTROSE; NDB# 19351: Syrups, corn, high-fructose</t>
  </si>
  <si>
    <t>#MALTODEXTRIN, ICING INGREDIENT;"NDB#: 19350	Syrups, corn, light"</t>
  </si>
  <si>
    <t>#ICING INGREDIENT; FFQ item: wgerm11d, NDB# 8084, TOASTED, PLAIN WHEAT GERM</t>
  </si>
  <si>
    <t>#ICING INGREDIENT; Crisco All Vegetable Shortening (83%); Shaw's Vegetable Shortening (17%) /proj/nhnuts/nhnut00/bin/output/marie.2011.csv; NDB#: 04570	Shortening, confectionery, fractionated palm</t>
  </si>
  <si>
    <t>palm shortening</t>
  </si>
  <si>
    <t>cake11d</t>
  </si>
  <si>
    <t>cake.frost</t>
  </si>
  <si>
    <t>2011 CAKE PROFILE: MIX AND COMMERCIAL CAKE</t>
  </si>
  <si>
    <t>Duncan Hines Classic Yellow Premium Cake Mix (12%); Entenmann's All Butter Loaf Cake (10%); Entenmann's Chocolate Fudge Cake (10%); Pillsbury Moist Supreme Devil's Food Cake Mix (7%); Stop and Shop Mini Chocolate Cupcakes (10%); Stop and Shop Mini Gold Cupcakes (10%); Shaws Mini 4 Inch Decorated Gold Cake (10%); Betty Crocker Super Moist Yellow Cake Mix (15%)</t>
  </si>
  <si>
    <t>frost (sugar 48.6%, soybean oil 16.3%, water 14.3%, corn syrup 10%, corn starch 9.6%, cocoa 0.6%, salt 0.6%)</t>
  </si>
  <si>
    <t>Betty Crocker Rich &amp; Creamy Milk Chocolate Frosting (41%); Duncan Hines Creamy Homestyle Classic Chocolate Frost (25%); Pillsbury Creamy Supreme Vanilla Frosting (34%); NDB# 19335: Sugars, granulated</t>
  </si>
  <si>
    <t>Betty Crocker Rich &amp; Creamy Milk Chocolate Frosting (41%); Duncan Hines Creamy Homestyle Classic Chocolate Frost (25%); Pillsbury Creamy Supreme Vanilla Frosting (34%)NDB#: 04044 Oil, soybean, salad or cooking</t>
  </si>
  <si>
    <t>Betty Crocker Rich &amp; Creamy Milk Chocolate Frosting (41%); Duncan Hines Creamy Homestyle Classic Chocolate Frost (25%); Pillsbury Creamy Supreme Vanilla Frosting (34%) FFQ item: h2o11d, NDB# 14429: Beverages, water, tap, municipal</t>
  </si>
  <si>
    <t>Betty Crocker Rich &amp; Creamy Milk Chocolate Frosting (41%); Duncan Hines Creamy Homestyle Classic Chocolate Frost (25%); Pillsbury Creamy Supreme Vanilla Frosting (34%); NDB# 19351: Syrups, corn, high-fructose</t>
  </si>
  <si>
    <t>Betty Crocker Rich &amp; Creamy Milk Chocolate Frosting (41%); Duncan Hines Creamy Homestyle Classic Chocolate Frost (25%); Pillsbury Creamy Supreme Vanilla Frosting (34%); NDB# 20020: Cornmeal</t>
  </si>
  <si>
    <t>Betty Crocker Rich &amp; Creamy Milk Chocolate Frosting (41%); Duncan Hines Creamy Homestyle Classic Chocolate Frost (25%); Pillsbury Creamy Supreme Vanilla Frosting (34%); NDB# 19165: Cocoa, dry powder, unsweetened</t>
  </si>
  <si>
    <t>Betty Crocker Rich &amp; Creamy Milk Chocolate Frosting (41%); Duncan Hines Creamy Homestyle Classic Chocolate Frost (25%); Pillsbury Creamy Supreme Vanilla Frosting (34%); NDB# 02047 table salt</t>
  </si>
  <si>
    <t>partially hydrogenated soybean cottonseed oil # NEXT 2 INGREDIENTS PARTIALLY HYDROGENATED VEG SHORTENING; Crisco All Vegetable Shortening (83%); Shaw's Vegetable Shortening (17%) /proj/nhnuts/nhnut00/bin/output/marie.2011.csv "NDB#: 04034        Oil, soybean, salad or cooking, (partially hydrogenated)"</t>
  </si>
  <si>
    <t xml:space="preserve">#LABEL INGREDIENT AND LABEL MARGARINE INGREDIENT; FFQ item: but11d, NDB# 01001 ; butter, salted </t>
  </si>
  <si>
    <t>#LABEL VEGETABLE SHORTENING,INGREDIENT; "NDB#: 04034        Oil, soybean, salad or cooking, (partially hydrogenated)"</t>
  </si>
  <si>
    <t>#LABEL INGREDIENT AND LABEL MARGARINE INGREDIENT; soybean oil; NDB#: 04044 Oil, soybean, salad or cooking</t>
  </si>
  <si>
    <t>#LABEL VEGETABLE SHORTENING,INGREDIENT; soybean oil interesterified , no additional information available</t>
  </si>
  <si>
    <t>soybean oil, Interesterified</t>
  </si>
  <si>
    <t>#LABEL VEGETABLE SHORTENING,INGREDIENT; "NDB#: 04055	Oil, palm"</t>
  </si>
  <si>
    <t>#LABEL VEGETABLE SHORTENING,INGREDIENT; "NDB#: 04513	Vegetable oil, palm kernel"</t>
  </si>
  <si>
    <t>#CORN STARCH, CORN STARCH MODIFIED;  NDB# 20020: Cornmeal</t>
  </si>
  <si>
    <t>corn syrup light</t>
  </si>
  <si>
    <t>#BAKING SODA; 18372	Leavening agents, baking soda</t>
  </si>
  <si>
    <t>#BAKING POWDER, SODIUM AUMINUM PHOSPHATE; 18369	Leavening agents, baking powder, double-acting, sodium aluminum sulfate</t>
  </si>
  <si>
    <t>#WHEAT STARCH,DEXTROSE, USE CORN ST; NDB# 20020: Cornmeal</t>
  </si>
  <si>
    <t>#XANTHAN GUM; "NDB#: 42281        Gums, seed gums (includes locust bean, guar)"</t>
  </si>
  <si>
    <t>#MODIFIED FOOD STARCH, MALTODEXTRIN USE FLOUR.AP; NDB#: 20081 Wheat flour, white, all-purpose, enriched, bleached</t>
  </si>
  <si>
    <t>VEGETABLE OIL,CANOLA</t>
  </si>
  <si>
    <t>piehr11d</t>
  </si>
  <si>
    <t>pie.comm</t>
  </si>
  <si>
    <t xml:space="preserve">COMMERCIAL APPLE PIE </t>
  </si>
  <si>
    <t>Mrs. Smith's Classic Apple Pie (4.9%); Marie Callender's Dutch Apple Pie (1.9%); Sara Lee Dutch Apple (1.9%); Shaw's Apple Pie 10 Inch Seasonal (45%); Stop and Shop 8 Inch Apple Pie (45%)</t>
  </si>
  <si>
    <t>apple.peeled</t>
  </si>
  <si>
    <t>NDB#: 45219062	PEELED APPLES, UPC: 074904201801</t>
  </si>
  <si>
    <t>short (soy.90 72%, sb.ph 10.5%, palm oil, ph 9%, cs.ph 8.5%)</t>
  </si>
  <si>
    <t>soybean oil shortening:  Crisco All Vegetable Shortening (83%); Shaw's Vegetable Shortening (17%) /proj/nhnuts/nhnut00/bin/output/marie.2011.csv; NDB#: 04044 Oil, soybean, salad or cooking</t>
  </si>
  <si>
    <t>soybean oil shortening:  Crisco All Vegetable Shortening (83%); Shaw's Vegetable Shortening (17%) /proj/nhnuts/nhnut00/bin/output/marie.2011.csv; """NDB#: 04502	Oil, cottonseed, salad or cooking"""</t>
  </si>
  <si>
    <t>#MODIFIED FOOD STARCH ,USED CORN STARCH; NDB# 20020: Cornmeal</t>
  </si>
  <si>
    <t>#DEXTROSE,USING CORN SYRUP; NDB# 19351: Syrups, corn, high-fructose</t>
  </si>
  <si>
    <t>#CORN STARCH MODIFIED, USING CORN STARCH; NDB# 20020: Cornmeal</t>
  </si>
  <si>
    <t>jam11d</t>
  </si>
  <si>
    <t>1 TBSP</t>
  </si>
  <si>
    <t>most comprehensive, recipes.foods.10_11</t>
  </si>
  <si>
    <t>panc.syrup</t>
  </si>
  <si>
    <t>PANCAKE SYRUP</t>
  </si>
  <si>
    <t>19129</t>
  </si>
  <si>
    <t>Aunt Jemima Original 100% /proj/nhnuts/nhnut00/bin/output/marie.2011.csv</t>
  </si>
  <si>
    <t>pbut11d</t>
  </si>
  <si>
    <t>p.bu</t>
  </si>
  <si>
    <t>SALTED, SMOOTH PEANUT BUTTER</t>
  </si>
  <si>
    <t>16098</t>
  </si>
  <si>
    <t>A184</t>
  </si>
  <si>
    <t>rapeseed.lh</t>
  </si>
  <si>
    <t>p.bu.lt</t>
  </si>
  <si>
    <t>REDUCED FAT SMOOTH PEANUT BUTTER</t>
  </si>
  <si>
    <t>16150</t>
  </si>
  <si>
    <t># CORN STARCH AND CORN.SYRUP.LT USED TO REPRESENT CORN SYRUP SOLIDS; NDB# 20020: Cornmeal</t>
  </si>
  <si>
    <t># CORN STARCH AND CORN.SYRUP.LT USED TO REPRESENT CORN SYRUP SOLIDS; NDB# 19351: Syrups, corn, high-fructose</t>
  </si>
  <si>
    <t>soybean isolate</t>
  </si>
  <si>
    <t>ffpop11d</t>
  </si>
  <si>
    <t>popc.ff</t>
  </si>
  <si>
    <t>3 CUPS</t>
  </si>
  <si>
    <t xml:space="preserve">popc.lt </t>
  </si>
  <si>
    <t>LIGHT MICROWAVED POPCORN</t>
  </si>
  <si>
    <t>Orville Redenbacher's Microwave Popcorn Natural Simply Salted - Light (42%); Popsecret - Microwave 94% Fat Free - Butter (26%); Shop Rite Microwave Popcorn Light Original (32%)</t>
  </si>
  <si>
    <t>FFQ item: ffpop11d, NDB# 19034; AIR POPPED POPCORN</t>
  </si>
  <si>
    <t>popc</t>
  </si>
  <si>
    <t>A209</t>
  </si>
  <si>
    <t>palm.stearin</t>
  </si>
  <si>
    <t># FRACTIONATED PALM OIL; "NDB#: 04055        Oil, palm"</t>
  </si>
  <si>
    <t># NONFAT MILK POWDER; NDB# 01155: Milk, dry, nonfat, instant, without added vitamin A and vitamin D</t>
  </si>
  <si>
    <t>AIR POPPED POPCORN</t>
  </si>
  <si>
    <t>19034</t>
  </si>
  <si>
    <t>ingredient - recipes.foods.10_11</t>
  </si>
  <si>
    <t>FFQ item: ffpop11d, NDB# 19034; AIR POPPED POPCORN; ingredient</t>
  </si>
  <si>
    <t>popc11d</t>
  </si>
  <si>
    <t>popc.micr</t>
  </si>
  <si>
    <t>MICRO POPC (BUTTER FLAV W/PART HYDROG OIL+PALM OIL)</t>
  </si>
  <si>
    <t>Conagra Foods Orvile Redenbacher's Movie Theater Butter Popcorn (66%); Diamond Foods, Inc. Pop-Seret Butter (34%)</t>
  </si>
  <si>
    <t>additional calcuations</t>
  </si>
  <si>
    <t>FFQ item: but11d, NDB# 01001 ; butter, salted</t>
  </si>
  <si>
    <t>#NONFAT MILK; NDB# 01155: Milk, dry, nonfat, instant, without added vitamin A and vitamin D</t>
  </si>
  <si>
    <t>REGULAR, OIL POPPED MICROWAVED POPCORN</t>
  </si>
  <si>
    <t>Newman's Own Natural Microwave Popcorn (28%); Pop-Secret Butter Flavor Microwave Popcorn (72%)</t>
  </si>
  <si>
    <t>most comprehensive "#2011 UPDATE" /udd/nhaka/ENOI/recipes.foods.10_11</t>
  </si>
  <si>
    <t>soy bean oil, partially hydrogenated</t>
  </si>
  <si>
    <t>sb</t>
  </si>
  <si>
    <t>OIL,SOYBN,SALAD OR COOKING,(HYDR)</t>
  </si>
  <si>
    <t xml:space="preserve">popc.ff </t>
  </si>
  <si>
    <t>sroll11d</t>
  </si>
  <si>
    <t>s.roll.c</t>
  </si>
  <si>
    <t>CINNAMON ROLL / FRUIT DANISH</t>
  </si>
  <si>
    <t>Pillsbury Cinnamon Rolls with Icing (39%); Entenmann's Raspberry Danish Twist (20%); Little Debbie Honey Buns (14%); Pillsbury Strawberry Toaster Strudel (12%); Stop and Shop Cinnamon Bun Tray (7.5%); Dunkin Donuts Coffee Roll (7.5%)</t>
  </si>
  <si>
    <t>sb.cs.ph</t>
  </si>
  <si>
    <t># REPRESENTS DEXTROSE/MALTODEXTRIN; NDB# 19351: Syrups, corn, high-fructose</t>
  </si>
  <si>
    <t>cocnut.dr</t>
  </si>
  <si>
    <t>NDB#: 12108	Nuts, coconut meat, dried (desiccated), not sweetened</t>
  </si>
  <si>
    <t>dried coconut</t>
  </si>
  <si>
    <t xml:space="preserve">average </t>
  </si>
  <si>
    <t>powdered milk</t>
  </si>
  <si>
    <t>FFQ item: onut11d, NDB# 12086; OIL ROASTED, UNSALTED CASHEWS</t>
  </si>
  <si>
    <t>FFQ item: onut11d, NDB# 12144; OIL ROASTED, UNSALTED PECANS</t>
  </si>
  <si>
    <t>s.roll.lf</t>
  </si>
  <si>
    <t>LOW FAT SWEET ROLL</t>
  </si>
  <si>
    <t>Pillsbury Cinnamon Grands Reduced Fat (50%); Pillsbury Reduced Fat Cinnamon Rolls (50%)</t>
  </si>
  <si>
    <t># REPRESENTS DEXTROSE; NDB# 20020: Cornmeal</t>
  </si>
  <si>
    <t># REPRESENTS WHEAT STARCH; NDB#: 20081 Wheat flour, white, all-purpose, enriched, bleached</t>
  </si>
  <si>
    <t># REPRESENTS CORN SYRUP SOLIDS; NDB# 19351: Syrups, corn, high-fructose</t>
  </si>
  <si>
    <t>brbar11d</t>
  </si>
  <si>
    <t>snack.bar</t>
  </si>
  <si>
    <t>1 BAR</t>
  </si>
  <si>
    <t>MIX OF GRANOLA, NUTRIGRAIN, &amp; OTHER SNACK BARS</t>
  </si>
  <si>
    <t>General Mills Fiber One Oats and Chocolate Chew bar (18%); Kellogg's Nutrigrain Strawberry Cereal Bar (16%); Kellogg's Special K Bar Strawberry (16%); Nature Valley Oats and Honey Crunchy Granola Bars (18%); Nature Valley Sweet &amp; Salty Nut Peanut Granola Bar (10%); Quaker Chewy Chocolate Chip Granola Bar (22%)</t>
  </si>
  <si>
    <t>dry oats</t>
  </si>
  <si>
    <t># REPRESENTS BROWN SUGAR &amp; BROWN SUGAR SYRUP; NDB#: 19334 Sugars, brown</t>
  </si>
  <si>
    <t># REPRESENTS BROWN SUGAR &amp; BROWN SUGAR SYRUP; NDB# 19351: Syrups, corn, high-fructose</t>
  </si>
  <si>
    <t># REPRESENTS CRISP RICE &amp; RICE FLOUR; FFQ item: cer11d KELLOGG,KELLOGG'S RICE KRISPIES</t>
  </si>
  <si>
    <t># REPRESENTS COCOA, COCOA BUTTER, CHOC LIQUOR; FFQ item:mchoc11d, NDB# 19120; MILK CHOCOLATE CANDIES</t>
  </si>
  <si>
    <t># REPRESENTS SOLUBLE CORN FIBER; NDB#: 20015        Corn bran, crude</t>
  </si>
  <si>
    <t># REPRESENTS MALTODEXTRIN?; NDB#: 20081 Wheat flour, white, all-purpose, enriched, bleached</t>
  </si>
  <si>
    <t>11154_24</t>
  </si>
  <si>
    <t># CHICORY ROOT; NDB#: 11154	Chicory roots, raw</t>
  </si>
  <si>
    <t>br.rice.raw</t>
  </si>
  <si>
    <t>NDB#: 20036	Rice, brown, long-grain, raw	OR 20040	Rice, brown, medium-grain, raw</t>
  </si>
  <si>
    <t>raw brown rice</t>
  </si>
  <si>
    <t xml:space="preserve">corn flour  </t>
  </si>
  <si>
    <t># REPRESENTS BARLEY FLAKES; "NDB#: 20004        Barley, hulled"</t>
  </si>
  <si>
    <t># REPRESENTS MALTED BARLEY EXTRACT % MALTOSE CORN SYRUP; "NDB#: 20131	Barley malt flour"</t>
  </si>
  <si>
    <t>NDB#: 20131        Barley malt flour</t>
  </si>
  <si>
    <t xml:space="preserve">nuts ;NDB# 16098; SALTED, SMOOTH PEANUT BUTTER; </t>
  </si>
  <si>
    <t xml:space="preserve">sug ;NDB# 16098; SALTED, SMOOTH PEANUT BUTTER; </t>
  </si>
  <si>
    <t xml:space="preserve">sb.hy ;NDB# 16098; SALTED, SMOOTH PEANUT BUTTER; </t>
  </si>
  <si>
    <t>rapeseed.lh ;NDB# 16098; SALTED, SMOOTH PEANUT BUTTER; NDB# 04582 ; oil, canola</t>
  </si>
  <si>
    <t>sb.cs.ph ;NDB# 16098; SALTED, SMOOTH PEANUT BUTTER</t>
  </si>
  <si>
    <t>sb.cs.ph; NDB# 16098; SALTED, SMOOTH PEANUT BUTTER; "NDB#: 04502	Oil, cottonseed, salad or cooking"</t>
  </si>
  <si>
    <t>dr.cranb</t>
  </si>
  <si>
    <t>NDB#: 09079	Cranberries, dried, sweetened</t>
  </si>
  <si>
    <t>NDB#: 04060	Oil, sunflower, linoleic (less than 60%)</t>
  </si>
  <si>
    <t xml:space="preserve">palm kernel oil </t>
  </si>
  <si>
    <t>enbar11d</t>
  </si>
  <si>
    <t>energy.bar</t>
  </si>
  <si>
    <t>ONE BAR</t>
  </si>
  <si>
    <t>ENERGY BARS, 2011</t>
  </si>
  <si>
    <t>Slim Fast Chocolate Cookie Dough Meal Bar (19%); Luna Bar S'mores Whole Nutrition Bar (32%); Clif Bar Chocolate Chip Energy Bar (49%)</t>
  </si>
  <si>
    <t xml:space="preserve">br.rice </t>
  </si>
  <si>
    <t># REPRESENTS BROWN RICE SYRUP; FFQ item: brice11d, NDB# 20037, COOKED LONG GRAIN BROWN RICE</t>
  </si>
  <si>
    <t># REPRESENTS BROWN RICE SYRUP; NDB# 19351: Syrups, corn, high-fructose</t>
  </si>
  <si>
    <t>**# REPRESENTS HIGH MALTOSE CORN SYRUP; "NDB#: 20131        Barley malt flour"</t>
  </si>
  <si>
    <t>raw soy bean</t>
  </si>
  <si>
    <t># REPRESENTS CANE JUICE &amp; MARSHMALLOWS; NDB# 19335: Sugars, granulated</t>
  </si>
  <si>
    <t># REPRESENTS BARLEY MALT EXTRACT; "NDB#: 20131	Barley malt flour"</t>
  </si>
  <si>
    <t xml:space="preserve">apple </t>
  </si>
  <si>
    <t># REPRESENTS APPLE FIBER; FFQ item: appl11d, NDB# 9003, Apples, raw, with skin</t>
  </si>
  <si>
    <t>NDB#: 45195403	100% NATURAL PSYLLIUM HUSK, UPC: 037000931591</t>
  </si>
  <si>
    <t># REPRESENTS DATE PASTE; NDB#: 09421	Dates, medjool OR	09087	Dates, deglet noor</t>
  </si>
  <si>
    <t># REPRESENTS SOY LECITHIN &amp; SOY BUTTER</t>
  </si>
  <si>
    <t>NDB#: 04501 Oil, cocoa butter</t>
  </si>
  <si>
    <t>hpbars11d</t>
  </si>
  <si>
    <t>hi.prot.bar</t>
  </si>
  <si>
    <t>HIGH PROTEIN BARS, 2011</t>
  </si>
  <si>
    <t>Atkins Advantage Caramel Double Chocolate Crunch (12%); Pure Protein Chocolate Peanut Butter Protein Bar (16%); Balance Bar Cookie Dough Nutrition Bar (13%); Abbott Classic Zone Perfect Fudge Graham Bar (34%); Kellogg's Special K Protein Meal Bar: Choc PB (25%)</t>
  </si>
  <si>
    <t>NHS #2011 RECIPE crude /udd/nhaka/ENOI/recipes.foods.10_11</t>
  </si>
  <si>
    <t># REPRESENTS WHEY PROTEIN ISOLATE/CONCENTRATE/MILK PROTEIN ISOLATE; NDB# 01115: Whey, sweet, dried</t>
  </si>
  <si>
    <t># REPRESENTS WHEY PROTEIN ISOLATE/CONCENTRATE/MILK PROTEIN ISOLATE; NDB# 01155: Milk, dry, nonfat, instant, without added vitamin A and vitamin D</t>
  </si>
  <si>
    <t># REPRESENTS INULIN (SOLUBLE FIBER); oat fiber; no additional information available</t>
  </si>
  <si>
    <t># CORN.ST AND CORN.SYRUP REPRESENT POLYDEXTROSE/CORN STARCH/MALTODEXTRIN; NDB# 20020: Cornmeal</t>
  </si>
  <si>
    <t># CORN.ST AND CORN.SYRUP REPRESENT POLYDEXTROSE/CORN STARCH/MALTODEXTRIN; NDB# 19351: Syrups, corn, high-fructose</t>
  </si>
  <si>
    <t>#CEREAL; NDB#: 20050	Rice, white, medium-grain, raw, enriched	OR	20450	Rice, white, medium-grain, raw, unenriched	OR	20452	Rice, white, short-grain, raw, unenriched OR	20044	Rice, white, long-grain, regular, raw, enriched	OR	20444	Rice, white, long-grain, regular, raw, unenriched</t>
  </si>
  <si>
    <t>#CEREAL; NDB# 19335: Sugars, granulated</t>
  </si>
  <si>
    <t>#CEREAL; NDB# 02047 table salt</t>
  </si>
  <si>
    <t># MALT FLAVOR,CEREAL; "NDB#: 20131	Barley malt flour"</t>
  </si>
  <si>
    <t># REPRESENTS RICE STARCH; "NDB#: 20061	Rice flour, white, unenriched"</t>
  </si>
  <si>
    <t># NEXT THREE INGREDIENTS ARE FOR PEANUT BUTTER; NDB# 16098; SALTED, SMOOTH PEANUT BUTTER</t>
  </si>
  <si>
    <t># NEXT THREE INGREDIENTS ARE FOR PEANUT BUTTER; NDB# 16098; SALTED, SMOOTH PEANUT BUTTER; "NDB#: 04502	Oil, cottonseed, salad or cooking"</t>
  </si>
  <si>
    <t># NEXT THREE INGREDIENTS ARE FOR PEANUT BUTTER; "NDB#: 04034	Oil, soybean, salad or cooking, (partially hydrogenated)"</t>
  </si>
  <si>
    <t># NEXT THREE INGREDIENTS ARE FOR PEANUT BUTTER; "NDB#: 04502	Oil, cottonseed, salad or cooking"</t>
  </si>
  <si>
    <t># NEXT THREE INGREDIENTS ARE FOR PEANUT BUTTER; NDB# 04582 ; oil, canola</t>
  </si>
  <si>
    <t># REPRESENTS TAPIOCA STARCH; NDB# 20020: Cornmeal</t>
  </si>
  <si>
    <t># CORN.SYRUP AND SUG REPRESENT FRUCTOSE AND GLUCOSE SYRUP; NDB# 19351: Syrups, corn, high-fructose</t>
  </si>
  <si>
    <t># CORN.SYRUP AND SUG REPRESENT FRUCTOSE AND GLUCOSE SYRUP; NDB# 19335: Sugars, granulated</t>
  </si>
  <si>
    <t># PEANUT BUTTER AND FLOUR.AP REPRESENT PEANUT FLOUR; NDB# 16098; SALTED, SMOOTH PEANUT BUTTER</t>
  </si>
  <si>
    <t>peanut flour</t>
  </si>
  <si>
    <t># PEANUT BUTTER AND FLOUR.AP REPRESENT PEANUT FLOUR; NDB#: 20081 Wheat flour, white, all-purpose, enriched, bleached</t>
  </si>
  <si>
    <t># SUG, SOY.90, CORN.SYRUP, SOY.LEC REPRESENT MARSHMALLOW; NDB# 19335: Sugars, granulated</t>
  </si>
  <si>
    <t># SUG, SOY.90, CORN.SYRUP, SOY.LEC REPRESENT MARSHMALLOW; soybean oil; NDB#: 04044 Oil, soybean, salad or cooking</t>
  </si>
  <si>
    <t># SUG, SOY.90, CORN.SYRUP, SOY.LEC REPRESENT MARSHMALLOW;  NDB# 19351: Syrups, corn, high-fructose</t>
  </si>
  <si>
    <t># SUG, SOY.90, CORN.SYRUP, SOY.LEC REPRESENT MARSHMALLOW; soy lecithin; no additional information available</t>
  </si>
  <si>
    <t>pn</t>
  </si>
  <si>
    <t>NDB#: 04042	Oil, peanut, salad or cooking</t>
  </si>
  <si>
    <t>almond.bu</t>
  </si>
  <si>
    <t>NDB#: 12195        Nuts, almond butter, plain, without salt added</t>
  </si>
  <si>
    <t>slimf11d</t>
  </si>
  <si>
    <t>slim.fast</t>
  </si>
  <si>
    <t>1 CAN</t>
  </si>
  <si>
    <t>SLIM FAST 3-2-1</t>
  </si>
  <si>
    <t>Slim Fast 3-2-1 Plan Creamy Milk Chocolate Shake (50%); Slim Fast 3-2-1 French Vanilla Shake (50%)</t>
  </si>
  <si>
    <t># GUAR USED FOR GUM ARABIC, CELLULOSE GUM; "NDB#: 42281	Gums, seed gums (includes locust bean, guar)"</t>
  </si>
  <si>
    <t># MILK PROTEIN CONCENTRATE; NDB# 01115: Whey, sweet, dried</t>
  </si>
  <si>
    <t>#SODIUM BICARBONATE (BAKING SODA); 18372        Leavening agents, baking soda</t>
  </si>
  <si>
    <t>baking soda (sodium bicarbinate)</t>
  </si>
  <si>
    <t># SOY PROTEIN ISOLATE; No additional information available</t>
  </si>
  <si>
    <t># MODIFIED CORN STARCH; NDB# 20020: Cornmeal</t>
  </si>
  <si>
    <t># FLOUR.AP USED FOR MALTODEXTRIN NDB#: 20081 Wheat flour, white, all-purpose, enriched, bleached</t>
  </si>
  <si>
    <t>ensur11d</t>
  </si>
  <si>
    <t>ensure</t>
  </si>
  <si>
    <t>ENSURE NUTRITIONAL SUPPLEMENT</t>
  </si>
  <si>
    <t>Ensure Creamy Milk Chocolate (100%)</t>
  </si>
  <si>
    <t>pretz11d</t>
  </si>
  <si>
    <t>pretzel</t>
  </si>
  <si>
    <t>1.5 OZ</t>
  </si>
  <si>
    <t xml:space="preserve">pretzel </t>
  </si>
  <si>
    <t>PLAIN, HARD, SALTED PRETZELS</t>
  </si>
  <si>
    <t>19047</t>
  </si>
  <si>
    <t>label: SNYDER'S+ROLD GOLD recipes.foods.10_11</t>
  </si>
  <si>
    <t>pnut11d</t>
  </si>
  <si>
    <t>OIL ROASTED, SALTED PEANUTS</t>
  </si>
  <si>
    <t>16089</t>
  </si>
  <si>
    <t>NDB#: 04042        Oil, peanut, salad or cooking</t>
  </si>
  <si>
    <t>wnut11d</t>
  </si>
  <si>
    <t>12155</t>
  </si>
  <si>
    <t>onut11d</t>
  </si>
  <si>
    <t>oth.nuts</t>
  </si>
  <si>
    <t>OIL ROASTED, UNSALTED CASHEWS</t>
  </si>
  <si>
    <t>12086</t>
  </si>
  <si>
    <t>DRY ROASTED, UNSALTED PISTACHIOS</t>
  </si>
  <si>
    <t>12152</t>
  </si>
  <si>
    <t>FFQ item: onut11d, NDB# 12152l DRY ROASTED, UNSALTED PISTACHIOS</t>
  </si>
  <si>
    <t>OIL ROASTED, UNSALTED ALMONDS</t>
  </si>
  <si>
    <t>12065</t>
  </si>
  <si>
    <t>OIL ROASTED, UNSALTED PECANS</t>
  </si>
  <si>
    <t>12144</t>
  </si>
  <si>
    <t>mdrfr11d</t>
  </si>
  <si>
    <t>mix.dr.frt</t>
  </si>
  <si>
    <t xml:space="preserve">mix.dr.frt         </t>
  </si>
  <si>
    <t>MIXED DRIED FRUIT (PRUNES,APRICOTS,PEARS)</t>
  </si>
  <si>
    <t>9188</t>
  </si>
  <si>
    <t>dr.apple</t>
  </si>
  <si>
    <t>NDB#: 09011	Apples, dried, sulfured, uncooked</t>
  </si>
  <si>
    <t>appl*4.67352415</t>
  </si>
  <si>
    <t>Additional Calculations sheet: dried apple</t>
  </si>
  <si>
    <t>Additional Calculations sheet: dried apricot</t>
  </si>
  <si>
    <t>#DRIED PEAR</t>
  </si>
  <si>
    <t>NDB#: 09259: Pears, dried, sulfured, uncooked</t>
  </si>
  <si>
    <t>pear*4.523180523</t>
  </si>
  <si>
    <t>Additional Calculations sheet: dried pear</t>
  </si>
  <si>
    <t>oatbr11d</t>
  </si>
  <si>
    <t>oth.bran</t>
  </si>
  <si>
    <t xml:space="preserve">oat.bran </t>
  </si>
  <si>
    <t>CRUDE WHEAT BRAN</t>
  </si>
  <si>
    <t>20077</t>
  </si>
  <si>
    <t>wgerm11d</t>
  </si>
  <si>
    <t>TOASTED, PLAIN WHEAT GERM</t>
  </si>
  <si>
    <t>8084</t>
  </si>
  <si>
    <t>chowd11d</t>
  </si>
  <si>
    <t>chow</t>
  </si>
  <si>
    <t>mush.soup</t>
  </si>
  <si>
    <t>CANNED CREAM OF MUSHROOM SOUP, MILK ADDED</t>
  </si>
  <si>
    <t>6243</t>
  </si>
  <si>
    <t>061312 SUGARS ADDED TO 2011 RECIPE; NO LONGER FROM USDA, recipes.foods.10_11</t>
  </si>
  <si>
    <t>milk, 2%</t>
  </si>
  <si>
    <t>mush</t>
  </si>
  <si>
    <t>mushroom; no additional information available</t>
  </si>
  <si>
    <t>A158</t>
  </si>
  <si>
    <t xml:space="preserve">cottonseed oil </t>
  </si>
  <si>
    <t>chowder</t>
  </si>
  <si>
    <t>READY TO EAT CLAM CHOWDER</t>
  </si>
  <si>
    <t>Progresso Ready To Serve Clam Chowder 100%</t>
  </si>
  <si>
    <t># FIRST 2 INGREDIENTS REPRESENT CLAM BROTH; FFQ item: shrim11d, NDB# 15159; , CLAM,MXD SP,CKD,MOIST HEAT, Mollusks, clam, mixed species, cooked, moist heat</t>
  </si>
  <si>
    <t>cooked clams</t>
  </si>
  <si>
    <t># FIRST 2 INGREDIENTS REPRESENT CLAM BROTH; FFQ item: h2o11d, NDB# 14429: Beverages, water, tap, municipal</t>
  </si>
  <si>
    <t>potatoes, microwaved</t>
  </si>
  <si>
    <t># REPRESENTS MODIFIED FOOD STARCH; NDB# 20020: Cornmeal</t>
  </si>
  <si>
    <t># REPRESENTS SOY PROTEIN CONCENTRATE: No additional information available</t>
  </si>
  <si>
    <t>lobster</t>
  </si>
  <si>
    <t># REPRESENTS LOBSTER POWDER; NDB#: 15148	Crustaceans, lobster, northern, cooked, moist heat	OR	15228	Crustaceans, spiny lobster, mixed species, cooked, moist heat</t>
  </si>
  <si>
    <t>cooked shrimp</t>
  </si>
  <si>
    <t>crabs</t>
  </si>
  <si>
    <t># REPRESENTS CRAB POWDER</t>
  </si>
  <si>
    <t># REPRESENTS DRIED PARSLEY; NDB#: 02029	Spices, parsley, dried</t>
  </si>
  <si>
    <t>same as spinach: rspin; spin</t>
  </si>
  <si>
    <t># REPRESENTS DRIED CELERY; FFQ item: cel11d , NDB# 11143 ; RAW CELERY</t>
  </si>
  <si>
    <t>tuna.light</t>
  </si>
  <si>
    <t># REPRESENTS FISH PWDR/TUNA EXTRACT; NDB#: 15184        Fish, tuna, light, canned in water, without salt, drained solids</t>
  </si>
  <si>
    <t># REPRESENTS HYDROLYZED CORN PROTEIN; NDB#: 20016 Corn flour, whole-grain, yellow</t>
  </si>
  <si>
    <t>tosou11d</t>
  </si>
  <si>
    <t>tom.soup</t>
  </si>
  <si>
    <t>SOUP,TOMATO,CND,PREP W/EQ VOLUME H2O,COMM</t>
  </si>
  <si>
    <t>06559; 06359 (equal parts) - recipes.foods.10_11</t>
  </si>
  <si>
    <t>Soup, tomato, canned, prepared with equal volume water, commercial (50%); Soup, tomato, canned, prepared with equal volume low fat (2%) milk (50%)</t>
  </si>
  <si>
    <t>Y</t>
  </si>
  <si>
    <t>06559; 06359 (equal parts) - recipes.foods.10_12</t>
  </si>
  <si>
    <t>06559; 06359 (equal parts) - recipes.foods.10_13</t>
  </si>
  <si>
    <t>06559; 06359 (equal parts) - recipes.foods.10_14</t>
  </si>
  <si>
    <t>06559; 06359 (equal parts) - recipes.foods.10_15</t>
  </si>
  <si>
    <t>06559; 06359 (equal parts) - recipes.foods.10_16</t>
  </si>
  <si>
    <t>06559; 06359 (equal parts) - recipes.foods.10_17</t>
  </si>
  <si>
    <t>ketch11d</t>
  </si>
  <si>
    <t>catsup</t>
  </si>
  <si>
    <t>CATSUP</t>
  </si>
  <si>
    <t>11935</t>
  </si>
  <si>
    <t xml:space="preserve">tom </t>
  </si>
  <si>
    <t xml:space="preserve">onion </t>
  </si>
  <si>
    <t>flaxd11d</t>
  </si>
  <si>
    <t>1 TBSP GROUND</t>
  </si>
  <si>
    <t>SEEDS,FLAXSEED</t>
  </si>
  <si>
    <t>12220</t>
  </si>
  <si>
    <t>garl11d</t>
  </si>
  <si>
    <t>4 SHAKES</t>
  </si>
  <si>
    <t>GARLIC POWDER</t>
  </si>
  <si>
    <t>2020</t>
  </si>
  <si>
    <t>ooil11d</t>
  </si>
  <si>
    <t>olive.oil</t>
  </si>
  <si>
    <t>OIL,OLIVE,SALAD OR COOKING</t>
  </si>
  <si>
    <t>FFQ item: ooil11d, OIL,OLIVE,SALAD OR COOKING</t>
  </si>
  <si>
    <t>lmayo11d</t>
  </si>
  <si>
    <t>mayo.d</t>
  </si>
  <si>
    <t>LOW FAT MAYONNAISE</t>
  </si>
  <si>
    <t>4641</t>
  </si>
  <si>
    <t>Hellman's Light Mayonnaise (95%); Hellmann's Low Fat Mayo Dressing (2.5%); Kraft Miracle Whip LIght Salad Dressing (2.5%) /proj/nhnuts/nhnut00/bin/output/marie.2011.csv</t>
  </si>
  <si>
    <t>mayo.ff</t>
  </si>
  <si>
    <t>FAT FREE MAYONNAISE</t>
  </si>
  <si>
    <t>4013</t>
  </si>
  <si>
    <t>#  ADDED PERCENTAGES TO MONFAT, MON.FAT, POLY, &amp; POLY.FAT 080310 recipes.foods.10_11</t>
  </si>
  <si>
    <t>cream.hvy</t>
  </si>
  <si>
    <t>NDB#: 01053	Cream, fluid, heavy whipping</t>
  </si>
  <si>
    <t>heavy cream</t>
  </si>
  <si>
    <t>mayo11d</t>
  </si>
  <si>
    <t>MAYONNAISE</t>
  </si>
  <si>
    <t>4025</t>
  </si>
  <si>
    <t>Hellmann's Real Mayonnaise 100% /proj/nhnuts/nhnut00/bin/output/marie.2011.csv</t>
  </si>
  <si>
    <t>dress11d</t>
  </si>
  <si>
    <t>o.&amp;.v</t>
  </si>
  <si>
    <t>1.5 TBSP</t>
  </si>
  <si>
    <t>salad.dress.oth</t>
  </si>
  <si>
    <t>REG RANCH &amp; REG ITALIAN DRESSING, 2011</t>
  </si>
  <si>
    <t>Hidden Valley Ranch Dressing (41%); WishBone Italian Dressing (15%); WishBone Ranch Dressing (29%); Kraft Zesty Italian Dressing (15%)</t>
  </si>
  <si>
    <t># XANTAHN GUM; "NDB#: 42281        Gums, seed gums (includes locust bean, guar)"</t>
  </si>
  <si>
    <t>artswt11d</t>
  </si>
  <si>
    <t>artif.sweet; artif.swt</t>
  </si>
  <si>
    <t>PACKET</t>
  </si>
  <si>
    <t>SUCRALOSE (SPLENDA)</t>
  </si>
  <si>
    <t>19868</t>
  </si>
  <si>
    <t>livb11d</t>
  </si>
  <si>
    <t>liver</t>
  </si>
  <si>
    <t>PAN FRIED BEEF LIVER</t>
  </si>
  <si>
    <t>13327</t>
  </si>
  <si>
    <t>FFQ item: livb11d. NDB# 13327; PAN FRIED BEEF LIVER</t>
  </si>
  <si>
    <t>beef, liver</t>
  </si>
  <si>
    <t>livb</t>
  </si>
  <si>
    <t>A127</t>
  </si>
  <si>
    <t>livc11d</t>
  </si>
  <si>
    <t>chix.liver</t>
  </si>
  <si>
    <t>SIMMERED CHICKEN LIVER</t>
  </si>
  <si>
    <t>5028</t>
  </si>
  <si>
    <t>chix.liv</t>
  </si>
  <si>
    <t>FFQ item: livc11d, NDB# 5028; SIMMERED CHICKEN LIVER</t>
  </si>
  <si>
    <t>chicken, liver</t>
  </si>
  <si>
    <t>livc</t>
  </si>
  <si>
    <t>A128</t>
  </si>
  <si>
    <t>h2om???</t>
  </si>
  <si>
    <t>HPFS-1986; NHS-1986</t>
  </si>
  <si>
    <t>FFQ item: h2om</t>
  </si>
  <si>
    <t>h2om</t>
  </si>
  <si>
    <t>A57</t>
  </si>
  <si>
    <t>Estee</t>
  </si>
  <si>
    <t>Marie</t>
  </si>
  <si>
    <t>KEY</t>
  </si>
  <si>
    <t>NHS FFQ food constituents database</t>
  </si>
  <si>
    <t>Environmental Inputs</t>
  </si>
  <si>
    <t xml:space="preserve">recorded as such in /udd/nhaka/ENOI/forndbs.saslog </t>
  </si>
  <si>
    <t>Inputs from Assumptions sheet</t>
  </si>
  <si>
    <t>column R - sum &gt;3% above 100</t>
  </si>
  <si>
    <t>Water (% not included in recipes)</t>
  </si>
  <si>
    <t>column R - sum &lt;3% above 100</t>
  </si>
  <si>
    <t>Miscellaneous</t>
  </si>
  <si>
    <t>column R - sum &gt;3% below 100</t>
  </si>
  <si>
    <t>* (asterisk)</t>
  </si>
  <si>
    <t>food items consolidated from this cell</t>
  </si>
  <si>
    <t>column R - sum&lt;3% below 100</t>
  </si>
  <si>
    <t>Column V</t>
  </si>
  <si>
    <t>- (dash)</t>
  </si>
  <si>
    <t>recipe content is under 5%</t>
  </si>
  <si>
    <t>recipe content will be added to value above</t>
  </si>
  <si>
    <t>Description of 
NHS2-2011 FFQ + environment</t>
  </si>
  <si>
    <t>This sheet provides detailed explanation for every column in the previous NHS2-2011 FFQ + environment sheet.</t>
  </si>
  <si>
    <t>Row 1 :</t>
  </si>
  <si>
    <t>general references for the data collected</t>
  </si>
  <si>
    <t>Key:</t>
  </si>
  <si>
    <t>Explanation:</t>
  </si>
  <si>
    <t>Additional description of a cell when needed</t>
  </si>
  <si>
    <t>Row 2 :</t>
  </si>
  <si>
    <t>titles of each column</t>
  </si>
  <si>
    <t>Note:</t>
  </si>
  <si>
    <t>Additional information</t>
  </si>
  <si>
    <t>Markings:</t>
  </si>
  <si>
    <t>Any visual methods that were used in the database to define, separate, or identify the intention, starting or ending at this cell</t>
  </si>
  <si>
    <t>Column A:</t>
  </si>
  <si>
    <r>
      <t xml:space="preserve">"FFQ variable name" : </t>
    </r>
    <r>
      <rPr>
        <b/>
        <sz val="10"/>
        <rFont val="Arial"/>
      </rPr>
      <t>These variable names reference the food item in the NHS 2 2011 FFQ</t>
    </r>
  </si>
  <si>
    <t>Example:</t>
  </si>
  <si>
    <t>Specific examples from the database, for additional explanation.</t>
  </si>
  <si>
    <t>Column A was created after Column B-D</t>
  </si>
  <si>
    <t>Where the information was derived</t>
  </si>
  <si>
    <t>A bold line separates each of these rows, therefore defining the original food item.</t>
  </si>
  <si>
    <t>It is clear that “sherb11d” is the FFQ variable name for “Frozen yogurt, sherbet, sorbet or low-fat ice cream (1 c)” because it follows “cofwh11d”</t>
  </si>
  <si>
    <t>(UNIX): /proj/n2dats/n2_dat_qqf/nur11.sas.dd</t>
  </si>
  <si>
    <t>Columns B-D:</t>
  </si>
  <si>
    <r>
      <t xml:space="preserve">B: "FFQ category/Question #" : </t>
    </r>
    <r>
      <rPr>
        <b/>
        <sz val="10"/>
        <rFont val="Arial"/>
      </rPr>
      <t>The NHS FFQ is divided into categories (e.g. Dairy foods, Fruits, Vegetables, etc).  This column documents the category under which each food item is attributed</t>
    </r>
  </si>
  <si>
    <r>
      <t xml:space="preserve">C: "FFQ description" : </t>
    </r>
    <r>
      <rPr>
        <b/>
        <sz val="10"/>
        <rFont val="Arial"/>
      </rPr>
      <t>This column records the title of the food item listed on the FFQ.</t>
    </r>
  </si>
  <si>
    <r>
      <t xml:space="preserve">D: "Cohort-FFQ cycle" : </t>
    </r>
    <r>
      <rPr>
        <b/>
        <sz val="10"/>
        <rFont val="Arial"/>
      </rPr>
      <t>This column records the Cohort and FFQ cycle from which the food item exists in an FFQ.</t>
    </r>
  </si>
  <si>
    <t>We used the Nurses’ Health Study 2 (NHS2) Food Frequency Questionnaire (FFQ) from 2011 because it uses the most recent food items and recipes, and it integrates with Gidon Eshel's dataset.</t>
  </si>
  <si>
    <t xml:space="preserve">Note: </t>
  </si>
  <si>
    <t>NHS II - 2011 FFQ begins at Question 26 of the Questionnaire</t>
  </si>
  <si>
    <t>for "sherb11d" (rows 36-118):</t>
  </si>
  <si>
    <t>Column B: The FFQ category/Question # for sherb11d is “Dairy foods”</t>
  </si>
  <si>
    <t>Column C: The FFQ description refers to the name of each food that is in the 2011 NHS2 FFQ. “Frozen yogurt, sherbet, sorbet or low-fat ice cream (1 c)” is the FFQ description for sherb11d.</t>
  </si>
  <si>
    <t>Column D: The Cohort-FFQ cycle column is meant to keep all the data labeled accurately. “NHS2-2011” is written in every cell of Column D.</t>
  </si>
  <si>
    <t xml:space="preserve">Reference: </t>
  </si>
  <si>
    <t>NHS II - 2011 - LONG format : http://www.nurseshealthstudy.org/participants/questionnaires</t>
  </si>
  <si>
    <t>Column E:</t>
  </si>
  <si>
    <r>
      <t xml:space="preserve">"Food Contr name": </t>
    </r>
    <r>
      <rPr>
        <b/>
        <sz val="10"/>
        <rFont val="Arial"/>
      </rPr>
      <t>coding name used by NHS dietitians in UNIX</t>
    </r>
  </si>
  <si>
    <t>This name can be referenced in NHS FFQs across numerous questionnaire cycles</t>
  </si>
  <si>
    <t xml:space="preserve">Example: </t>
  </si>
  <si>
    <t>the Food Control name for “sherb11d” is “yogurt.frozen”</t>
  </si>
  <si>
    <t>(UNIX): /proj/n2dats/n2_dat_qqf/nur11.sas.dd - listed after "$alias"</t>
  </si>
  <si>
    <t>Column F &amp; G:</t>
  </si>
  <si>
    <r>
      <t xml:space="preserve">F: “Food Contr GMWT”: </t>
    </r>
    <r>
      <rPr>
        <b/>
        <sz val="10"/>
        <rFont val="Arial"/>
      </rPr>
      <t>The gram-weight of the given FFQ item</t>
    </r>
  </si>
  <si>
    <r>
      <t xml:space="preserve">G: “Food Contr Serving”: </t>
    </r>
    <r>
      <rPr>
        <b/>
        <sz val="10"/>
        <rFont val="Arial"/>
      </rPr>
      <t>The serving size of the given FFQ item (in the units that the dietitians quantified their portions)</t>
    </r>
  </si>
  <si>
    <t>GMWT example: the gram weight of “yogurt.frozen” is 143.42</t>
  </si>
  <si>
    <t>SERVING SIZE example: the serving size of “yogurt.frozen” is 1 cup.</t>
  </si>
  <si>
    <t>Serving Size description:</t>
  </si>
  <si>
    <t>Unit = listed under the item</t>
  </si>
  <si>
    <t>Number = listed after weight</t>
  </si>
  <si>
    <t xml:space="preserve">Food.dats file (UNIX): /proj/nhnuts/nhnut00/misc/ffq.help/n11.gramwt - Food Contr GMWT and serving size </t>
  </si>
  <si>
    <t>Column H:</t>
  </si>
  <si>
    <t>“Food Contr ndb_no or label or category”: The NDB NUMBER is the corresponding code for the FFQ item in the USDA Food Composition Database; If there was no corresponding NDB number, the NHS dietitians often derived the recipe from one or more labels.</t>
  </si>
  <si>
    <t>When an item is listed in _forndbs.saslog with a dot (•) in place of the NDB number, we looked in marie.2011.csv for additional information on the food item</t>
  </si>
  <si>
    <t>LABEL: If the final recipe was derived from one or more labels (listed in marie.2011.csv) for a single food constituent item, we wrote “label” in the corresponding cell</t>
  </si>
  <si>
    <t>For example, the soymilk.fort recipe is derived from 5 labels (described in Column M) so we wrote “label” in Column H.</t>
  </si>
  <si>
    <t>CATEGORY: If the recipe was derived from multiple food constituents (determined in Column I or, in the case of tom.soup, Column M), each with their own NDB numbers or label information, we wrote “category” in Column H. This includes recipes (e.g. marg11d, cer11d) that are composed of two or more labels with specified recipe information for each label. Categories are easily identified by a thin dividing line between food constituents between Column I and Column W.</t>
  </si>
  <si>
    <t>For example, the yogurt.frozen recipe (cells E40-E122) is derived from the following constituent ingredients: yogurt.frozen.lf, ice.cr.no.fat, ice.cr.ff.sf, ice.cr, yogurt.frozen, ice.cr.lt, sherb, peach, and jam. Yogurt.frozen.lf, ice.cr.ff.sf, and yogurt.frozen are derived from multiple labels, whereas the remaining constituents have ndb numbers. Therefore, we wrote “category” in Column H.</t>
  </si>
  <si>
    <t>DASH: If there was no additional information in marie.2011.csv, we put a dash (-) in these cells.</t>
  </si>
  <si>
    <t>NDB numbers (UNIX): /udd/nhaka/ENOI/forndbs.saslog (obtained from /proj/n2dtfs/n2dtf00/n11_nts.dd and /proj/nhnuts/nhnut00/nutdata/h10.n10.n11/0/archive/foods.dat.052316)</t>
  </si>
  <si>
    <r>
      <t xml:space="preserve">USDA Food Composition Database: </t>
    </r>
    <r>
      <rPr>
        <u/>
        <sz val="10"/>
        <color rgb="FF1155CC"/>
        <rFont val="Arial"/>
      </rPr>
      <t>https://ndb.nal.usda.gov/ndb/search/list</t>
    </r>
  </si>
  <si>
    <t>Label information: /proj/nhnuts/nhnut00/bin/output/marie.2011.csv</t>
  </si>
  <si>
    <t>Anomalies:</t>
  </si>
  <si>
    <t>Recipes for margarine and spread.bu were derived from labels listed in /proj/nhnuts/nhnut00/recipes/fat.11/recipes.margarine.10_11</t>
  </si>
  <si>
    <t>Recipes for cold.cer were derived from proj/nhnuts/nhnut00/recipes/recipes.cereal.2011.test</t>
  </si>
  <si>
    <t xml:space="preserve">Column I: </t>
  </si>
  <si>
    <t>“FC item name”:</t>
  </si>
  <si>
    <t>If the FFQ item was a basic ingredient (meaning that it is in its most basic form), the Food Contr Name (column E) was repeated for the FC item name (column I).</t>
  </si>
  <si>
    <t>Basic ingredients are easily identified as those that only take one row (between the bold lines).</t>
  </si>
  <si>
    <t>For example: skim11d is skim milk and is a basic ingredient. Therefore, the Food Contr Name (column E), skim.kids, was repeated for the FC item name (column I).</t>
  </si>
  <si>
    <t>If the FFQ item is a compound food item (meaning that it is composed of multiple ingredients, in contrast to a basic ingredient):</t>
  </si>
  <si>
    <t>A new row was created for each contributing item.</t>
  </si>
  <si>
    <t>The preceding columns (columns A-H) within each FFQ item were duplicated for each row, in order to aid with future FFQ item searches</t>
  </si>
  <si>
    <t>A thin line was placed between each new FC item name (between each contributing item)</t>
  </si>
  <si>
    <t>This thin line extends from Column I through Column W.</t>
  </si>
  <si>
    <t>sherb11d is a compound food item, which is apparent because there are nine additional ingredients within the heading (yogurt.frozen).</t>
  </si>
  <si>
    <t>A new row was created for each contributing item, and a thin line was added between each of these contributing items.</t>
  </si>
  <si>
    <t>In n11.gramwt, the “FC item name” is written in the far left column. For the food item, sherb11d, the following contributing items were listed in this far left column, and therefore make up the FC item names:</t>
  </si>
  <si>
    <t>Yogurt.frozen.lf</t>
  </si>
  <si>
    <t>Ice.cr.no.fat</t>
  </si>
  <si>
    <t>Ice.cr.ff.sf</t>
  </si>
  <si>
    <t>Ice.cr</t>
  </si>
  <si>
    <t>Yogurt.frozen</t>
  </si>
  <si>
    <t>Ice.cr.lt</t>
  </si>
  <si>
    <t>Sherb</t>
  </si>
  <si>
    <t>Peach</t>
  </si>
  <si>
    <t>Jam</t>
  </si>
  <si>
    <t>FC item name (UNIX): /proj/nhnuts/nhnut00/misc/ffq.help/n11.gramwt</t>
  </si>
  <si>
    <t>Column J:</t>
  </si>
  <si>
    <r>
      <rPr>
        <sz val="10"/>
        <color rgb="FF000000"/>
        <rFont val="Arial"/>
      </rPr>
      <t xml:space="preserve">“FC item desc”: </t>
    </r>
    <r>
      <rPr>
        <b/>
        <sz val="10"/>
        <color rgb="FF000000"/>
        <rFont val="Arial"/>
      </rPr>
      <t>As listed with the FC item name, the FC item description is a fuller description of the food item.</t>
    </r>
  </si>
  <si>
    <t>The “FC item desc” is written to the right of the “FC item name” in n11.gramwt.</t>
  </si>
  <si>
    <t>sherb11d: LOWFAT FROZEN YOGURT refers to yogurt.frozen.lf</t>
  </si>
  <si>
    <t>FC item desc (UNIX): /proj/nhnuts/nhnut00/misc/ffq.help/n11.gramwt</t>
  </si>
  <si>
    <t>Column K:</t>
  </si>
  <si>
    <r>
      <rPr>
        <sz val="10"/>
        <color rgb="FF000000"/>
        <rFont val="Arial"/>
      </rPr>
      <t xml:space="preserve">“FC item %”: </t>
    </r>
    <r>
      <rPr>
        <b/>
        <sz val="10"/>
        <color rgb="FF000000"/>
        <rFont val="Arial"/>
      </rPr>
      <t>As listed with the FC item name and description, each item has a corresponding %</t>
    </r>
  </si>
  <si>
    <t>These columns describe the fraction of the final recipe that each ingredient makes up</t>
  </si>
  <si>
    <t>The percentages within each FFQ variable item do not always equal 100%. NHS dietitians described that many FFQ item ingredients were determined based on USDA nutrient data, and the conversion from nutrients to ingredients were not always perfectly aligned. We chose to focus on the FC item %, rather than FC item gmwt, to correspond to these nutrient considerations.</t>
  </si>
  <si>
    <t>sherb11d:  This is the percentage contributed by each contributing item, listed in column I (e.g. Lowfat Frozen Yogurt, Fat Free Vanilla Ice Cream, Fat Free No sugar added Ice Cream, Vanilla Ice Cream, Soft Serve Vanilla Frozen Yogurt, Light Vanilla Ice Cream, Orange Sherbert, Raw Peaches, Jams and Preserves)</t>
  </si>
  <si>
    <t>The “FC item %” of Lowfat Frozen Yogurt is 5%</t>
  </si>
  <si>
    <t>If the sum of the FC item percentages within each FFQ item did not equal 100%, we created an equation within each cell to generate a percentage that would contribute to a total of 100% while maintaining the same ratio between constituent items. We did this by dividing each constituent item’s percentage by the sum of all within the FFQ item..</t>
  </si>
  <si>
    <t>marg11d: 46%+27%+7%+7%+6%+4%+4%=101%</t>
  </si>
  <si>
    <t>So the smart.bal.67 cells will read, “=46/101” within a cell, designated as a percentage.</t>
  </si>
  <si>
    <t>FC item % (UNIX): /proj/nhnuts/nhnut00/misc/ffq.help/n11.gramwt</t>
  </si>
  <si>
    <t>In this document, each contributing item (e.g. Lowfat Frozen Yogurt, etc) has a percentage written to the right of it (under the Food Contr %). This number is entered into column K.</t>
  </si>
  <si>
    <t>Column L:</t>
  </si>
  <si>
    <r>
      <rPr>
        <sz val="10"/>
        <color rgb="FF000000"/>
        <rFont val="Arial"/>
      </rPr>
      <t xml:space="preserve">“FC item gmwt”: </t>
    </r>
    <r>
      <rPr>
        <b/>
        <sz val="10"/>
        <color rgb="FF000000"/>
        <rFont val="Arial"/>
      </rPr>
      <t>As listed with the FC item name and description, each item has a corresponding gram-weight</t>
    </r>
  </si>
  <si>
    <t>These columns describe the gramweight that each ingredient contributes to the final product (total gramweight listed in column F; unit in column G)</t>
  </si>
  <si>
    <t>sherb11d:  This is the gramweight (corresponding to columns F &amp; G) of each ingredient listed in column I (e.g. Lowfat Frozen Yogurt, Fat Free Vanilla Ice Cream, Fat Free No sugar added Ice Cream, Vanilla Ice Cream, Soft Serve Vanilla Frozen Yogurt, Light Vanilla Ice Cream, Orange Sherbert, Raw Peaches, Jams and Preserves)</t>
  </si>
  <si>
    <t>The “FC item gmwt” of Lowfat Frozen Yogurt is 8.7.</t>
  </si>
  <si>
    <t>FC item gmwt (UNIX): /proj/nhnuts/nhnut00/misc/ffq.help/n11.gramwt</t>
  </si>
  <si>
    <t>In this document, each contributing item (e.g. Lowfat Frozen Yogurt, etc) has a number written to the right of it (under the Food Contr gmwt). This number is entered into column L.</t>
  </si>
  <si>
    <t>Column M:</t>
  </si>
  <si>
    <t xml:space="preserve">“FC item ndb_no or label name”: </t>
  </si>
  <si>
    <t>The NDB number is a reference number used throughout the NHS database.</t>
  </si>
  <si>
    <t>If the specific food item or NDB number weren't listed, the NHS dietitians derived the recipe from one or more labels.  In this case, the label information is included in this cell.</t>
  </si>
  <si>
    <t>sherb11d: some of the FC items have ndb numbers listed in forndbs.saslog (e.g. ice.cr.no.fat, ice.cr, ice.cr.lt, sherb, peach, and jam)</t>
  </si>
  <si>
    <t>tom.soup did not have a corresponding NDB number in forndbs.saslog:</t>
  </si>
  <si>
    <t>We found NDB numbers for its constituent parts were provided in recipes.foods.10_15</t>
  </si>
  <si>
    <t>yogurt.frozen.lf (of sherb11d) is a combination of more than one label:</t>
  </si>
  <si>
    <t>There is no NDB number in forndbs.saslog (in place of an NDB number, there is a dot (•)).</t>
  </si>
  <si>
    <t>In marie.2011.csv, the dietitians include the label information: “Edy's Slow Churned Rich/Creamy FroYo Choc Fudge Brownie (50%), Edy's Vanilla Slow Churned Yogurt Blend (50%)”. This information was included in Column M.</t>
  </si>
  <si>
    <t>For labels: Each label is listed in column M</t>
  </si>
  <si>
    <t>In parentheses next to each label, that item's fraction of the total recipe is listed as a percentage</t>
  </si>
  <si>
    <t>Each label is separated by a semi-colon (;)</t>
  </si>
  <si>
    <t>If there is no NDB number or label data, a dash (-) was placed in this column M.</t>
  </si>
  <si>
    <t>We found most NDB numbers in (UNIX): /udd/nhaka/ENOI/forndbs.saslog</t>
  </si>
  <si>
    <t>If there was no corresponding NDB number in forndbs.saslog, we looked in (UNIX): /udd/nhaka/ENOI/recipes.foods.10_11</t>
  </si>
  <si>
    <t>If the food item or NDB number weren't listed, we derived label nutrient and ingredient information from (UNIX):</t>
  </si>
  <si>
    <t>Cereals (UNIX): proj/nhnuts/nhnut00/recipes/</t>
  </si>
  <si>
    <t>/r.crisp</t>
  </si>
  <si>
    <t>/recipes.cereal.2011.test</t>
  </si>
  <si>
    <t>/crax.final.lwd</t>
  </si>
  <si>
    <t>/recipes.foods.10_11</t>
  </si>
  <si>
    <t>/cer.final</t>
  </si>
  <si>
    <t>Column N:</t>
  </si>
  <si>
    <t>“FC item label description”: Provides more information on column M, when column M is a label</t>
  </si>
  <si>
    <t>If column M was derived from label information contained in a specific document, list that document.</t>
  </si>
  <si>
    <t>If column M was derived from the USDA database, leave column N blank.</t>
  </si>
  <si>
    <t>Label information for food items included in marie.2011.csv were specifically utilized to develop the recipe information in recipes.foods.10_11</t>
  </si>
  <si>
    <t>If column M is best described by /proj/nhnuts/nhnut00/misc/ffq.help/n11.gramwt, the reference was documented</t>
  </si>
  <si>
    <t>yogurt.frozen.lf (of sherb11d): since the label information was found in marie.2011.csv, “/proj/nhnuts/nhnut00/bin/output/marie.2011.csv” was included in Column N.</t>
  </si>
  <si>
    <t>yogurt.frozen.lf (of sherb11d) was included in marie.2011.csv. Therefore, “NHS #2011 RECIPE /udd/nhaka/ENOI/recipes.foods.10_11” was included in Column N.</t>
  </si>
  <si>
    <t>Label nutrient and ingredient information (UNIX): /proj/nhnuts/nhnut00/bin/output/marie.2011.csv</t>
  </si>
  <si>
    <t>Column O:</t>
  </si>
  <si>
    <r>
      <rPr>
        <sz val="10"/>
        <color rgb="FF000000"/>
        <rFont val="Arial"/>
      </rPr>
      <t xml:space="preserve">“additional information necessary”: </t>
    </r>
    <r>
      <rPr>
        <b/>
        <sz val="10"/>
        <color rgb="FF000000"/>
        <rFont val="Arial"/>
      </rPr>
      <t>recipe assumption, estimation, or description by data-compiling team (Janiszewski &amp; Emlen) or additional source</t>
    </r>
  </si>
  <si>
    <t>For any items in Column M (label or USDA NDB #s) that have recipes based on assumptions or estimations, or needing additional descriptions.</t>
  </si>
  <si>
    <t>If column M was an assumption/estimation of major food products that were synthesized by dietitians to generate the recipe information in /udd/nhaka/ENOI/recipes.foods.10_11, the assumption was documented</t>
  </si>
  <si>
    <t>If the information for column M was determined solely by the document listed in column N, a dash (-) was added to column O. This occurs for most of the cold cereals.</t>
  </si>
  <si>
    <t>/udd/nhaka/ENOI/recipes.foods.10_11</t>
  </si>
  <si>
    <t>Column P:</t>
  </si>
  <si>
    <r>
      <rPr>
        <sz val="10"/>
        <color rgb="FF000000"/>
        <rFont val="Arial"/>
      </rPr>
      <t xml:space="preserve">“FC item recipe ing name”: </t>
    </r>
    <r>
      <rPr>
        <b/>
        <sz val="10"/>
        <color rgb="FF000000"/>
        <rFont val="Arial"/>
      </rPr>
      <t>Constituent ingredients that compose each FC item (column I)</t>
    </r>
  </si>
  <si>
    <t>Janiszewski and Emlen chose recipes corresponding to the food as a whole, or to recipes that measured as many nutrients as possible.</t>
  </si>
  <si>
    <t>When there are multiple recipes listed, choose:</t>
  </si>
  <si>
    <t>1. A recipe that has “#2011 RECIPE” written above it</t>
  </si>
  <si>
    <t xml:space="preserve">2. A recipe that correlates to the USDA database </t>
  </si>
  <si>
    <t>Also helpful: the recipe is the first of the string of recipes</t>
  </si>
  <si>
    <t>Also helpful: the recipe has “crude” listed after its name</t>
  </si>
  <si>
    <t>Also helpful: the recipe has the most notations listed after the food name.</t>
  </si>
  <si>
    <t>These notations abbreviate specific nutrients, therefore describing which nutrients were considered in order to derive a specific recipe of ingredients.</t>
  </si>
  <si>
    <t>If the FFQ item is a basic ingredient - meaning that it is in its most basic form - the FC item name (column I) repeats for the FC item recipe ing name.</t>
  </si>
  <si>
    <t>skim11d is skim milk, called "skim.kids", in column I which is a basic ingredient.  Therefore it is repeated in column P for FC item recipe ing name.</t>
  </si>
  <si>
    <t>To confirm that an item is a basic ingredient, it must be absent from (UNIX) /udd/nhaka/ENOI/recipes.foods.10_11 AND it is only listed as an ingredient in /proj/nhnuts/nhnut00/misc/ffq.help/n11.gramwt</t>
  </si>
  <si>
    <t>Basic ingredients needed additional confirmation when recipes.foods.10_11 recipes did not logically make sense.</t>
  </si>
  <si>
    <t>In recipes.foods.10_11, there is one recipe for skim11d, or "skim.kids" in Column I, that is based on a ratio for bu.milk (“buttermilk”), one recipe based on a ratio for bu (“butter”), and another recipe that is imputed for milk2% (“2% milk”).</t>
  </si>
  <si>
    <t>When the recipes for a given food item in recipes.foods.10_11 is only based on &lt;ratio&gt; or &lt;imputed&gt;, it is likely a basic ingredient. This was confirmed in n11.gramwt, by food items lacking contributing items below it.</t>
  </si>
  <si>
    <t>skim11d, described as skim.kids in Column I, does not have any additional ingredients listed below it. Therefore, skim11d is already in its most basic form, and so “skim.kids” was repeated in Column P.</t>
  </si>
  <si>
    <t>If the FC item (in Column I) is a compound food item - meaning that it is composed of multiple ingredients, a new row was created for each constituent ingredient, compound food, or label.</t>
  </si>
  <si>
    <t>In the food constituents database, we repeated the preceding columns (columns A-O) within the FC Item (column I) for each row to aid with future FFQ item searches.</t>
  </si>
  <si>
    <t>for cof.wht (column I of cofwh11d), there are two recipes in recipes.foods.10_11, both of which have “#2011 RECIPE” written above it.</t>
  </si>
  <si>
    <t>This recipe was derived from labels so there is no NDB number to compare USDA database nutrient information.</t>
  </si>
  <si>
    <t>Since both recipes are equal based on the first 2 criteria, the first recipe immediately becomes prioritized.</t>
  </si>
  <si>
    <t>“Crude” is not listed after the food name in either recipe.</t>
  </si>
  <si>
    <t>The first recipe has many notations listed after it's name and the second recipe has only “h2o” listed. (This means the first recipe is the most thorough, and the second recipe was determined by specifically placing controls on the recipe’s water content.)</t>
  </si>
  <si>
    <t>Therefore, the first recipe - the most thorough - was chosen to represent cof.wht for our purposes.</t>
  </si>
  <si>
    <t>Lines such as “# REPRESENTS SODIUM CASEINATE” in recipes.foods.10_11, means that one or more of the following ingredients represents the nutrient values of sodium caseinate. This information was included in Column Q.</t>
  </si>
  <si>
    <t>for yogurt.frozen.lf (of sherb11d), there were two recipes, and neither has #2011 RECIPE written above it</t>
  </si>
  <si>
    <t>The first recipe also has crude written after the food name, which creates a higher preference for the first recipe.</t>
  </si>
  <si>
    <t>The first recipe also has more notations written after the food name, which decidedly makes it preferable to the second recipe.</t>
  </si>
  <si>
    <t>AFTER CHOOSING THIS RECIPE:</t>
  </si>
  <si>
    <t>A new row was created for each ingredient of this recipe (e.g. skim.kids, h2o, sug, corn.syrup, sug, flour.ap, br.sug, cocoa, cream, corn.syrup, bu, eggs.y, eggs, soy.90, choc, egg.beat, honey, flour.soyb, molasses, cocoa, corn.st, yog.plain) = 22 rows total</t>
  </si>
  <si>
    <t>All cells for frozen.yogurt.lf between Column A and Column O are duplicated for each row corresponding to these ingredients.</t>
  </si>
  <si>
    <t>A thin horizontal line is placed after the last ingredient (e.g. yog.plain), starting at Column I.</t>
  </si>
  <si>
    <t>Additional recipes:</t>
  </si>
  <si>
    <t>“sb.cs.ph” is partially hydrogenated soybean and cottonseed oils (ex. cof.wht and cof.wht.lt of cofwh11d)</t>
  </si>
  <si>
    <t>The estimated recipe is:</t>
  </si>
  <si>
    <t>50% partially hydrogenated soybean oil</t>
  </si>
  <si>
    <t>50% partially hydrogenated cottonseed oil</t>
  </si>
  <si>
    <r>
      <t xml:space="preserve">“sb.ph” is partially hydrogenated soybean oil (in cof.wht and </t>
    </r>
    <r>
      <rPr>
        <u/>
        <sz val="10"/>
        <color rgb="FF1155CC"/>
        <rFont val="Arial"/>
      </rPr>
      <t>cof.wht.lt</t>
    </r>
    <r>
      <rPr>
        <sz val="10"/>
        <color rgb="FF000000"/>
        <rFont val="Arial"/>
      </rPr>
      <t xml:space="preserve"> of cofwh11d)</t>
    </r>
  </si>
  <si>
    <t>72% soybean oil</t>
  </si>
  <si>
    <t>10.5% partially hydrogenated soybean oil</t>
  </si>
  <si>
    <t>9% partially hydrogenated palm kernel oil</t>
  </si>
  <si>
    <t>8.5% partially hydrogenated cottonseed oil</t>
  </si>
  <si>
    <t>“Short” and “short.ph.sb” are shortening</t>
  </si>
  <si>
    <t>9% fully and partially hydrogenated palm oil</t>
  </si>
  <si>
    <r>
      <t xml:space="preserve">For all these "additional recipes": </t>
    </r>
    <r>
      <rPr>
        <u/>
        <sz val="10"/>
        <color rgb="FF1155CC"/>
        <rFont val="Arial"/>
      </rPr>
      <t>sb.cs.ph</t>
    </r>
    <r>
      <rPr>
        <sz val="10"/>
        <color rgb="FF000000"/>
        <rFont val="Arial"/>
      </rPr>
      <t xml:space="preserve">, </t>
    </r>
    <r>
      <rPr>
        <u/>
        <sz val="10"/>
        <color rgb="FF1155CC"/>
        <rFont val="Arial"/>
      </rPr>
      <t>sb.ph</t>
    </r>
    <r>
      <rPr>
        <sz val="10"/>
        <color rgb="FF000000"/>
        <rFont val="Arial"/>
      </rPr>
      <t xml:space="preserve">, short, and </t>
    </r>
    <r>
      <rPr>
        <u/>
        <sz val="10"/>
        <color rgb="FF1155CC"/>
        <rFont val="Arial"/>
      </rPr>
      <t>short.ph.sb</t>
    </r>
  </si>
  <si>
    <t>This estimated recipe is included in Column P, and the item is divided into two rows to allow for this calculation at a later stage.</t>
  </si>
  <si>
    <t>Dotted lines were added above and below these FC item recipe ingredients</t>
  </si>
  <si>
    <t>Recipes are found in (UNIX): /udd/nhaka/ENOI/recipes.foods.10_11</t>
  </si>
  <si>
    <r>
      <rPr>
        <sz val="10"/>
        <color rgb="FF000000"/>
        <rFont val="Arial"/>
      </rPr>
      <t xml:space="preserve">sb.cs.ph, </t>
    </r>
    <r>
      <rPr>
        <u/>
        <sz val="10"/>
        <color rgb="FF1155CC"/>
        <rFont val="Arial"/>
      </rPr>
      <t>sb.ph</t>
    </r>
    <r>
      <rPr>
        <sz val="10"/>
        <color rgb="FF000000"/>
        <rFont val="Arial"/>
      </rPr>
      <t xml:space="preserve">, short, </t>
    </r>
    <r>
      <rPr>
        <u/>
        <sz val="10"/>
        <color rgb="FF1155CC"/>
        <rFont val="Arial"/>
      </rPr>
      <t>short.ph</t>
    </r>
    <r>
      <rPr>
        <sz val="10"/>
        <color rgb="FF000000"/>
        <rFont val="Arial"/>
      </rPr>
      <t>.sb.: /proj/nhnuts/nhnut00/recipes/fat.11/recipes.oil.10_11</t>
    </r>
  </si>
  <si>
    <t>Column Q:</t>
  </si>
  <si>
    <r>
      <rPr>
        <sz val="10"/>
        <color rgb="FF000000"/>
        <rFont val="Arial"/>
      </rPr>
      <t xml:space="preserve">“FC item recipe ing desc”:  </t>
    </r>
    <r>
      <rPr>
        <b/>
        <sz val="10"/>
        <color rgb="FF000000"/>
        <rFont val="Arial"/>
      </rPr>
      <t>documents corresponding NDB numbers and descriptions; other corresponding FFQ items; and/or other descriptors throughout the UNIX files accessed</t>
    </r>
  </si>
  <si>
    <t>These NDB numbers link back to as low an ingredient level as possible.</t>
  </si>
  <si>
    <t>All accessible databases were used to search for and document these descriptors.</t>
  </si>
  <si>
    <t xml:space="preserve">In skim.kids (of frozen.yogurt. lf of sherb11d): </t>
  </si>
  <si>
    <t>In nur11.sas.dd, skim.kids references skim11d so “FFQ item: skim11d” was included in the corresponding cell in column Q.</t>
  </si>
  <si>
    <t>In the USDA Food Composition Database, skim milk was found, so “NDB# 1085, skim milk” was included in the corresponding cell in Column Q</t>
  </si>
  <si>
    <t>Column P included lines such as “# REPRESENTS SODIUM CASEINATE” in recipes.foods.10_11. This meant that one or more of the following ingredients represents the nutrient values of sodium caseinate. This information was included in Column Q.</t>
  </si>
  <si>
    <t>(UNIX) /proj/n2dats/n2_dat_qqf/nur11.sas.dd</t>
  </si>
  <si>
    <t>(UNIX) /proj/nhnuts/nhnut00/misc/ffq.help/n11.gramwt</t>
  </si>
  <si>
    <t>(UNIX) /udd/nhaka/ENOI/forndbs.saslog</t>
  </si>
  <si>
    <t>(UNIX) /proj/nhnuts/nhnut00/bin/output/marie.2011.csv</t>
  </si>
  <si>
    <t>(UNIX) /udd/nhaka/ENOI/recipes.foods.10_11</t>
  </si>
  <si>
    <t>And the USDA Food Composition Databases (https://ndb.nal.usda.gov/ndb/search/list)</t>
  </si>
  <si>
    <t>Column R:</t>
  </si>
  <si>
    <t>“FC item recipe ing %”</t>
  </si>
  <si>
    <t>As listed with the FC item ing name and description in recipes.foods.10_11, each item has a corresponding % (Column K)</t>
  </si>
  <si>
    <t>frozen.yogurt.lf (of sherb11d): Skim.kids is 80%, h2o is 6%, sug is 6%, and so on.</t>
  </si>
  <si>
    <t>If an item in this row composes a compounded food item in column P (e.g. sb.cs.ph or short or tom.j), the sub-group recipe percentage is derived here.</t>
  </si>
  <si>
    <t>cofwh11d contains sb.cs.ph, which is 50% sb.ph and 50% cs.ph. Therefore, although the FC item, sb.cs.ph, is 4.85% of the recipe, each ingredient % was divided by 2, as a function within this cell: “=4.85/2”</t>
  </si>
  <si>
    <t>At this cell, dotted lines will be removed from the compounded food sub-recipe because the calculation integrates it into the total.</t>
  </si>
  <si>
    <t>when they don’t equal 100%, they are weighted in Column U of the spreadsheet</t>
  </si>
  <si>
    <t>FC item % and gmwt (UNIX): /udd/nhaka/ENOI/recipes.foods.10_11</t>
  </si>
  <si>
    <t>Column S:</t>
  </si>
  <si>
    <t>“FC item recipe ing gmwt”</t>
  </si>
  <si>
    <t>The gram-weight was calculated by multiplying the FC item gmwt (column L) by the FC item recipe ing % (column R):</t>
  </si>
  <si>
    <t>FC item recipe ing gmwt = column L * column R * .01</t>
  </si>
  <si>
    <t>Column T:</t>
  </si>
  <si>
    <t>“Percentage (NHS dietitian)”</t>
  </si>
  <si>
    <t>The percentages in the FC item recipe ing % (column R) were added here. In other words, this is the sum of each cell of the FC item (separated by thin lines).</t>
  </si>
  <si>
    <t>Many cells do not equal 100%. This is because “the recipes are designed to meet the label macros (carb, prot, tfat, calor within 20% - industry standard)” - described by dietitian, Laura Sampson.</t>
  </si>
  <si>
    <t>Colors were added by Estee Emlen to denote large fluctuations in the dietitian percentages. A key is included at the bottom of the database.</t>
  </si>
  <si>
    <t>yogurt.frozen.lf (of sherb11d): the ingredients within this contributing recipe equal 125.5%. The next column corrects for the difference.</t>
  </si>
  <si>
    <t>Column U:</t>
  </si>
  <si>
    <r>
      <rPr>
        <sz val="10"/>
        <color rgb="FF000000"/>
        <rFont val="Arial"/>
      </rPr>
      <t xml:space="preserve">“Percentage 100%”: </t>
    </r>
    <r>
      <rPr>
        <b/>
        <sz val="10"/>
        <color rgb="FF000000"/>
        <rFont val="Arial"/>
      </rPr>
      <t>Column R weighted to 100%</t>
    </r>
  </si>
  <si>
    <t>Within each row, this equation is utilized: Column U = [Column R]*100/ [Column T]</t>
  </si>
  <si>
    <t>yogurt.frozen.lf (of sherb11d): We multiplied the FC item (aka “individual ingredient”) by 100, and divided this total by 125.5 (e.g. the dietitian’s total percentage): Cell U37 = “=R37*100/T37”</t>
  </si>
  <si>
    <t>Column V:</t>
  </si>
  <si>
    <r>
      <rPr>
        <sz val="10"/>
        <color rgb="FF000000"/>
        <rFont val="Arial"/>
      </rPr>
      <t xml:space="preserve">“Restricting Water”: </t>
    </r>
    <r>
      <rPr>
        <b/>
        <sz val="10"/>
        <color rgb="FF000000"/>
        <rFont val="Arial"/>
      </rPr>
      <t>We chose to restrict water from our recipes because the environmental impact of water as an ingredient was negligable (per Gidon Eshel)</t>
    </r>
  </si>
  <si>
    <t>There are numerous recipes (e.g. punch11d) for which vital ingredients, such as corn syrup and sugar would not be included because of the high ratio of water in the recipe. Considering that the environmental cost of this water is not recorded, this is a large environmental attribute that would be missing if not restricted.</t>
  </si>
  <si>
    <t>Column V excludes water and weights all remaining ingredients in column U to 100%.</t>
  </si>
  <si>
    <t>For recipes that did not include water, we repeated the previous cell: Column V = Column U</t>
  </si>
  <si>
    <r>
      <rPr>
        <u/>
        <sz val="10"/>
        <color rgb="FF1155CC"/>
        <rFont val="Arial"/>
      </rPr>
      <t>ice.cr.no</t>
    </r>
    <r>
      <rPr>
        <sz val="10"/>
        <color rgb="FF000000"/>
        <rFont val="Arial"/>
      </rPr>
      <t>.fat (of sherb11d):</t>
    </r>
  </si>
  <si>
    <t>For all recipes that included water:</t>
  </si>
  <si>
    <t>First, we carried over the % of water from column U to column V</t>
  </si>
  <si>
    <t>We italicized this row and highlighted it in light blue from Column V to the end of the row.</t>
  </si>
  <si>
    <t>Then, we utilized the following equation for all remaining ingredients to weight the remaining percentage to 100%:</t>
  </si>
  <si>
    <t>Column V = (adjacent cell in column U)*100/ [sum(all subgroup ingredients in column U besides water)]</t>
  </si>
  <si>
    <t>yogurt.frozen.lf (of sherb11d):</t>
  </si>
  <si>
    <t>When water was the only ingredient of an FC item in the recipe:</t>
  </si>
  <si>
    <t>We carried over the 100% of water from column U to column V</t>
  </si>
  <si>
    <t>Column W:</t>
  </si>
  <si>
    <r>
      <rPr>
        <sz val="10"/>
        <color rgb="FF000000"/>
        <rFont val="Arial"/>
      </rPr>
      <t xml:space="preserve">“Basic sub-group ingredients”: </t>
    </r>
    <r>
      <rPr>
        <b/>
        <sz val="10"/>
        <color rgb="FF000000"/>
        <rFont val="Arial"/>
      </rPr>
      <t>All food item names from Column P</t>
    </r>
  </si>
  <si>
    <t>Write out the basic food item name, or copy Column J if that is the smallest constituent.</t>
  </si>
  <si>
    <t>sherb11d (column A) → yogurt.frozen.lf (column I) → skim.kids (column P): “skim milk” was listed as the ingredient in Column W.</t>
  </si>
  <si>
    <t>“H2o” in Column I translates to “water” in Column W</t>
  </si>
  <si>
    <t>“Sug” in Column I translates to “sugar” in Column W</t>
  </si>
  <si>
    <t>“Corn.syrup” in Column I translates to “corn syrup” in Column W</t>
  </si>
  <si>
    <t>etc.</t>
  </si>
  <si>
    <t>cream11d has the ingredient "&lt;2% (skim milk, sodium caseinate from milk, natural and artificial flavor, carageenan, polysorbate 60, mono and diglycerides, sodium stearoyl lactylate, sodium polyphosphates, beta caroteine, nitrous oxide)" in Column P.  This translates to "miscellaneous" in Column W.</t>
  </si>
  <si>
    <t>Column X:</t>
  </si>
  <si>
    <r>
      <rPr>
        <sz val="10"/>
        <color rgb="FF000000"/>
        <rFont val="Arial"/>
      </rPr>
      <t xml:space="preserve">“FFQ recipe %”: </t>
    </r>
    <r>
      <rPr>
        <b/>
        <sz val="10"/>
        <color rgb="FF000000"/>
        <rFont val="Arial"/>
      </rPr>
      <t>The percentage of each basic ingredient (Column V) was weighted against the FC item % (Column K)</t>
    </r>
  </si>
  <si>
    <t>Equation: Column X = [Column V]*[Column K]</t>
  </si>
  <si>
    <t>This equation is also used for water</t>
  </si>
  <si>
    <t>Keep this row italicized and highlighted in light blue</t>
  </si>
  <si>
    <t>At this point, each ingredient is calculated as a percentage of the total recipe, rather than as a percentage of an "FC item", or contributing recipe</t>
  </si>
  <si>
    <t>All thin lines end at this column (delineation for separate “FC items” or contributing recipes began in Column I)</t>
  </si>
  <si>
    <t>skim milk (column W) of yogurt.frozen.lf, of sherb11d:</t>
  </si>
  <si>
    <t>Column V * Column K = 66.95 * 5% = 3.35</t>
  </si>
  <si>
    <t>So, the equation “=V37*K37” was inserted into cell X37.</t>
  </si>
  <si>
    <t>Column Y:</t>
  </si>
  <si>
    <r>
      <rPr>
        <sz val="10"/>
        <color rgb="FF000000"/>
        <rFont val="Arial"/>
      </rPr>
      <t xml:space="preserve">“combine ingredients”: </t>
    </r>
    <r>
      <rPr>
        <b/>
        <sz val="10"/>
        <color rgb="FF000000"/>
        <rFont val="Arial"/>
      </rPr>
      <t>The cells from Column X are combined for all related ingredients, if applicable</t>
    </r>
  </si>
  <si>
    <t>“Related ingredients” are ingredients in Column W that are all made from the same constituent part</t>
  </si>
  <si>
    <t>Ingredients were combined in order to see an overview of the final recipe.</t>
  </si>
  <si>
    <t>Here is a list of the categories that define the "parent ingredients", and the subcategories of "related ingredients", aka "contributing ingredients":</t>
  </si>
  <si>
    <t>"Parent Ingredients"</t>
  </si>
  <si>
    <t>"Related Ingredients"/"Contributing ingredients"/"Constituent Ingredients"</t>
  </si>
  <si>
    <t>Barley</t>
  </si>
  <si>
    <t>dry barley, malted barley flour</t>
  </si>
  <si>
    <t>Beans</t>
  </si>
  <si>
    <t>kidney beans, navy beans, lima beans, black beans</t>
  </si>
  <si>
    <t>Beef</t>
  </si>
  <si>
    <t>Chocolate</t>
  </si>
  <si>
    <t>cacao, chocolate, chocolate candies, milk chocolate candies, cocoa butter, cocoa, cocoa powder, milk chocolate bar, dark chocolate bar, unsweetened baking chocolate</t>
  </si>
  <si>
    <t>corn, whole corn, whole grain corn, corn kernels, corn starch, corn flour, corn bran, corn oil, corn syrup, light corn syrup, cornmeal, high-fructose corn syrup, air-popped popcorn</t>
  </si>
  <si>
    <t>Cow dairy</t>
  </si>
  <si>
    <t>milk, whole milk, skim milk, 1% milk, 2% milk, sweet whey, sweet whey dried, butter, cheese, milk powder, sour cream, plain yogurt, buttermilk, cream</t>
  </si>
  <si>
    <t>Eggs</t>
  </si>
  <si>
    <t>any fruits; examples: flyog11d (all fruits: strawberry, banana, blueberry, raspberry); othjf11d (all fruits: cranberry juice, canned unsweetened pineapple juice, frozen grape juice from concentrate, pomegranate juice); peach11d (all fruits: peaches, apple juice, plums); and brbar11d (cranberries, strawberries)</t>
  </si>
  <si>
    <t>oat fiber, oats, oat germ, oat bran, rolled oats, quick oats, steel-cut oats, cooked oats</t>
  </si>
  <si>
    <t>Palm</t>
  </si>
  <si>
    <t>palm oil, partially/fully hydrogenated palm oil, palm oil shortening, palm kernel oil, partially/fully hydrogenated palm kernel oil, fractionated palm oil</t>
  </si>
  <si>
    <t>Potato</t>
  </si>
  <si>
    <t>potato, microwaved potato, mashed potato</t>
  </si>
  <si>
    <t>white rice, brown rice, white rice flour, rice flour, puffed rice, rice syrup</t>
  </si>
  <si>
    <t>Salmon</t>
  </si>
  <si>
    <t>dry heat cooked chum salmon, canned pink salmon with bones/liquid, dry heat cooked pink salmon, dry heat cooked farmed atlantic salmon</t>
  </si>
  <si>
    <t>Soybean</t>
  </si>
  <si>
    <t>soybeans, soybean oil, partially/fully hydrogenated soybean oil, soybean oil, soy lecithin, soy isolate, tofu, soy milk, soybean flour, soybean oil interesified</t>
  </si>
  <si>
    <t>Sugar</t>
  </si>
  <si>
    <t>white sugar, turbinado, powdered sugar, cane sugar, brown sugar, molasses</t>
  </si>
  <si>
    <t>whole wheat flour, wheat flour all-purpose, all-purpose flour, wheat kernels, gluten, bran, germ, wheat germ, wheat gluten, wheaties, cracked wheat, spaghetti, farina</t>
  </si>
  <si>
    <t>e.g. toj11d: Here we combined celery, peppers, beets, parsley, iceberg lettuce, and raw spinach because they make up such a large proportion of the recipe AND Gidon's spreadsheet accounts for "mixed vegetables". (The same combination was formed in chowd11d to see if the garlic powder, onions, parsley and celery would make up 5% of the recipe, but they did not)</t>
  </si>
  <si>
    <t>Calculations in Column Y include only ingredients within each FFQ item (between the thick lines); and across the sub-recipes (thin lines).</t>
  </si>
  <si>
    <t>Remember: thick lines indicate the beginning and end of an FFQ item, and thin lines indicate the divisions between sub-recipes of each FFQ item.</t>
  </si>
  <si>
    <t>These items were combined into the topmost cell in the list of the related ingredients.</t>
  </si>
  <si>
    <r>
      <t xml:space="preserve">For the ingredient, </t>
    </r>
    <r>
      <rPr>
        <i/>
        <sz val="10"/>
        <rFont val="Arial"/>
      </rPr>
      <t>water</t>
    </r>
    <r>
      <rPr>
        <sz val="10"/>
        <color rgb="FF000000"/>
        <rFont val="Arial"/>
      </rPr>
      <t xml:space="preserve">, we continued the blue highlight and </t>
    </r>
    <r>
      <rPr>
        <i/>
        <sz val="10"/>
        <rFont val="Arial"/>
      </rPr>
      <t>italicized font</t>
    </r>
    <r>
      <rPr>
        <sz val="10"/>
        <color rgb="FF000000"/>
        <rFont val="Arial"/>
      </rPr>
      <t xml:space="preserve"> in only the topmost row until end of row if water makes up &gt;5% of recipe</t>
    </r>
  </si>
  <si>
    <t>An asterisk (*) was placed in all other cells that contribute to this sum</t>
  </si>
  <si>
    <t>If any cell was less than 5, we put a strikethrough the font.</t>
  </si>
  <si>
    <t>If this cell is a combination of ingredients, we put a dash (-) in any contributing item cell related to it.</t>
  </si>
  <si>
    <t>All of these ingredients were removed from the final recipe.</t>
  </si>
  <si>
    <t>These combinations may be redivided in the following column if the related ingredients take different forms, like liquid or solid (e.g. corn starch and corn syrup were redivided)</t>
  </si>
  <si>
    <t xml:space="preserve">sherb11d: </t>
  </si>
  <si>
    <t>In the row corresponding to skim milk, cell Y37 adds all “cow dairy” values from Column X that correspond to sherb11d. This includes:</t>
  </si>
  <si>
    <t>Skim milk (rows 37, 59, 67, 78, 97, and 110)</t>
  </si>
  <si>
    <t>Cream (rows 45, 64, 74, 83, 92, and 98)</t>
  </si>
  <si>
    <t>Butter (rows 47 and 87)</t>
  </si>
  <si>
    <t>Plain yogurt (row 58)</t>
  </si>
  <si>
    <t>Sweet whey dried (rows 69 and 102)</t>
  </si>
  <si>
    <t>Sweet whey (rows 70 and 111)</t>
  </si>
  <si>
    <t>Whole milk (rows 73, 96, and 109)</t>
  </si>
  <si>
    <t>Milk powder (row 88)</t>
  </si>
  <si>
    <t>Therefore, the equation, “=sum(X37,X59,X67,X78,X97,X110,X47,X58,X64,X73,X88,X96,X109,X69,X70,X102,X45,X74,X83,X92,X98,X111,X87)” was inserted into cell Y37.</t>
  </si>
  <si>
    <t>There may be doubles of some ingredients because this is the step where numerous recipes may be combined, and many similar recipes include the same ingredients.</t>
  </si>
  <si>
    <t>Similarly, the topmost cell corresponding to the parent ingredient “corn” is corn syrup (in row 40). Cell Y40, adds all “corn” values from Column X that correspond to sherb11d. This includes:</t>
  </si>
  <si>
    <t>Corn syrup (rows 40, 46, 61, 63, 79, 86, 100, 112, 117, and 118)</t>
  </si>
  <si>
    <t>Corn starch (rows 57, 62, 68, 106)</t>
  </si>
  <si>
    <t>Column Z:</t>
  </si>
  <si>
    <r>
      <rPr>
        <sz val="10"/>
        <color rgb="FF000000"/>
        <rFont val="Arial"/>
      </rPr>
      <t xml:space="preserve">“redivide ingredients”: </t>
    </r>
    <r>
      <rPr>
        <b/>
        <sz val="10"/>
        <color rgb="FF000000"/>
        <rFont val="Arial"/>
      </rPr>
      <t>Redivide ingredients from Column Y that took different forms (liquid or solid), or that have vastly different environmental effects</t>
    </r>
  </si>
  <si>
    <t>We redivided only cells that are 5% or above in Column Y.</t>
  </si>
  <si>
    <t>Items in Column Z are less than 5% when they are contributing items to ingredients that comprise 5% or more of the recipe.</t>
  </si>
  <si>
    <t>These specific redivisions may allow this FFQ constituents database to be applicable to more detailed databases that take into account differing environmental calculations</t>
  </si>
  <si>
    <t>Here is a list of the"parent ingredients", that have "contributing/constituent ingredients" that were redivided:</t>
  </si>
  <si>
    <t>"Contributing ingredients"/"Constituent Ingredients"/"Related Ingredients"</t>
  </si>
  <si>
    <t>Additional comments</t>
  </si>
  <si>
    <t>kidney beans ≠ navy beans ≠ lima beans ≠ black beans</t>
  </si>
  <si>
    <t>[cocoa, cacao, unsweetened baking chocolate, cocoa powder] ≠ [milk chocolate, chocolate, chocolate candies, milk chocolate bar] ≠ dark chocolate bar ≠ cocoa butter</t>
  </si>
  <si>
    <t>Current participating environmental datasets do not differentiate between cocoa butter, pure cacao, or even between prepared chocolates with varying degrees of sugar or milk added.</t>
  </si>
  <si>
    <t>[corn, whole corn, whole grain corn, corn kernels, corn starch, corn flour, cornmeal] ≠ [corn bran] ≠ [corn oil, corn syrup, light corn syrup] ≠ [high fructose corn syrup] ≠ air-popped popcorn</t>
  </si>
  <si>
    <t>With the understanding that all of the dried corn products vary only in their fineness of grind, of which there aren’t any foreseeable studies, we have decided to keep them in one category.
A much higher quantity of corn is necessary to produce oil or syrups and thus the categories are mainly drawn along liquid/solid lines.
High-fructose corn syrup was isolated as separate from corn oil, corn syrup, and light corn syrup because of the extra processing necessary to produce it, and the substantial research conducted on it.</t>
  </si>
  <si>
    <t>[milk, whole milk] ≠ skim milk ≠ 1% milk ≠ 2% milk ≠ sweet whey ≠ sweet whey dried ≠ butter ≠ cheese ≠ milk powder ≠ sour cream ≠ yogurt plain ≠ buttermilk ≠ cream</t>
  </si>
  <si>
    <t>Current participating environmental datasets do not differentiate between whole milk, 1% milk, or 2% milk.</t>
  </si>
  <si>
    <t>cranberry juice ≠ canned unsweetened pineapple juice ≠ frozen grape juice from concentrate ≠ pomegranate juice ≠ peaches ≠ apple juice ≠ plums ≠ cranberries ≠ strawberries</t>
  </si>
  <si>
    <t>Separate all fruits if they make up 5% or more of the recipe.
Ex: othjf11d (cranberry juice, canned unsweetened pineapple juice, frozen grape juice from concentrate, pomegranate juice); peach11d (peaches, apple juice, plums); brbar11d (cranberries, strawberries)</t>
  </si>
  <si>
    <t>[oats, rolled oats, quick oats, steel-cut oats] ≠ [oat germ, oat bran, oat fiber] ≠ cooked oats</t>
  </si>
  <si>
    <t>Cooked oats certainly need to be handled differently than dry oats in order to convert the environmental data accordingly.</t>
  </si>
  <si>
    <t>[palm oil, partially/fully hydrogenated palm oil, palm oil shortening] ≠ palm kernel oils ≠ fractionated palm oil</t>
  </si>
  <si>
    <t>[white rice, white rice flour, puffed rice] ≠ [brown rice, brown rice flour] ≠ rice syrup</t>
  </si>
  <si>
    <t>[soybeans, soybean flour, soy isolate] ≠ [soybean oil, partially/fully hydrogenated soybean oil, soy lecithin, soybean oil interesified] ≠ tofu ≠ soy milk</t>
  </si>
  <si>
    <t>[white sugar, turbinado, powdered sugar, cane sugar, brown sugar] ≠ molasses</t>
  </si>
  <si>
    <t>Wet ingredients need to be converted to the dry ingredient quantities in order to correspond to environmental data accurately</t>
  </si>
  <si>
    <t>[whole wheat flour, wheat flour all-purpose, all-purpose flour, wheat kernels, cracked wheat, farina] ≠ [gluten, wheat gluten] ≠ bran ≠ [germ, wheat germ] ≠ wheaties ≠ spaghetti</t>
  </si>
  <si>
    <t>Fish</t>
  </si>
  <si>
    <t>lobster ≠ crab ≠ shrimp ≠ clams ≠ oysters ≠ tuna ≠ salmon ≠ sardines ≠ bluefish ≠ herring ≠ swordfish ≠ pollock ≠ catfish ≠ tilapia ≠ cod ≠ flatfish ≠ halibut ≠ haddock</t>
  </si>
  <si>
    <t>Here is a list of the "parent ingredients" that have "contributing ingredients" that were kept combined:</t>
  </si>
  <si>
    <t>all that were combined in previous column</t>
  </si>
  <si>
    <t>"Miscellaneous item":</t>
  </si>
  <si>
    <t>This is the total of all items that make up 5% or less of the recipe.</t>
  </si>
  <si>
    <t>These were added in the lowest cell of Column Z that has a strikethrough or dash (-).</t>
  </si>
  <si>
    <t>If two or more of the largest items in the "miscillaneous item" category make up the same percentage of the recipe, and together add up to cause the miscellaneous food item to equal &gt;5%, they will be each be added to the final recipe</t>
  </si>
  <si>
    <t>whbr11d:</t>
  </si>
  <si>
    <t>The items that individually contribute &lt;5% of the recipe are:</t>
  </si>
  <si>
    <t>Salt (1.352265%)</t>
  </si>
  <si>
    <t>Bulgar (1.352265%)</t>
  </si>
  <si>
    <t>Honey (1.352265%)</t>
  </si>
  <si>
    <t>Vinegar (0.676132%)</t>
  </si>
  <si>
    <t>Sugar (0.608519%)</t>
  </si>
  <si>
    <t>Rapeseed oil (0.40567%)</t>
  </si>
  <si>
    <t>Together, these add up to 5.75% of the recipe, which is above 5% of the recipe</t>
  </si>
  <si>
    <t>Since salt, bulgar, and honey each make up the same percentage of the recipe, they will all be included in the final recipe, leaving the miscillaneous food item at 1.7%.</t>
  </si>
  <si>
    <t>Miscellaneous item (1.7%)</t>
  </si>
  <si>
    <t>Carry over the cells from column Y that don’t need to be redivided</t>
  </si>
  <si>
    <t>Equation: Column Z = Column X, or Column Y (whichever is most accurate)</t>
  </si>
  <si>
    <t>We also used this equation if there was an asterisk or a dash in Column Y.</t>
  </si>
  <si>
    <t>If there is a number with a strikethrough it in Column Y, next to an empty Column Z cell, add a dash (-) to the Column Z cell.</t>
  </si>
  <si>
    <t>sherb11d: In the row corresponding to skim milk, cell Z37, we redivided the “cow dairy” values from Column Y according to the categories just described. Therefore:</t>
  </si>
  <si>
    <t>Skim milk is an equation that only accounts for skim milk values, and therefore looks as follows: “=sum(X37,X59,X67,X78,X97,X110,X88)”</t>
  </si>
  <si>
    <t>Cream is an equation that only accounts for cream values, and therefore looks as follows: “=sum(X45,X64,X74,X83,X92,X98)”</t>
  </si>
  <si>
    <t>Butter is an equation that only accounts for butter values, and therefore looks as follows: “=sum(X47,X87)”</t>
  </si>
  <si>
    <t>Plain yogurt only accounts for plain yogurt values, and therefore looks as follows: “=X58”</t>
  </si>
  <si>
    <t>Sweet whey dried only accounts for sweet whey dried values, and therefore looks as follows: “=sum(X69,X102)”</t>
  </si>
  <si>
    <t>Sweet whey (as a liquid) only accounts for sweet whey values, and therefore looks as follows: “=sum(X70,X111)”</t>
  </si>
  <si>
    <t>Whole milk only accounts for whole milk values, and therefore looks as follows: “=sum(X73,X96,X109)”</t>
  </si>
  <si>
    <t>Milk powder only accounts for milk powder values, and therefore looks as follows: “=X88”</t>
  </si>
  <si>
    <t>Column AA:</t>
  </si>
  <si>
    <r>
      <rPr>
        <sz val="10"/>
        <color rgb="FF000000"/>
        <rFont val="Arial"/>
      </rPr>
      <t xml:space="preserve">“BASIC FFQ RECIPE %”: </t>
    </r>
    <r>
      <rPr>
        <b/>
        <sz val="10"/>
        <color rgb="FF000000"/>
        <rFont val="Arial"/>
      </rPr>
      <t>The final calculation from Columns X-Z was recorded in column AA, rounded to the nearest 10th of a decimal point.</t>
    </r>
  </si>
  <si>
    <t>This column should be equal to Column Z (albeit rounded).</t>
  </si>
  <si>
    <t>All ≥5% are listed here, in addition to all contributing item percentages.</t>
  </si>
  <si>
    <t>A dash (-) was placed in any row that was not used.</t>
  </si>
  <si>
    <t>Column AB:</t>
  </si>
  <si>
    <r>
      <rPr>
        <sz val="10"/>
        <color rgb="FF000000"/>
        <rFont val="Arial"/>
      </rPr>
      <t xml:space="preserve">“BASIC FFQ RECIPE”: </t>
    </r>
    <r>
      <rPr>
        <b/>
        <sz val="10"/>
        <color rgb="FF000000"/>
        <rFont val="Arial"/>
      </rPr>
      <t>Write the corresponding food item to the final calculation in Column AB</t>
    </r>
  </si>
  <si>
    <t>For all contributing items, the parent ingredient was documented by being written in parentheses with an equal (=) sign</t>
  </si>
  <si>
    <t>Parent ingredients are those categories within constituents ingredients were combined and redivided. These are “barley”, “beans”, “chocolate”, “chicken”, “corn”, “cow dairy”, “eggs”, “fruits”, “oat”, “palm”, “potato”, “soybean”, “sugar”, “wheat”, “vegetables”, and “fish”.</t>
  </si>
  <si>
    <t>sherb11d recipe:  neither corn syrup nor cornstarch equal 5% in column AA, but together they add up to above 5% of the final recipe. Because they are both constituent items of the same parent ingredient, “(=corn)” is included in Column AB.</t>
  </si>
  <si>
    <t>The rows that do not have a value either have an asterisk (*) or a dash (-). For these rows, Column AB should include an equation that makes each cell equal to its adjacent cell.</t>
  </si>
  <si>
    <t>For an asterisk example: In the sherb11d recipe, sugar in row 41 has an asterisk in place of a value because the value is included in the ingredient, sugar, listed above it. Therefore, cell AB41 includes the equation, “=AA41” and therefore reflects the adjacent asterisk.</t>
  </si>
  <si>
    <t>For a dash example: In the sherb11d recipe, wheat flour, all-purpose in row 42 has a dash in place of a value because it does not compose ≥5% of the final recipe (as shown in Column Y). Therefore, cell AB42 includes the equation, “=AA42” and therefore reflects the adjacent dash.</t>
  </si>
  <si>
    <t>Columns AC &amp; AD:</t>
  </si>
  <si>
    <r>
      <t xml:space="preserve">"ENVIRONMENT item name" and "Cell in Gidon's Doc": </t>
    </r>
    <r>
      <rPr>
        <b/>
        <sz val="10"/>
        <rFont val="Arial"/>
      </rPr>
      <t>References an incomplete document</t>
    </r>
    <r>
      <rPr>
        <sz val="10"/>
        <color rgb="FF000000"/>
        <rFont val="Arial"/>
      </rPr>
      <t xml:space="preserve"> ("Akshay's database")</t>
    </r>
  </si>
  <si>
    <t>Column AE:</t>
  </si>
  <si>
    <t>"ENV land needs, loss-adjusted m2-yr/1g"</t>
  </si>
  <si>
    <t>Figures retrieved from "Assumptions" sheet within this document, column K</t>
  </si>
  <si>
    <t>Many of these figures were calculated in "Additional calculations" sheet within this document.</t>
  </si>
  <si>
    <t>Much of the data calculated was derived from Gidon's MAD document, Janiszewski's research, and Swaminathan's database.</t>
  </si>
  <si>
    <t>Column AF:</t>
  </si>
  <si>
    <t>"ENV NR needs, loss-adjusted, gNr/1g"</t>
  </si>
  <si>
    <t>Figures retrieved from "Assumptions" sheet within this document, column L</t>
  </si>
  <si>
    <t>Column AG:</t>
  </si>
  <si>
    <t>"ENV blue water needs m^3/1g"</t>
  </si>
  <si>
    <t>Figures retrieved from "Assumptions" sheet within this document, column M</t>
  </si>
  <si>
    <t>Column AH:</t>
  </si>
  <si>
    <t>"ENV GHG emission kg CO2eq/1g"</t>
  </si>
  <si>
    <t>Figures retrieved from "Assumptions" sheet within this document, column N</t>
  </si>
  <si>
    <t>Loss-adjustment calculations can be found in the supplementary materials of the following papers:</t>
  </si>
  <si>
    <t>Eshel G, Shepon A, Makov T, Milo R. Partitioning united states' feed consumption among livestock categories for improved environmental cost assessments. The Journal of Agricultural Science. 2015;153(3):432-45.</t>
  </si>
  <si>
    <t>Eshel G, Shepon A, Makov T, Milo R. Land, irrigation water, greenhouse gas, and reactive nitrogen burdens of meat, eggs, and dairy production in the united states. Proceedings of the National Academy of Sciences. 2014;111(33):11996-2001.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</si>
</sst>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000000000"/>
    <numFmt numFmtId="165" formatCode="m\-d"/>
    <numFmt numFmtId="166" formatCode="0.000"/>
    <numFmt numFmtId="167" formatCode="#,##0.00000000"/>
    <numFmt numFmtId="168" formatCode="0.000%"/>
    <numFmt numFmtId="169" formatCode="0.000000000"/>
    <numFmt numFmtId="170" formatCode="m/d"/>
    <numFmt numFmtId="171" formatCode="#,##0.00000"/>
    <numFmt numFmtId="172" formatCode="#,##0.000000000"/>
    <numFmt numFmtId="173" formatCode="#,##0.0000000"/>
    <numFmt numFmtId="174" formatCode="0.0"/>
    <numFmt numFmtId="175" formatCode="#,##0.000000000000"/>
    <numFmt numFmtId="176" formatCode="0.000000000000"/>
    <numFmt numFmtId="177" formatCode="0.0000"/>
    <numFmt numFmtId="178" formatCode="0.00000000000"/>
  </numFmts>
  <fonts count="89">
    <font>
      <sz val="10"/>
      <color rgb="FF000000"/>
      <name val="Arial"/>
    </font>
    <font>
      <sz val="10"/>
      <name val="Arial"/>
    </font>
    <font>
      <sz val="12"/>
      <name val="Arial"/>
    </font>
    <font>
      <b/>
      <sz val="10"/>
      <name val="Arial"/>
    </font>
    <font>
      <sz val="10"/>
      <color rgb="FF000000"/>
      <name val="Arial"/>
    </font>
    <font>
      <u/>
      <sz val="10"/>
      <color rgb="FF0000FF"/>
      <name val="Arial"/>
    </font>
    <font>
      <sz val="10"/>
      <color rgb="FF000000"/>
      <name val="Roboto"/>
    </font>
    <font>
      <u/>
      <sz val="10"/>
      <color rgb="FF000000"/>
      <name val="Arial"/>
    </font>
    <font>
      <sz val="10"/>
      <color rgb="FF222222"/>
      <name val="Arial"/>
    </font>
    <font>
      <u/>
      <sz val="10"/>
      <color rgb="FF1155CC"/>
      <name val="Arial"/>
    </font>
    <font>
      <sz val="11"/>
      <color rgb="FF000000"/>
      <name val="Inconsolata"/>
    </font>
    <font>
      <b/>
      <i/>
      <sz val="10"/>
      <name val="Arial"/>
    </font>
    <font>
      <i/>
      <sz val="10"/>
      <name val="Arial"/>
    </font>
    <font>
      <sz val="10"/>
      <color rgb="FF1155CC"/>
      <name val="Arial"/>
    </font>
    <font>
      <sz val="11"/>
      <color rgb="FF000000"/>
      <name val="Calibri"/>
    </font>
    <font>
      <sz val="9"/>
      <color rgb="FF454545"/>
      <name val="&quot;Helvetica Neue&quot;"/>
    </font>
    <font>
      <strike/>
      <sz val="10"/>
      <name val="Arial"/>
    </font>
    <font>
      <b/>
      <strike/>
      <sz val="11"/>
      <color rgb="FF000000"/>
      <name val="Calibri"/>
    </font>
    <font>
      <b/>
      <sz val="24"/>
      <name val="Arial"/>
    </font>
    <font>
      <b/>
      <sz val="11"/>
      <color rgb="FF000000"/>
      <name val="Calibri"/>
    </font>
    <font>
      <b/>
      <sz val="12"/>
      <name val="Arial"/>
    </font>
    <font>
      <sz val="11"/>
      <name val="Calibri"/>
    </font>
    <font>
      <b/>
      <strike/>
      <sz val="10"/>
      <name val="Arial"/>
    </font>
    <font>
      <sz val="11"/>
      <color rgb="FF2E2E2E"/>
      <name val="NexusSerif"/>
    </font>
    <font>
      <b/>
      <sz val="12"/>
      <color rgb="FF000000"/>
      <name val="Arial"/>
    </font>
    <font>
      <b/>
      <sz val="11"/>
      <color rgb="FF000000"/>
      <name val="Docs-Calibri"/>
    </font>
    <font>
      <sz val="8"/>
      <color rgb="FF5F6368"/>
      <name val="Roboto"/>
    </font>
    <font>
      <sz val="11"/>
      <color rgb="FF000000"/>
      <name val="Docs-Calibri"/>
    </font>
    <font>
      <b/>
      <sz val="10"/>
      <color rgb="FF000000"/>
      <name val="Arial"/>
    </font>
    <font>
      <i/>
      <strike/>
      <sz val="10"/>
      <name val="Arial"/>
    </font>
    <font>
      <u/>
      <sz val="10"/>
      <color rgb="FF222222"/>
      <name val="Arial"/>
    </font>
    <font>
      <u/>
      <sz val="9"/>
      <color rgb="FF202122"/>
      <name val="Sans-serif"/>
    </font>
    <font>
      <strike/>
      <sz val="10"/>
      <color rgb="FF000000"/>
      <name val="Arial"/>
    </font>
    <font>
      <sz val="12"/>
      <color rgb="FF000000"/>
      <name val="Calibri"/>
    </font>
    <font>
      <b/>
      <sz val="10"/>
      <color rgb="FF222222"/>
      <name val="Arial"/>
    </font>
    <font>
      <b/>
      <sz val="11"/>
      <color rgb="FF2E2E2E"/>
      <name val="NexusSerif"/>
    </font>
    <font>
      <strike/>
      <sz val="10"/>
      <color rgb="FF0000FF"/>
      <name val="Arial"/>
    </font>
    <font>
      <sz val="13"/>
      <color rgb="FF212121"/>
      <name val="&quot;Source Sans Pro&quot;"/>
    </font>
    <font>
      <b/>
      <sz val="24"/>
      <color rgb="FF000000"/>
      <name val="Arial"/>
    </font>
    <font>
      <sz val="11"/>
      <color rgb="FF000000"/>
      <name val="Arial"/>
    </font>
    <font>
      <sz val="9"/>
      <name val="Arial"/>
    </font>
    <font>
      <sz val="9"/>
      <color rgb="FF000000"/>
      <name val="Calibri"/>
    </font>
    <font>
      <b/>
      <sz val="11"/>
      <name val="Calibri"/>
    </font>
    <font>
      <b/>
      <i/>
      <sz val="11"/>
      <color rgb="FF000000"/>
      <name val="Calibri"/>
    </font>
    <font>
      <i/>
      <sz val="10"/>
      <color rgb="FF000000"/>
      <name val="Arial"/>
    </font>
    <font>
      <b/>
      <i/>
      <sz val="10"/>
      <color rgb="FF000000"/>
      <name val="Arial"/>
    </font>
    <font>
      <u/>
      <sz val="10"/>
      <name val="Arial"/>
    </font>
    <font>
      <u/>
      <sz val="10"/>
      <color rgb="FF000000"/>
      <name val="Helvetica"/>
    </font>
    <font>
      <u/>
      <sz val="11"/>
      <color rgb="FF0000FF"/>
      <name val="Calibri"/>
    </font>
    <font>
      <b/>
      <sz val="14"/>
      <name val="Arial"/>
    </font>
    <font>
      <sz val="14"/>
      <name val="Arial"/>
    </font>
    <font>
      <sz val="10"/>
      <color rgb="FF500050"/>
      <name val="Arial"/>
    </font>
    <font>
      <sz val="14"/>
      <color rgb="FF222222"/>
      <name val="Arial"/>
    </font>
    <font>
      <sz val="11"/>
      <name val="Arial"/>
    </font>
    <font>
      <b/>
      <sz val="11"/>
      <color rgb="FF000000"/>
      <name val="Arial"/>
    </font>
    <font>
      <sz val="10"/>
      <color rgb="FF000000"/>
      <name val="Calibri"/>
    </font>
    <font>
      <sz val="10"/>
      <color rgb="FF333333"/>
      <name val="Arial"/>
    </font>
    <font>
      <sz val="10"/>
      <color rgb="FF212121"/>
      <name val="Arial"/>
    </font>
    <font>
      <b/>
      <sz val="10"/>
      <color rgb="FF212121"/>
      <name val="Arial"/>
    </font>
    <font>
      <sz val="11"/>
      <name val="Inconsolata"/>
    </font>
    <font>
      <i/>
      <sz val="11"/>
      <color rgb="FF000000"/>
      <name val="Inconsolata"/>
    </font>
    <font>
      <sz val="10"/>
      <color rgb="FF3C78D8"/>
      <name val="Arial"/>
    </font>
    <font>
      <sz val="10"/>
      <color rgb="FF9900FF"/>
      <name val="Arial"/>
    </font>
    <font>
      <b/>
      <sz val="18"/>
      <color rgb="FFFF0000"/>
      <name val="Arial"/>
    </font>
    <font>
      <b/>
      <sz val="12"/>
      <color rgb="FFFF0000"/>
      <name val="Arial"/>
    </font>
    <font>
      <sz val="12"/>
      <color rgb="FFFF0000"/>
      <name val="Arial"/>
    </font>
    <font>
      <sz val="10"/>
      <name val="arial,sans,sans-serif"/>
    </font>
    <font>
      <u/>
      <sz val="10"/>
      <color rgb="FF1155CC"/>
      <name val="arial,sans,sans-serif"/>
    </font>
    <font>
      <sz val="10"/>
      <color rgb="FF000000"/>
      <name val="arial, sans, sans-serif"/>
    </font>
    <font>
      <u/>
      <sz val="10"/>
      <color rgb="FF1155CC"/>
      <name val="arial, sans, sans-serif"/>
    </font>
    <font>
      <b/>
      <u/>
      <sz val="11"/>
      <color rgb="FF000000"/>
      <name val="Calibri"/>
    </font>
    <font>
      <sz val="10"/>
      <color rgb="FF222222"/>
      <name val="Arial, sans-serif"/>
    </font>
    <font>
      <u/>
      <sz val="10"/>
      <color rgb="FF1155CC"/>
      <name val="Arial, sans-serif"/>
    </font>
    <font>
      <b/>
      <u/>
      <sz val="10"/>
      <color rgb="FF000000"/>
      <name val="Arial"/>
    </font>
    <font>
      <strike/>
      <sz val="10"/>
      <color rgb="FF1155CC"/>
      <name val="Arial"/>
    </font>
    <font>
      <sz val="10"/>
      <color rgb="FF000000"/>
      <name val="Helvetica"/>
    </font>
    <font>
      <u/>
      <sz val="10"/>
      <color rgb="FF1155CC"/>
      <name val="Helvetica"/>
    </font>
    <font>
      <u/>
      <sz val="11"/>
      <color rgb="FF1155CC"/>
      <name val="Calibri"/>
    </font>
    <font>
      <b/>
      <u/>
      <sz val="10"/>
      <name val="Arial"/>
    </font>
    <font>
      <sz val="8"/>
      <name val="Arial"/>
    </font>
    <font>
      <b/>
      <sz val="8"/>
      <name val="Arial"/>
    </font>
    <font>
      <b/>
      <u/>
      <sz val="20"/>
      <color rgb="FF000000"/>
      <name val="Arial"/>
    </font>
    <font>
      <b/>
      <sz val="20"/>
      <color rgb="FF000000"/>
      <name val="Arial"/>
    </font>
    <font>
      <b/>
      <u/>
      <sz val="12"/>
      <color rgb="FF000000"/>
      <name val="Arial"/>
    </font>
    <font>
      <sz val="12"/>
      <color rgb="FF000000"/>
      <name val="Arial"/>
    </font>
    <font>
      <sz val="24"/>
      <color rgb="FF000000"/>
      <name val="Arial"/>
    </font>
    <font>
      <sz val="18"/>
      <color rgb="FF000000"/>
      <name val="Arial"/>
    </font>
    <font>
      <b/>
      <sz val="16"/>
      <color rgb="FFFF0000"/>
      <name val="Arial"/>
    </font>
    <font>
      <b/>
      <sz val="11"/>
      <name val="Arial"/>
    </font>
  </fonts>
  <fills count="24">
    <fill>
      <patternFill patternType="none"/>
    </fill>
    <fill>
      <patternFill patternType="gray125"/>
    </fill>
    <fill>
      <patternFill patternType="solid">
        <fgColor rgb="FFCCCCCC"/>
        <bgColor rgb="FFCCCCCC"/>
      </patternFill>
    </fill>
    <fill>
      <patternFill patternType="solid">
        <fgColor rgb="FFD9D9D9"/>
        <bgColor rgb="FFD9D9D9"/>
      </patternFill>
    </fill>
    <fill>
      <patternFill patternType="solid">
        <fgColor rgb="FFFFFFFF"/>
        <bgColor rgb="FFFFFFFF"/>
      </patternFill>
    </fill>
    <fill>
      <patternFill patternType="solid">
        <fgColor rgb="FF000000"/>
        <bgColor rgb="FF000000"/>
      </patternFill>
    </fill>
    <fill>
      <patternFill patternType="solid">
        <fgColor rgb="FFFFFF00"/>
        <bgColor rgb="FFFFFF00"/>
      </patternFill>
    </fill>
    <fill>
      <patternFill patternType="solid">
        <fgColor rgb="FFD5A6BD"/>
        <bgColor rgb="FFD5A6BD"/>
      </patternFill>
    </fill>
    <fill>
      <patternFill patternType="solid">
        <fgColor rgb="FFCEF60C"/>
        <bgColor rgb="FFCEF60C"/>
      </patternFill>
    </fill>
    <fill>
      <patternFill patternType="solid">
        <fgColor rgb="FFF3F3F3"/>
        <bgColor rgb="FFF3F3F3"/>
      </patternFill>
    </fill>
    <fill>
      <patternFill patternType="solid">
        <fgColor rgb="FFFF0000"/>
        <bgColor rgb="FFFF0000"/>
      </patternFill>
    </fill>
    <fill>
      <patternFill patternType="solid">
        <fgColor rgb="FFCCE9FF"/>
        <bgColor rgb="FFCCE9FF"/>
      </patternFill>
    </fill>
    <fill>
      <patternFill patternType="solid">
        <fgColor rgb="FFFCE5CD"/>
        <bgColor rgb="FFFCE5CD"/>
      </patternFill>
    </fill>
    <fill>
      <patternFill patternType="solid">
        <fgColor rgb="FFA066FF"/>
        <bgColor rgb="FFA066FF"/>
      </patternFill>
    </fill>
    <fill>
      <patternFill patternType="solid">
        <fgColor rgb="FFFF00FF"/>
        <bgColor rgb="FFFF00FF"/>
      </patternFill>
    </fill>
    <fill>
      <patternFill patternType="solid">
        <fgColor rgb="FFD9D2E9"/>
        <bgColor rgb="FFD9D2E9"/>
      </patternFill>
    </fill>
    <fill>
      <patternFill patternType="solid">
        <fgColor rgb="FFEAD1DC"/>
        <bgColor rgb="FFEAD1DC"/>
      </patternFill>
    </fill>
    <fill>
      <patternFill patternType="solid">
        <fgColor rgb="FF00FF00"/>
        <bgColor rgb="FF00FF00"/>
      </patternFill>
    </fill>
    <fill>
      <patternFill patternType="solid">
        <fgColor rgb="FFC9DAF8"/>
        <bgColor rgb="FFC9DAF8"/>
      </patternFill>
    </fill>
    <fill>
      <patternFill patternType="solid">
        <fgColor rgb="FFEFEFEF"/>
        <bgColor rgb="FFEFEFEF"/>
      </patternFill>
    </fill>
    <fill>
      <patternFill patternType="solid">
        <fgColor rgb="FFA2C4C9"/>
        <bgColor rgb="FFA2C4C9"/>
      </patternFill>
    </fill>
    <fill>
      <patternFill patternType="solid">
        <fgColor rgb="FFD9EAD3"/>
        <bgColor rgb="FFD9EAD3"/>
      </patternFill>
    </fill>
    <fill>
      <patternFill patternType="solid">
        <fgColor rgb="FF999999"/>
        <bgColor rgb="FF999999"/>
      </patternFill>
    </fill>
    <fill>
      <patternFill patternType="solid">
        <fgColor rgb="FFFFFFFF"/>
        <bgColor indexed="64"/>
      </patternFill>
    </fill>
  </fills>
  <borders count="117">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ck">
        <color rgb="FF000000"/>
      </left>
      <right style="thin">
        <color rgb="FF000000"/>
      </right>
      <top style="thick">
        <color rgb="FF000000"/>
      </top>
      <bottom style="thin">
        <color rgb="FF000000"/>
      </bottom>
      <diagonal/>
    </border>
    <border>
      <left style="thick">
        <color rgb="FF000000"/>
      </left>
      <right style="thin">
        <color rgb="FF000000"/>
      </right>
      <top/>
      <bottom/>
      <diagonal/>
    </border>
    <border>
      <left style="thick">
        <color rgb="FF000000"/>
      </left>
      <right style="thin">
        <color rgb="FF000000"/>
      </right>
      <top style="thick">
        <color rgb="FF000000"/>
      </top>
      <bottom style="thick">
        <color rgb="FF000000"/>
      </bottom>
      <diagonal/>
    </border>
    <border>
      <left style="thick">
        <color rgb="FF000000"/>
      </left>
      <right style="thin">
        <color rgb="FF000000"/>
      </right>
      <top/>
      <bottom style="thick">
        <color rgb="FF000000"/>
      </bottom>
      <diagonal/>
    </border>
    <border>
      <left/>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ck">
        <color rgb="FF000000"/>
      </top>
      <bottom style="thin">
        <color rgb="FF000000"/>
      </bottom>
      <diagonal/>
    </border>
    <border>
      <left/>
      <right style="thin">
        <color rgb="FF000000"/>
      </right>
      <top/>
      <bottom style="thick">
        <color rgb="FF000000"/>
      </bottom>
      <diagonal/>
    </border>
    <border>
      <left style="thick">
        <color rgb="FF000000"/>
      </left>
      <right style="thin">
        <color rgb="FF000000"/>
      </right>
      <top/>
      <bottom style="thin">
        <color rgb="FF000000"/>
      </bottom>
      <diagonal/>
    </border>
    <border>
      <left style="dotted">
        <color rgb="FF000000"/>
      </left>
      <right style="dotted">
        <color rgb="FF000000"/>
      </right>
      <top style="thick">
        <color rgb="FF000000"/>
      </top>
      <bottom style="thin">
        <color rgb="FF000000"/>
      </bottom>
      <diagonal/>
    </border>
    <border>
      <left style="dotted">
        <color rgb="FF000000"/>
      </left>
      <right style="dotted">
        <color rgb="FF000000"/>
      </right>
      <top/>
      <bottom/>
      <diagonal/>
    </border>
    <border>
      <left style="dotted">
        <color rgb="FF000000"/>
      </left>
      <right style="dotted">
        <color rgb="FF000000"/>
      </right>
      <top/>
      <bottom style="thick">
        <color rgb="FF000000"/>
      </bottom>
      <diagonal/>
    </border>
    <border>
      <left/>
      <right style="dotted">
        <color rgb="FF000000"/>
      </right>
      <top style="thick">
        <color rgb="FF000000"/>
      </top>
      <bottom style="thin">
        <color rgb="FF000000"/>
      </bottom>
      <diagonal/>
    </border>
    <border>
      <left/>
      <right style="dotted">
        <color rgb="FF000000"/>
      </right>
      <top/>
      <bottom/>
      <diagonal/>
    </border>
    <border>
      <left/>
      <right style="dotted">
        <color rgb="FF000000"/>
      </right>
      <top/>
      <bottom style="thick">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style="thick">
        <color rgb="FF000000"/>
      </right>
      <top style="thick">
        <color rgb="FF000000"/>
      </top>
      <bottom/>
      <diagonal/>
    </border>
    <border>
      <left style="thin">
        <color rgb="FF000000"/>
      </left>
      <right/>
      <top style="thin">
        <color rgb="FF000000"/>
      </top>
      <bottom style="thin">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style="thin">
        <color rgb="FF000000"/>
      </bottom>
      <diagonal/>
    </border>
    <border>
      <left/>
      <right style="dotted">
        <color rgb="FF000000"/>
      </right>
      <top/>
      <bottom style="thin">
        <color rgb="FF000000"/>
      </bottom>
      <diagonal/>
    </border>
    <border>
      <left/>
      <right/>
      <top style="thick">
        <color rgb="FF000000"/>
      </top>
      <bottom style="thin">
        <color rgb="FF000000"/>
      </bottom>
      <diagonal/>
    </border>
    <border>
      <left style="thick">
        <color rgb="FF000000"/>
      </left>
      <right style="thin">
        <color rgb="FF000000"/>
      </right>
      <top style="thin">
        <color rgb="FF000000"/>
      </top>
      <bottom/>
      <diagonal/>
    </border>
    <border>
      <left style="thick">
        <color rgb="FF000000"/>
      </left>
      <right style="thick">
        <color rgb="FF000000"/>
      </right>
      <top style="thick">
        <color rgb="FF000000"/>
      </top>
      <bottom style="thick">
        <color rgb="FF000000"/>
      </bottom>
      <diagonal/>
    </border>
    <border>
      <left style="thin">
        <color rgb="FF000000"/>
      </left>
      <right/>
      <top style="thick">
        <color rgb="FF000000"/>
      </top>
      <bottom style="thin">
        <color rgb="FF000000"/>
      </bottom>
      <diagonal/>
    </border>
    <border>
      <left style="thin">
        <color rgb="FF000000"/>
      </left>
      <right style="dotted">
        <color rgb="FF000000"/>
      </right>
      <top/>
      <bottom/>
      <diagonal/>
    </border>
    <border>
      <left/>
      <right style="dotted">
        <color rgb="FF000000"/>
      </right>
      <top style="thin">
        <color rgb="FF000000"/>
      </top>
      <bottom/>
      <diagonal/>
    </border>
    <border>
      <left style="thick">
        <color rgb="FF000000"/>
      </left>
      <right/>
      <top style="thin">
        <color rgb="FF000000"/>
      </top>
      <bottom/>
      <diagonal/>
    </border>
    <border>
      <left/>
      <right style="thick">
        <color rgb="FF000000"/>
      </right>
      <top style="thin">
        <color rgb="FF000000"/>
      </top>
      <bottom/>
      <diagonal/>
    </border>
    <border>
      <left/>
      <right style="thick">
        <color rgb="FF000000"/>
      </right>
      <top/>
      <bottom style="thin">
        <color rgb="FF000000"/>
      </bottom>
      <diagonal/>
    </border>
    <border>
      <left style="thin">
        <color rgb="FF000000"/>
      </left>
      <right style="dotted">
        <color rgb="FF000000"/>
      </right>
      <top/>
      <bottom style="thick">
        <color rgb="FF000000"/>
      </bottom>
      <diagonal/>
    </border>
    <border>
      <left style="thin">
        <color rgb="FF000000"/>
      </left>
      <right/>
      <top/>
      <bottom style="thick">
        <color rgb="FF000000"/>
      </bottom>
      <diagonal/>
    </border>
    <border>
      <left style="thick">
        <color rgb="FF000000"/>
      </left>
      <right style="thin">
        <color rgb="FF000000"/>
      </right>
      <top style="thick">
        <color rgb="FF000000"/>
      </top>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bottom/>
      <diagonal/>
    </border>
    <border>
      <left style="thin">
        <color rgb="FF000000"/>
      </left>
      <right style="thick">
        <color rgb="FF000000"/>
      </right>
      <top/>
      <bottom style="thick">
        <color rgb="FF000000"/>
      </bottom>
      <diagonal/>
    </border>
    <border>
      <left style="thin">
        <color rgb="FF000000"/>
      </left>
      <right style="thin">
        <color rgb="FF000000"/>
      </right>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dotted">
        <color rgb="FF000000"/>
      </right>
      <top style="thin">
        <color rgb="FF000000"/>
      </top>
      <bottom style="thin">
        <color rgb="FF000000"/>
      </bottom>
      <diagonal/>
    </border>
    <border>
      <left style="thick">
        <color rgb="FF000000"/>
      </left>
      <right style="dotted">
        <color rgb="FF000000"/>
      </right>
      <top style="thick">
        <color rgb="FF000000"/>
      </top>
      <bottom style="thin">
        <color rgb="FF000000"/>
      </bottom>
      <diagonal/>
    </border>
    <border>
      <left style="thick">
        <color rgb="FF000000"/>
      </left>
      <right style="dotted">
        <color rgb="FF000000"/>
      </right>
      <top/>
      <bottom/>
      <diagonal/>
    </border>
    <border>
      <left style="thick">
        <color rgb="FF000000"/>
      </left>
      <right style="dotted">
        <color rgb="FF000000"/>
      </right>
      <top/>
      <bottom style="thick">
        <color rgb="FF000000"/>
      </bottom>
      <diagonal/>
    </border>
    <border>
      <left/>
      <right style="thick">
        <color rgb="FF000000"/>
      </right>
      <top style="thin">
        <color rgb="FF000000"/>
      </top>
      <bottom style="thick">
        <color rgb="FF000000"/>
      </bottom>
      <diagonal/>
    </border>
    <border>
      <left style="thin">
        <color rgb="FF000000"/>
      </left>
      <right style="thin">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right style="dotted">
        <color rgb="FF000000"/>
      </right>
      <top style="thin">
        <color rgb="FF000000"/>
      </top>
      <bottom style="thin">
        <color rgb="FF000000"/>
      </bottom>
      <diagonal/>
    </border>
    <border>
      <left/>
      <right style="dotted">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n">
        <color rgb="FF000000"/>
      </top>
      <bottom/>
      <diagonal/>
    </border>
    <border>
      <left style="thin">
        <color rgb="FF000000"/>
      </left>
      <right style="thin">
        <color rgb="FF000000"/>
      </right>
      <top/>
      <bottom style="thick">
        <color rgb="FF000000"/>
      </bottom>
      <diagonal/>
    </border>
    <border>
      <left style="thick">
        <color rgb="FF000000"/>
      </left>
      <right/>
      <top/>
      <bottom/>
      <diagonal/>
    </border>
    <border>
      <left style="thick">
        <color rgb="FF000000"/>
      </left>
      <right style="thin">
        <color rgb="FF000000"/>
      </right>
      <top/>
      <bottom style="dotted">
        <color rgb="FF000000"/>
      </bottom>
      <diagonal/>
    </border>
    <border>
      <left/>
      <right style="thick">
        <color rgb="FF000000"/>
      </right>
      <top/>
      <bottom style="dotted">
        <color rgb="FF000000"/>
      </bottom>
      <diagonal/>
    </border>
    <border>
      <left style="dotted">
        <color rgb="FF000000"/>
      </left>
      <right/>
      <top style="thin">
        <color rgb="FF000000"/>
      </top>
      <bottom style="thin">
        <color rgb="FF000000"/>
      </bottom>
      <diagonal/>
    </border>
    <border>
      <left style="dotted">
        <color rgb="FF000000"/>
      </left>
      <right/>
      <top/>
      <bottom style="thin">
        <color rgb="FF000000"/>
      </bottom>
      <diagonal/>
    </border>
    <border>
      <left style="thin">
        <color rgb="FF000000"/>
      </left>
      <right style="dotted">
        <color rgb="FF000000"/>
      </right>
      <top/>
      <bottom style="thin">
        <color rgb="FF000000"/>
      </bottom>
      <diagonal/>
    </border>
    <border>
      <left/>
      <right/>
      <top style="thick">
        <color rgb="FF000000"/>
      </top>
      <bottom style="thick">
        <color rgb="FF000000"/>
      </bottom>
      <diagonal/>
    </border>
    <border>
      <left style="thin">
        <color rgb="FF000000"/>
      </left>
      <right style="thin">
        <color rgb="FF000000"/>
      </right>
      <top style="thick">
        <color rgb="FF000000"/>
      </top>
      <bottom/>
      <diagonal/>
    </border>
    <border>
      <left style="dotted">
        <color rgb="FF000000"/>
      </left>
      <right style="thin">
        <color rgb="FF000000"/>
      </right>
      <top style="thick">
        <color rgb="FF000000"/>
      </top>
      <bottom style="thin">
        <color rgb="FF000000"/>
      </bottom>
      <diagonal/>
    </border>
    <border>
      <left style="dotted">
        <color rgb="FF000000"/>
      </left>
      <right/>
      <top style="thick">
        <color rgb="FF000000"/>
      </top>
      <bottom style="thin">
        <color rgb="FF000000"/>
      </bottom>
      <diagonal/>
    </border>
    <border>
      <left style="dotted">
        <color rgb="FF000000"/>
      </left>
      <right style="thin">
        <color rgb="FF000000"/>
      </right>
      <top/>
      <bottom/>
      <diagonal/>
    </border>
    <border>
      <left style="thick">
        <color rgb="FF000000"/>
      </left>
      <right/>
      <top/>
      <bottom style="dotted">
        <color rgb="FF000000"/>
      </bottom>
      <diagonal/>
    </border>
    <border>
      <left style="dotted">
        <color rgb="FF000000"/>
      </left>
      <right style="thin">
        <color rgb="FF000000"/>
      </right>
      <top/>
      <bottom style="dotted">
        <color rgb="FF000000"/>
      </bottom>
      <diagonal/>
    </border>
    <border>
      <left style="dotted">
        <color rgb="FF000000"/>
      </left>
      <right/>
      <top/>
      <bottom/>
      <diagonal/>
    </border>
    <border>
      <left style="thick">
        <color rgb="FF000000"/>
      </left>
      <right style="thick">
        <color rgb="FF000000"/>
      </right>
      <top/>
      <bottom style="dotted">
        <color rgb="FF000000"/>
      </bottom>
      <diagonal/>
    </border>
    <border>
      <left style="dotted">
        <color rgb="FF000000"/>
      </left>
      <right/>
      <top/>
      <bottom style="dotted">
        <color rgb="FF000000"/>
      </bottom>
      <diagonal/>
    </border>
    <border>
      <left style="thick">
        <color rgb="FF000000"/>
      </left>
      <right style="thick">
        <color rgb="FF000000"/>
      </right>
      <top style="dotted">
        <color rgb="FF000000"/>
      </top>
      <bottom style="thick">
        <color rgb="FF000000"/>
      </bottom>
      <diagonal/>
    </border>
    <border>
      <left/>
      <right/>
      <top style="dotted">
        <color rgb="FF000000"/>
      </top>
      <bottom style="thick">
        <color rgb="FF000000"/>
      </bottom>
      <diagonal/>
    </border>
    <border>
      <left/>
      <right style="thick">
        <color rgb="FF000000"/>
      </right>
      <top style="dotted">
        <color rgb="FF000000"/>
      </top>
      <bottom style="thick">
        <color rgb="FF000000"/>
      </bottom>
      <diagonal/>
    </border>
    <border>
      <left style="thick">
        <color rgb="FF000000"/>
      </left>
      <right/>
      <top style="dotted">
        <color rgb="FF000000"/>
      </top>
      <bottom style="thick">
        <color rgb="FF000000"/>
      </bottom>
      <diagonal/>
    </border>
    <border>
      <left style="dotted">
        <color rgb="FF000000"/>
      </left>
      <right style="thin">
        <color rgb="FF000000"/>
      </right>
      <top/>
      <bottom style="thick">
        <color rgb="FF000000"/>
      </bottom>
      <diagonal/>
    </border>
    <border>
      <left style="thick">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thin">
        <color rgb="FF000000"/>
      </right>
      <top style="dotted">
        <color rgb="FF000000"/>
      </top>
      <bottom style="dotted">
        <color rgb="FF000000"/>
      </bottom>
      <diagonal/>
    </border>
    <border>
      <left style="dotted">
        <color rgb="FF000000"/>
      </left>
      <right/>
      <top/>
      <bottom style="thick">
        <color rgb="FF000000"/>
      </bottom>
      <diagonal/>
    </border>
    <border>
      <left style="thick">
        <color rgb="FF000000"/>
      </left>
      <right style="thick">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
      <left/>
      <right style="thick">
        <color rgb="FF000000"/>
      </right>
      <top style="thin">
        <color rgb="FF000000"/>
      </top>
      <bottom style="thin">
        <color rgb="FF000000"/>
      </bottom>
      <diagonal/>
    </border>
    <border>
      <left/>
      <right/>
      <top style="dotted">
        <color rgb="FF000000"/>
      </top>
      <bottom/>
      <diagonal/>
    </border>
    <border>
      <left/>
      <right/>
      <top style="thin">
        <color rgb="FF000000"/>
      </top>
      <bottom style="thick">
        <color rgb="FF000000"/>
      </bottom>
      <diagonal/>
    </border>
    <border>
      <left/>
      <right/>
      <top/>
      <bottom/>
      <diagonal/>
    </border>
    <border>
      <left/>
      <right/>
      <top/>
      <bottom style="thick">
        <color rgb="FF000000"/>
      </bottom>
      <diagonal/>
    </border>
    <border>
      <left style="thick">
        <color rgb="FF000000"/>
      </left>
      <right/>
      <top style="thin">
        <color rgb="FF000000"/>
      </top>
      <bottom style="thin">
        <color rgb="FF000000"/>
      </bottom>
      <diagonal/>
    </border>
    <border>
      <left style="thick">
        <color rgb="FF000000"/>
      </left>
      <right/>
      <top style="thin">
        <color rgb="FF000000"/>
      </top>
      <bottom style="thick">
        <color rgb="FF000000"/>
      </bottom>
      <diagonal/>
    </border>
    <border>
      <left style="thin">
        <color rgb="FF000000"/>
      </left>
      <right/>
      <top style="thin">
        <color rgb="FF000000"/>
      </top>
      <bottom style="thick">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1061">
    <xf numFmtId="0" fontId="0" fillId="0" borderId="0" xfId="0"/>
    <xf numFmtId="0" fontId="1" fillId="2" borderId="0" xfId="0" applyFont="1" applyFill="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3" fillId="0" borderId="0" xfId="0" applyFont="1" applyAlignment="1">
      <alignment wrapText="1"/>
    </xf>
    <xf numFmtId="0" fontId="3" fillId="3" borderId="0" xfId="0" applyFont="1" applyFill="1" applyAlignment="1">
      <alignment wrapText="1"/>
    </xf>
    <xf numFmtId="164" fontId="3" fillId="0" borderId="0" xfId="0" applyNumberFormat="1" applyFont="1" applyAlignment="1">
      <alignment horizontal="right" wrapText="1"/>
    </xf>
    <xf numFmtId="0" fontId="3" fillId="0" borderId="0" xfId="0" applyFont="1" applyAlignment="1">
      <alignment horizontal="left" wrapText="1"/>
    </xf>
    <xf numFmtId="0" fontId="4" fillId="0" borderId="0" xfId="0" applyFont="1"/>
    <xf numFmtId="0" fontId="5" fillId="3" borderId="0" xfId="0" applyFont="1" applyFill="1"/>
    <xf numFmtId="164" fontId="1" fillId="0" borderId="0" xfId="0" applyNumberFormat="1" applyFont="1" applyAlignment="1">
      <alignment horizontal="right"/>
    </xf>
    <xf numFmtId="0" fontId="1" fillId="0" borderId="0" xfId="0" applyFont="1" applyAlignment="1">
      <alignment horizontal="left"/>
    </xf>
    <xf numFmtId="0" fontId="1" fillId="0" borderId="0" xfId="0" applyFont="1"/>
    <xf numFmtId="0" fontId="4" fillId="3" borderId="0" xfId="0" applyFont="1" applyFill="1"/>
    <xf numFmtId="0" fontId="4" fillId="3" borderId="0" xfId="0" applyFont="1" applyFill="1" applyAlignment="1">
      <alignment horizontal="left"/>
    </xf>
    <xf numFmtId="0" fontId="1" fillId="3" borderId="0" xfId="0" applyFont="1" applyFill="1"/>
    <xf numFmtId="0" fontId="3" fillId="0" borderId="0" xfId="0" applyFont="1" applyAlignment="1">
      <alignment horizontal="left"/>
    </xf>
    <xf numFmtId="0" fontId="6" fillId="3" borderId="0" xfId="0" applyFont="1" applyFill="1"/>
    <xf numFmtId="164" fontId="0" fillId="0" borderId="0" xfId="0" applyNumberFormat="1" applyAlignment="1">
      <alignment horizontal="right"/>
    </xf>
    <xf numFmtId="0" fontId="7" fillId="3" borderId="0" xfId="0" applyFont="1" applyFill="1" applyAlignment="1">
      <alignment horizontal="left"/>
    </xf>
    <xf numFmtId="164" fontId="8" fillId="0" borderId="0" xfId="0" applyNumberFormat="1" applyFont="1" applyAlignment="1">
      <alignment horizontal="right"/>
    </xf>
    <xf numFmtId="164" fontId="4" fillId="0" borderId="0" xfId="0" applyNumberFormat="1" applyFont="1" applyAlignment="1">
      <alignment horizontal="right"/>
    </xf>
    <xf numFmtId="0" fontId="4" fillId="0" borderId="0" xfId="0" applyFont="1" applyAlignment="1">
      <alignment horizontal="left"/>
    </xf>
    <xf numFmtId="0" fontId="9" fillId="3" borderId="0" xfId="0" applyFont="1" applyFill="1" applyAlignment="1">
      <alignment horizontal="left"/>
    </xf>
    <xf numFmtId="0" fontId="0" fillId="3" borderId="0" xfId="0" applyFill="1"/>
    <xf numFmtId="0" fontId="10" fillId="3" borderId="0" xfId="0" applyFont="1" applyFill="1"/>
    <xf numFmtId="0" fontId="11" fillId="0" borderId="0" xfId="0" applyFont="1"/>
    <xf numFmtId="0" fontId="12" fillId="0" borderId="0" xfId="0" applyFont="1"/>
    <xf numFmtId="0" fontId="12" fillId="3" borderId="0" xfId="0" applyFont="1" applyFill="1"/>
    <xf numFmtId="164" fontId="12" fillId="0" borderId="0" xfId="0" applyNumberFormat="1" applyFont="1" applyAlignment="1">
      <alignment horizontal="right"/>
    </xf>
    <xf numFmtId="0" fontId="1" fillId="4" borderId="0" xfId="0" applyFont="1" applyFill="1"/>
    <xf numFmtId="0" fontId="14" fillId="3" borderId="0" xfId="0" applyFont="1" applyFill="1" applyAlignment="1">
      <alignment horizontal="right"/>
    </xf>
    <xf numFmtId="0" fontId="15" fillId="3" borderId="0" xfId="0" applyFont="1" applyFill="1"/>
    <xf numFmtId="0" fontId="1" fillId="5" borderId="0" xfId="0" applyFont="1" applyFill="1"/>
    <xf numFmtId="0" fontId="16" fillId="5" borderId="0" xfId="0" applyFont="1" applyFill="1"/>
    <xf numFmtId="0" fontId="17" fillId="5" borderId="0" xfId="0" applyFont="1" applyFill="1" applyAlignment="1">
      <alignment wrapText="1"/>
    </xf>
    <xf numFmtId="0" fontId="18" fillId="0" borderId="0" xfId="0" applyFont="1"/>
    <xf numFmtId="0" fontId="16" fillId="0" borderId="0" xfId="0" applyFont="1"/>
    <xf numFmtId="0" fontId="17" fillId="0" borderId="0" xfId="0" applyFont="1" applyAlignment="1">
      <alignment wrapText="1"/>
    </xf>
    <xf numFmtId="0" fontId="1" fillId="0" borderId="9" xfId="0" applyFont="1" applyBorder="1"/>
    <xf numFmtId="166" fontId="1" fillId="5" borderId="0" xfId="0" applyNumberFormat="1" applyFont="1" applyFill="1"/>
    <xf numFmtId="166" fontId="1" fillId="0" borderId="0" xfId="0" applyNumberFormat="1" applyFont="1"/>
    <xf numFmtId="0" fontId="1" fillId="3" borderId="10" xfId="0" applyFont="1" applyFill="1" applyBorder="1" applyAlignment="1">
      <alignment wrapText="1"/>
    </xf>
    <xf numFmtId="0" fontId="1" fillId="3" borderId="11" xfId="0" applyFont="1" applyFill="1" applyBorder="1"/>
    <xf numFmtId="0" fontId="1" fillId="3" borderId="13" xfId="0" applyFont="1" applyFill="1" applyBorder="1"/>
    <xf numFmtId="0" fontId="20" fillId="0" borderId="8" xfId="0" applyFont="1" applyBorder="1" applyAlignment="1">
      <alignment wrapText="1"/>
    </xf>
    <xf numFmtId="0" fontId="19" fillId="0" borderId="9" xfId="0" applyFont="1" applyBorder="1" applyAlignment="1">
      <alignment wrapText="1"/>
    </xf>
    <xf numFmtId="0" fontId="1" fillId="3" borderId="3" xfId="0" applyFont="1" applyFill="1" applyBorder="1"/>
    <xf numFmtId="0" fontId="19" fillId="0" borderId="8" xfId="0" applyFont="1" applyBorder="1" applyAlignment="1">
      <alignment wrapText="1"/>
    </xf>
    <xf numFmtId="0" fontId="1" fillId="2" borderId="3" xfId="0" applyFont="1" applyFill="1" applyBorder="1"/>
    <xf numFmtId="0" fontId="20" fillId="0" borderId="15" xfId="0" applyFont="1" applyBorder="1" applyAlignment="1">
      <alignment wrapText="1"/>
    </xf>
    <xf numFmtId="0" fontId="3" fillId="0" borderId="8" xfId="0" applyFont="1" applyBorder="1" applyAlignment="1">
      <alignment wrapText="1"/>
    </xf>
    <xf numFmtId="0" fontId="3" fillId="0" borderId="9" xfId="0" applyFont="1" applyBorder="1" applyAlignment="1">
      <alignment wrapText="1"/>
    </xf>
    <xf numFmtId="0" fontId="21" fillId="0" borderId="0" xfId="0" applyFont="1" applyAlignment="1">
      <alignment horizontal="right"/>
    </xf>
    <xf numFmtId="0" fontId="1" fillId="3" borderId="16" xfId="0" applyFont="1" applyFill="1" applyBorder="1"/>
    <xf numFmtId="0" fontId="22" fillId="0" borderId="0" xfId="0" applyFont="1"/>
    <xf numFmtId="167" fontId="23" fillId="0" borderId="0" xfId="0" applyNumberFormat="1" applyFont="1" applyAlignment="1">
      <alignment horizontal="right"/>
    </xf>
    <xf numFmtId="167" fontId="1" fillId="0" borderId="0" xfId="0" applyNumberFormat="1" applyFont="1"/>
    <xf numFmtId="167" fontId="23" fillId="0" borderId="0" xfId="0" applyNumberFormat="1" applyFont="1" applyAlignment="1">
      <alignment horizontal="left"/>
    </xf>
    <xf numFmtId="0" fontId="20" fillId="0" borderId="15" xfId="0" applyFont="1" applyBorder="1"/>
    <xf numFmtId="0" fontId="1" fillId="0" borderId="16" xfId="0" applyFont="1" applyBorder="1"/>
    <xf numFmtId="0" fontId="1" fillId="0" borderId="18" xfId="0" applyFont="1" applyBorder="1"/>
    <xf numFmtId="0" fontId="19" fillId="0" borderId="0" xfId="0" applyFont="1" applyAlignment="1">
      <alignment wrapText="1"/>
    </xf>
    <xf numFmtId="168" fontId="1" fillId="0" borderId="0" xfId="0" applyNumberFormat="1" applyFont="1"/>
    <xf numFmtId="0" fontId="8" fillId="4" borderId="0" xfId="0" applyFont="1" applyFill="1" applyAlignment="1">
      <alignment horizontal="left"/>
    </xf>
    <xf numFmtId="0" fontId="1" fillId="3" borderId="20" xfId="0" applyFont="1" applyFill="1" applyBorder="1"/>
    <xf numFmtId="0" fontId="1" fillId="3" borderId="10" xfId="0" applyFont="1" applyFill="1" applyBorder="1"/>
    <xf numFmtId="0" fontId="1" fillId="3" borderId="12" xfId="0" applyFont="1" applyFill="1" applyBorder="1"/>
    <xf numFmtId="0" fontId="1" fillId="3" borderId="21" xfId="0" applyFont="1" applyFill="1" applyBorder="1"/>
    <xf numFmtId="0" fontId="1" fillId="3" borderId="22" xfId="0" applyFont="1" applyFill="1" applyBorder="1"/>
    <xf numFmtId="0" fontId="1" fillId="3" borderId="23" xfId="0" applyFont="1" applyFill="1" applyBorder="1"/>
    <xf numFmtId="0" fontId="1" fillId="3" borderId="24" xfId="0" applyFont="1" applyFill="1" applyBorder="1"/>
    <xf numFmtId="0" fontId="1" fillId="3" borderId="22" xfId="0" applyFont="1" applyFill="1" applyBorder="1" applyAlignment="1">
      <alignment wrapText="1"/>
    </xf>
    <xf numFmtId="0" fontId="1" fillId="3" borderId="24" xfId="0" applyFont="1" applyFill="1" applyBorder="1" applyAlignment="1">
      <alignment wrapText="1"/>
    </xf>
    <xf numFmtId="0" fontId="1" fillId="3" borderId="25" xfId="0" applyFont="1" applyFill="1" applyBorder="1"/>
    <xf numFmtId="0" fontId="1" fillId="3" borderId="14" xfId="0" applyFont="1" applyFill="1" applyBorder="1"/>
    <xf numFmtId="0" fontId="1" fillId="3" borderId="8" xfId="0" applyFont="1" applyFill="1" applyBorder="1" applyAlignment="1">
      <alignment wrapText="1"/>
    </xf>
    <xf numFmtId="0" fontId="19" fillId="3" borderId="26" xfId="0" applyFont="1" applyFill="1" applyBorder="1" applyAlignment="1">
      <alignment wrapText="1"/>
    </xf>
    <xf numFmtId="0" fontId="19" fillId="3" borderId="9" xfId="0" applyFont="1" applyFill="1" applyBorder="1" applyAlignment="1">
      <alignment wrapText="1"/>
    </xf>
    <xf numFmtId="0" fontId="1" fillId="0" borderId="0" xfId="0" applyFont="1" applyAlignment="1">
      <alignment wrapText="1"/>
    </xf>
    <xf numFmtId="0" fontId="1" fillId="3" borderId="4" xfId="0" applyFont="1" applyFill="1" applyBorder="1"/>
    <xf numFmtId="0" fontId="20" fillId="0" borderId="28" xfId="0" applyFont="1" applyBorder="1" applyAlignment="1">
      <alignment wrapText="1"/>
    </xf>
    <xf numFmtId="0" fontId="20" fillId="0" borderId="0" xfId="0" applyFont="1" applyAlignment="1">
      <alignment wrapText="1"/>
    </xf>
    <xf numFmtId="0" fontId="4" fillId="4" borderId="16" xfId="0" applyFont="1" applyFill="1" applyBorder="1" applyAlignment="1">
      <alignment horizontal="left"/>
    </xf>
    <xf numFmtId="0" fontId="1" fillId="3" borderId="30" xfId="0" applyFont="1" applyFill="1" applyBorder="1"/>
    <xf numFmtId="169" fontId="1" fillId="0" borderId="0" xfId="0" applyNumberFormat="1" applyFont="1"/>
    <xf numFmtId="0" fontId="4" fillId="4" borderId="0" xfId="0" applyFont="1" applyFill="1" applyAlignment="1">
      <alignment horizontal="left"/>
    </xf>
    <xf numFmtId="0" fontId="8" fillId="3" borderId="0" xfId="0" applyFont="1" applyFill="1" applyAlignment="1">
      <alignment horizontal="left"/>
    </xf>
    <xf numFmtId="0" fontId="0" fillId="3" borderId="0" xfId="0" applyFill="1" applyAlignment="1">
      <alignment wrapText="1"/>
    </xf>
    <xf numFmtId="0" fontId="0" fillId="3" borderId="30" xfId="0" applyFill="1" applyBorder="1" applyAlignment="1">
      <alignment wrapText="1"/>
    </xf>
    <xf numFmtId="0" fontId="0" fillId="0" borderId="0" xfId="0" applyAlignment="1">
      <alignment wrapText="1"/>
    </xf>
    <xf numFmtId="169" fontId="0" fillId="0" borderId="0" xfId="0" applyNumberFormat="1" applyAlignment="1">
      <alignment wrapText="1"/>
    </xf>
    <xf numFmtId="0" fontId="0" fillId="0" borderId="3" xfId="0" applyBorder="1" applyAlignment="1">
      <alignment wrapText="1"/>
    </xf>
    <xf numFmtId="0" fontId="0" fillId="3" borderId="31" xfId="0" applyFill="1" applyBorder="1" applyAlignment="1">
      <alignment wrapText="1"/>
    </xf>
    <xf numFmtId="0" fontId="0" fillId="0" borderId="5" xfId="0" applyBorder="1" applyAlignment="1">
      <alignment wrapText="1"/>
    </xf>
    <xf numFmtId="0" fontId="1" fillId="0" borderId="33" xfId="0" applyFont="1" applyBorder="1"/>
    <xf numFmtId="0" fontId="1" fillId="0" borderId="34" xfId="0" applyFont="1" applyBorder="1"/>
    <xf numFmtId="0" fontId="0" fillId="3" borderId="35" xfId="0" applyFill="1" applyBorder="1" applyAlignment="1">
      <alignment wrapText="1"/>
    </xf>
    <xf numFmtId="0" fontId="0" fillId="3" borderId="36" xfId="0" applyFill="1" applyBorder="1" applyAlignment="1">
      <alignment wrapText="1"/>
    </xf>
    <xf numFmtId="0" fontId="0" fillId="3" borderId="14" xfId="0" applyFill="1" applyBorder="1" applyAlignment="1">
      <alignment wrapText="1"/>
    </xf>
    <xf numFmtId="0" fontId="14" fillId="0" borderId="0" xfId="0" applyFont="1" applyAlignment="1">
      <alignment wrapText="1"/>
    </xf>
    <xf numFmtId="0" fontId="24" fillId="0" borderId="0" xfId="0" applyFont="1" applyAlignment="1">
      <alignment horizontal="left" wrapText="1"/>
    </xf>
    <xf numFmtId="0" fontId="25" fillId="4" borderId="0" xfId="0" applyFont="1" applyFill="1" applyAlignment="1">
      <alignment horizontal="left" wrapText="1"/>
    </xf>
    <xf numFmtId="0" fontId="6" fillId="4" borderId="0" xfId="0" applyFont="1" applyFill="1"/>
    <xf numFmtId="0" fontId="26" fillId="0" borderId="0" xfId="0" applyFont="1" applyAlignment="1">
      <alignment horizontal="center"/>
    </xf>
    <xf numFmtId="0" fontId="4" fillId="4" borderId="0" xfId="0" applyFont="1" applyFill="1" applyAlignment="1">
      <alignment horizontal="right"/>
    </xf>
    <xf numFmtId="0" fontId="27" fillId="4" borderId="0" xfId="0" applyFont="1" applyFill="1" applyAlignment="1">
      <alignment horizontal="right"/>
    </xf>
    <xf numFmtId="166" fontId="6" fillId="4" borderId="0" xfId="0" applyNumberFormat="1" applyFont="1" applyFill="1"/>
    <xf numFmtId="166" fontId="4" fillId="4" borderId="0" xfId="0" applyNumberFormat="1" applyFont="1" applyFill="1" applyAlignment="1">
      <alignment horizontal="left"/>
    </xf>
    <xf numFmtId="0" fontId="28" fillId="4" borderId="0" xfId="0" applyFont="1" applyFill="1" applyAlignment="1">
      <alignment horizontal="left"/>
    </xf>
    <xf numFmtId="0" fontId="28" fillId="4" borderId="0" xfId="0" applyFont="1" applyFill="1" applyAlignment="1">
      <alignment horizontal="right"/>
    </xf>
    <xf numFmtId="0" fontId="1" fillId="3" borderId="37" xfId="0" applyFont="1" applyFill="1" applyBorder="1" applyAlignment="1">
      <alignment wrapText="1"/>
    </xf>
    <xf numFmtId="0" fontId="1" fillId="3" borderId="32" xfId="0" applyFont="1" applyFill="1" applyBorder="1"/>
    <xf numFmtId="0" fontId="1" fillId="3" borderId="26" xfId="0" applyFont="1" applyFill="1" applyBorder="1" applyAlignment="1">
      <alignment wrapText="1"/>
    </xf>
    <xf numFmtId="0" fontId="1" fillId="3" borderId="38" xfId="0" applyFont="1" applyFill="1" applyBorder="1"/>
    <xf numFmtId="0" fontId="1" fillId="3" borderId="35" xfId="0" applyFont="1" applyFill="1" applyBorder="1"/>
    <xf numFmtId="0" fontId="1" fillId="3" borderId="36" xfId="0" applyFont="1" applyFill="1" applyBorder="1"/>
    <xf numFmtId="0" fontId="1" fillId="3" borderId="39" xfId="0" applyFont="1" applyFill="1" applyBorder="1"/>
    <xf numFmtId="0" fontId="16" fillId="3" borderId="0" xfId="0" applyFont="1" applyFill="1"/>
    <xf numFmtId="0" fontId="1" fillId="3" borderId="33" xfId="0" applyFont="1" applyFill="1" applyBorder="1"/>
    <xf numFmtId="0" fontId="1" fillId="3" borderId="13" xfId="0" applyFont="1" applyFill="1" applyBorder="1" applyAlignment="1">
      <alignment horizontal="right"/>
    </xf>
    <xf numFmtId="0" fontId="1" fillId="3" borderId="0" xfId="0" applyFont="1" applyFill="1" applyAlignment="1">
      <alignment horizontal="right"/>
    </xf>
    <xf numFmtId="0" fontId="1" fillId="3" borderId="14" xfId="0" applyFont="1" applyFill="1" applyBorder="1" applyAlignment="1">
      <alignment horizontal="right"/>
    </xf>
    <xf numFmtId="0" fontId="1" fillId="3" borderId="34" xfId="0" applyFont="1" applyFill="1" applyBorder="1"/>
    <xf numFmtId="0" fontId="1" fillId="3" borderId="27" xfId="0" applyFont="1" applyFill="1" applyBorder="1"/>
    <xf numFmtId="0" fontId="1" fillId="3" borderId="5" xfId="0" applyFont="1" applyFill="1" applyBorder="1"/>
    <xf numFmtId="0" fontId="8" fillId="3" borderId="14" xfId="0" applyFont="1" applyFill="1" applyBorder="1"/>
    <xf numFmtId="0" fontId="29" fillId="3" borderId="0" xfId="0" applyFont="1" applyFill="1"/>
    <xf numFmtId="0" fontId="1" fillId="3" borderId="40" xfId="0" applyFont="1" applyFill="1" applyBorder="1"/>
    <xf numFmtId="0" fontId="20" fillId="0" borderId="41" xfId="0" applyFont="1" applyBorder="1" applyAlignment="1">
      <alignment wrapText="1"/>
    </xf>
    <xf numFmtId="0" fontId="0" fillId="0" borderId="32" xfId="0" applyBorder="1" applyAlignment="1">
      <alignment wrapText="1"/>
    </xf>
    <xf numFmtId="0" fontId="30" fillId="4" borderId="0" xfId="0" applyFont="1" applyFill="1" applyAlignment="1">
      <alignment horizontal="left"/>
    </xf>
    <xf numFmtId="0" fontId="31" fillId="0" borderId="0" xfId="0" applyFont="1" applyAlignment="1">
      <alignment horizontal="left"/>
    </xf>
    <xf numFmtId="0" fontId="1" fillId="0" borderId="22" xfId="0" applyFont="1" applyBorder="1"/>
    <xf numFmtId="0" fontId="1" fillId="6" borderId="0" xfId="0" applyFont="1" applyFill="1"/>
    <xf numFmtId="0" fontId="1" fillId="3" borderId="42" xfId="0" applyFont="1" applyFill="1" applyBorder="1"/>
    <xf numFmtId="0" fontId="1" fillId="3" borderId="0" xfId="0" applyFont="1" applyFill="1" applyAlignment="1">
      <alignment horizontal="left"/>
    </xf>
    <xf numFmtId="167" fontId="3" fillId="0" borderId="43" xfId="0" applyNumberFormat="1" applyFont="1" applyBorder="1" applyAlignment="1">
      <alignment wrapText="1"/>
    </xf>
    <xf numFmtId="167" fontId="3" fillId="0" borderId="9" xfId="0" applyNumberFormat="1" applyFont="1" applyBorder="1" applyAlignment="1">
      <alignment wrapText="1"/>
    </xf>
    <xf numFmtId="0" fontId="1" fillId="0" borderId="44" xfId="0" applyFont="1" applyBorder="1"/>
    <xf numFmtId="0" fontId="0" fillId="0" borderId="0" xfId="0" applyAlignment="1">
      <alignment horizontal="left"/>
    </xf>
    <xf numFmtId="0" fontId="32" fillId="0" borderId="0" xfId="0" applyFont="1" applyAlignment="1">
      <alignment horizontal="left"/>
    </xf>
    <xf numFmtId="0" fontId="24" fillId="0" borderId="15" xfId="0" applyFont="1" applyBorder="1" applyAlignment="1">
      <alignment wrapText="1"/>
    </xf>
    <xf numFmtId="0" fontId="19" fillId="0" borderId="0" xfId="0" applyFont="1" applyAlignment="1">
      <alignment horizontal="left"/>
    </xf>
    <xf numFmtId="0" fontId="14" fillId="0" borderId="0" xfId="0" applyFont="1" applyAlignment="1">
      <alignment horizontal="right"/>
    </xf>
    <xf numFmtId="0" fontId="14" fillId="0" borderId="0" xfId="0" applyFont="1" applyAlignment="1">
      <alignment horizontal="left" wrapText="1"/>
    </xf>
    <xf numFmtId="0" fontId="3" fillId="0" borderId="0" xfId="0" applyFont="1"/>
    <xf numFmtId="0" fontId="14" fillId="0" borderId="0" xfId="0" applyFont="1" applyAlignment="1">
      <alignment horizontal="left"/>
    </xf>
    <xf numFmtId="0" fontId="14" fillId="3" borderId="26" xfId="0" applyFont="1" applyFill="1" applyBorder="1" applyAlignment="1">
      <alignment wrapText="1"/>
    </xf>
    <xf numFmtId="0" fontId="19" fillId="4" borderId="46" xfId="0" applyFont="1" applyFill="1" applyBorder="1" applyAlignment="1">
      <alignment wrapText="1"/>
    </xf>
    <xf numFmtId="0" fontId="19" fillId="4" borderId="9" xfId="0" applyFont="1" applyFill="1" applyBorder="1" applyAlignment="1">
      <alignment wrapText="1"/>
    </xf>
    <xf numFmtId="0" fontId="0" fillId="3" borderId="0" xfId="0" applyFill="1" applyAlignment="1">
      <alignment horizontal="right"/>
    </xf>
    <xf numFmtId="0" fontId="1" fillId="0" borderId="13" xfId="0" applyFont="1" applyBorder="1"/>
    <xf numFmtId="166" fontId="1" fillId="3" borderId="33" xfId="0" applyNumberFormat="1" applyFont="1" applyFill="1" applyBorder="1"/>
    <xf numFmtId="166" fontId="1" fillId="3" borderId="0" xfId="0" applyNumberFormat="1" applyFont="1" applyFill="1"/>
    <xf numFmtId="0" fontId="1" fillId="3" borderId="47" xfId="0" applyFont="1" applyFill="1" applyBorder="1"/>
    <xf numFmtId="166" fontId="1" fillId="3" borderId="14" xfId="0" applyNumberFormat="1" applyFont="1" applyFill="1" applyBorder="1"/>
    <xf numFmtId="0" fontId="1" fillId="3" borderId="48" xfId="0" applyFont="1" applyFill="1" applyBorder="1"/>
    <xf numFmtId="0" fontId="1" fillId="3" borderId="1" xfId="0" applyFont="1" applyFill="1" applyBorder="1"/>
    <xf numFmtId="0" fontId="1" fillId="0" borderId="49" xfId="0" applyFont="1" applyBorder="1"/>
    <xf numFmtId="0" fontId="1" fillId="0" borderId="11" xfId="0" applyFont="1" applyBorder="1"/>
    <xf numFmtId="0" fontId="1" fillId="0" borderId="10" xfId="0" applyFont="1" applyBorder="1"/>
    <xf numFmtId="0" fontId="1" fillId="0" borderId="50" xfId="0" applyFont="1" applyBorder="1"/>
    <xf numFmtId="0" fontId="1" fillId="0" borderId="41" xfId="0" applyFont="1" applyBorder="1"/>
    <xf numFmtId="0" fontId="1" fillId="0" borderId="23" xfId="0" applyFont="1" applyBorder="1"/>
    <xf numFmtId="0" fontId="1" fillId="0" borderId="51" xfId="0" applyFont="1" applyBorder="1"/>
    <xf numFmtId="0" fontId="1" fillId="3" borderId="41" xfId="0" applyFont="1" applyFill="1" applyBorder="1"/>
    <xf numFmtId="166" fontId="1" fillId="3" borderId="34" xfId="0" applyNumberFormat="1" applyFont="1" applyFill="1" applyBorder="1"/>
    <xf numFmtId="0" fontId="1" fillId="0" borderId="53" xfId="0" applyFont="1" applyBorder="1"/>
    <xf numFmtId="0" fontId="21" fillId="3" borderId="0" xfId="0" applyFont="1" applyFill="1" applyAlignment="1">
      <alignment horizontal="right"/>
    </xf>
    <xf numFmtId="0" fontId="1" fillId="3" borderId="18" xfId="0" applyFont="1" applyFill="1" applyBorder="1"/>
    <xf numFmtId="0" fontId="20" fillId="0" borderId="54" xfId="0" applyFont="1" applyBorder="1"/>
    <xf numFmtId="0" fontId="1" fillId="0" borderId="26" xfId="0" applyFont="1" applyBorder="1"/>
    <xf numFmtId="0" fontId="1" fillId="0" borderId="14" xfId="0" applyFont="1" applyBorder="1"/>
    <xf numFmtId="0" fontId="1" fillId="0" borderId="27" xfId="0" applyFont="1" applyBorder="1"/>
    <xf numFmtId="0" fontId="1" fillId="3" borderId="26" xfId="0" applyFont="1" applyFill="1" applyBorder="1"/>
    <xf numFmtId="0" fontId="1" fillId="3" borderId="56" xfId="0" applyFont="1" applyFill="1" applyBorder="1"/>
    <xf numFmtId="0" fontId="1" fillId="3" borderId="9" xfId="0" applyFont="1" applyFill="1" applyBorder="1"/>
    <xf numFmtId="0" fontId="20" fillId="4" borderId="1" xfId="0" applyFont="1" applyFill="1" applyBorder="1" applyAlignment="1">
      <alignment wrapText="1"/>
    </xf>
    <xf numFmtId="0" fontId="1" fillId="4" borderId="44" xfId="0" applyFont="1" applyFill="1" applyBorder="1"/>
    <xf numFmtId="0" fontId="20" fillId="4" borderId="15" xfId="0" applyFont="1" applyFill="1" applyBorder="1" applyAlignment="1">
      <alignment wrapText="1"/>
    </xf>
    <xf numFmtId="0" fontId="1" fillId="3" borderId="31" xfId="0" applyFont="1" applyFill="1" applyBorder="1"/>
    <xf numFmtId="0" fontId="14" fillId="3" borderId="26" xfId="0" applyFont="1" applyFill="1" applyBorder="1" applyAlignment="1">
      <alignment horizontal="left" wrapText="1"/>
    </xf>
    <xf numFmtId="0" fontId="19" fillId="0" borderId="15" xfId="0" applyFont="1" applyBorder="1" applyAlignment="1">
      <alignment wrapText="1"/>
    </xf>
    <xf numFmtId="0" fontId="14" fillId="3" borderId="16" xfId="0" applyFont="1" applyFill="1" applyBorder="1" applyAlignment="1">
      <alignment horizontal="right"/>
    </xf>
    <xf numFmtId="0" fontId="21" fillId="3" borderId="14" xfId="0" applyFont="1" applyFill="1" applyBorder="1" applyAlignment="1">
      <alignment horizontal="right"/>
    </xf>
    <xf numFmtId="0" fontId="1" fillId="7" borderId="0" xfId="0" applyFont="1" applyFill="1"/>
    <xf numFmtId="0" fontId="1" fillId="8" borderId="0" xfId="0" applyFont="1" applyFill="1"/>
    <xf numFmtId="0" fontId="3" fillId="0" borderId="18" xfId="0" applyFont="1" applyBorder="1"/>
    <xf numFmtId="0" fontId="3" fillId="0" borderId="5" xfId="0" applyFont="1" applyBorder="1"/>
    <xf numFmtId="0" fontId="14" fillId="3" borderId="16" xfId="0" applyFont="1" applyFill="1" applyBorder="1" applyAlignment="1">
      <alignment horizontal="left"/>
    </xf>
    <xf numFmtId="0" fontId="14" fillId="7" borderId="0" xfId="0" applyFont="1" applyFill="1" applyAlignment="1">
      <alignment horizontal="left"/>
    </xf>
    <xf numFmtId="0" fontId="14" fillId="7" borderId="0" xfId="0" applyFont="1" applyFill="1" applyAlignment="1">
      <alignment horizontal="right"/>
    </xf>
    <xf numFmtId="0" fontId="21" fillId="7" borderId="14" xfId="0" applyFont="1" applyFill="1" applyBorder="1" applyAlignment="1">
      <alignment horizontal="right"/>
    </xf>
    <xf numFmtId="166" fontId="1" fillId="3" borderId="3" xfId="0" applyNumberFormat="1" applyFont="1" applyFill="1" applyBorder="1"/>
    <xf numFmtId="0" fontId="21" fillId="8" borderId="14" xfId="0" applyFont="1" applyFill="1" applyBorder="1" applyAlignment="1">
      <alignment horizontal="right"/>
    </xf>
    <xf numFmtId="0" fontId="21" fillId="3" borderId="27" xfId="0" applyFont="1" applyFill="1" applyBorder="1" applyAlignment="1">
      <alignment horizontal="right"/>
    </xf>
    <xf numFmtId="0" fontId="1" fillId="2" borderId="13" xfId="0" applyFont="1" applyFill="1" applyBorder="1"/>
    <xf numFmtId="0" fontId="1" fillId="2" borderId="24" xfId="0" applyFont="1" applyFill="1" applyBorder="1"/>
    <xf numFmtId="0" fontId="1" fillId="0" borderId="59" xfId="0" applyFont="1" applyBorder="1"/>
    <xf numFmtId="0" fontId="1" fillId="3" borderId="35" xfId="0" applyFont="1" applyFill="1" applyBorder="1" applyAlignment="1">
      <alignment wrapText="1"/>
    </xf>
    <xf numFmtId="0" fontId="1" fillId="3" borderId="58" xfId="0" applyFont="1" applyFill="1" applyBorder="1"/>
    <xf numFmtId="0" fontId="34" fillId="4" borderId="0" xfId="0" applyFont="1" applyFill="1"/>
    <xf numFmtId="0" fontId="12" fillId="0" borderId="0" xfId="0" applyFont="1" applyAlignment="1">
      <alignment horizontal="right"/>
    </xf>
    <xf numFmtId="0" fontId="29" fillId="0" borderId="0" xfId="0" applyFont="1" applyAlignment="1">
      <alignment horizontal="right"/>
    </xf>
    <xf numFmtId="4" fontId="20" fillId="0" borderId="8" xfId="0" applyNumberFormat="1" applyFont="1" applyBorder="1" applyAlignment="1">
      <alignment wrapText="1"/>
    </xf>
    <xf numFmtId="0" fontId="1" fillId="3" borderId="20" xfId="0" applyFont="1" applyFill="1" applyBorder="1" applyAlignment="1">
      <alignment wrapText="1"/>
    </xf>
    <xf numFmtId="0" fontId="1" fillId="3" borderId="36" xfId="0" applyFont="1" applyFill="1" applyBorder="1" applyAlignment="1">
      <alignment wrapText="1"/>
    </xf>
    <xf numFmtId="0" fontId="1" fillId="3" borderId="60" xfId="0" applyFont="1" applyFill="1" applyBorder="1" applyAlignment="1">
      <alignment wrapText="1"/>
    </xf>
    <xf numFmtId="167" fontId="35" fillId="3" borderId="14" xfId="0" applyNumberFormat="1" applyFont="1" applyFill="1" applyBorder="1" applyAlignment="1">
      <alignment horizontal="right"/>
    </xf>
    <xf numFmtId="0" fontId="22" fillId="3" borderId="14" xfId="0" applyFont="1" applyFill="1" applyBorder="1"/>
    <xf numFmtId="167" fontId="22" fillId="0" borderId="0" xfId="0" applyNumberFormat="1" applyFont="1"/>
    <xf numFmtId="167" fontId="35" fillId="0" borderId="0" xfId="0" applyNumberFormat="1" applyFont="1" applyAlignment="1">
      <alignment horizontal="right"/>
    </xf>
    <xf numFmtId="0" fontId="14" fillId="0" borderId="26" xfId="0" applyFont="1" applyBorder="1" applyAlignment="1">
      <alignment wrapText="1"/>
    </xf>
    <xf numFmtId="0" fontId="1" fillId="0" borderId="62" xfId="0" applyFont="1" applyBorder="1"/>
    <xf numFmtId="0" fontId="1" fillId="0" borderId="15" xfId="0" applyFont="1" applyBorder="1"/>
    <xf numFmtId="0" fontId="1" fillId="0" borderId="63" xfId="0" applyFont="1" applyBorder="1"/>
    <xf numFmtId="0" fontId="19" fillId="0" borderId="2" xfId="0" applyFont="1" applyBorder="1" applyAlignment="1">
      <alignment wrapText="1"/>
    </xf>
    <xf numFmtId="0" fontId="1" fillId="0" borderId="0" xfId="0" applyFont="1" applyAlignment="1">
      <alignment horizontal="right"/>
    </xf>
    <xf numFmtId="0" fontId="1" fillId="0" borderId="26" xfId="0" applyFont="1" applyBorder="1" applyAlignment="1">
      <alignment wrapText="1"/>
    </xf>
    <xf numFmtId="0" fontId="28" fillId="0" borderId="0" xfId="0" applyFont="1" applyAlignment="1">
      <alignment horizontal="right"/>
    </xf>
    <xf numFmtId="0" fontId="36" fillId="0" borderId="0" xfId="0" applyFont="1"/>
    <xf numFmtId="0" fontId="1" fillId="0" borderId="64" xfId="0" applyFont="1" applyBorder="1"/>
    <xf numFmtId="4" fontId="1" fillId="0" borderId="0" xfId="0" applyNumberFormat="1" applyFont="1"/>
    <xf numFmtId="0" fontId="4" fillId="3" borderId="25" xfId="0" applyFont="1" applyFill="1" applyBorder="1" applyAlignment="1">
      <alignment horizontal="left"/>
    </xf>
    <xf numFmtId="0" fontId="1" fillId="3" borderId="25" xfId="0" applyFont="1" applyFill="1" applyBorder="1" applyAlignment="1">
      <alignment horizontal="left"/>
    </xf>
    <xf numFmtId="0" fontId="4" fillId="3" borderId="0" xfId="0" applyFont="1" applyFill="1" applyAlignment="1">
      <alignment horizontal="right"/>
    </xf>
    <xf numFmtId="0" fontId="1" fillId="3" borderId="65" xfId="0" applyFont="1" applyFill="1" applyBorder="1" applyAlignment="1">
      <alignment horizontal="left"/>
    </xf>
    <xf numFmtId="0" fontId="4" fillId="3" borderId="66" xfId="0" applyFont="1" applyFill="1" applyBorder="1" applyAlignment="1">
      <alignment horizontal="right"/>
    </xf>
    <xf numFmtId="0" fontId="1" fillId="3" borderId="67" xfId="0" applyFont="1" applyFill="1" applyBorder="1" applyAlignment="1">
      <alignment horizontal="right"/>
    </xf>
    <xf numFmtId="0" fontId="4" fillId="0" borderId="16" xfId="0" applyFont="1" applyBorder="1"/>
    <xf numFmtId="0" fontId="37" fillId="0" borderId="0" xfId="0" applyFont="1" applyAlignment="1">
      <alignment vertical="top" wrapText="1"/>
    </xf>
    <xf numFmtId="0" fontId="37" fillId="0" borderId="0" xfId="0" applyFont="1" applyAlignment="1">
      <alignment horizontal="right" vertical="top"/>
    </xf>
    <xf numFmtId="0" fontId="37" fillId="0" borderId="0" xfId="0" applyFont="1" applyAlignment="1">
      <alignment vertical="top"/>
    </xf>
    <xf numFmtId="0" fontId="4" fillId="0" borderId="16" xfId="0" applyFont="1" applyBorder="1" applyAlignment="1">
      <alignment horizontal="left"/>
    </xf>
    <xf numFmtId="0" fontId="4" fillId="0" borderId="0" xfId="0" applyFont="1" applyAlignment="1">
      <alignment horizontal="right"/>
    </xf>
    <xf numFmtId="0" fontId="38" fillId="0" borderId="0" xfId="0" applyFont="1" applyAlignment="1">
      <alignment horizontal="left"/>
    </xf>
    <xf numFmtId="0" fontId="6" fillId="4" borderId="16" xfId="0" applyFont="1" applyFill="1" applyBorder="1"/>
    <xf numFmtId="0" fontId="6" fillId="4" borderId="16" xfId="0" applyFont="1" applyFill="1" applyBorder="1" applyAlignment="1">
      <alignment wrapText="1"/>
    </xf>
    <xf numFmtId="0" fontId="6" fillId="4" borderId="18" xfId="0" applyFont="1" applyFill="1" applyBorder="1" applyAlignment="1">
      <alignment wrapText="1"/>
    </xf>
    <xf numFmtId="167" fontId="3" fillId="0" borderId="0" xfId="0" applyNumberFormat="1" applyFont="1"/>
    <xf numFmtId="0" fontId="20" fillId="0" borderId="20" xfId="0" applyFont="1" applyBorder="1" applyAlignment="1">
      <alignment wrapText="1"/>
    </xf>
    <xf numFmtId="0" fontId="1" fillId="0" borderId="54" xfId="0" applyFont="1" applyBorder="1"/>
    <xf numFmtId="0" fontId="1" fillId="0" borderId="69" xfId="0" applyFont="1" applyBorder="1"/>
    <xf numFmtId="0" fontId="4" fillId="3" borderId="20" xfId="0" applyFont="1" applyFill="1" applyBorder="1"/>
    <xf numFmtId="0" fontId="4" fillId="3" borderId="35" xfId="0" applyFont="1" applyFill="1" applyBorder="1" applyAlignment="1">
      <alignment wrapText="1"/>
    </xf>
    <xf numFmtId="0" fontId="4" fillId="3" borderId="35" xfId="0" applyFont="1" applyFill="1" applyBorder="1"/>
    <xf numFmtId="0" fontId="4" fillId="3" borderId="68" xfId="0" applyFont="1" applyFill="1" applyBorder="1" applyAlignment="1">
      <alignment wrapText="1"/>
    </xf>
    <xf numFmtId="0" fontId="28" fillId="3" borderId="36" xfId="0" applyFont="1" applyFill="1" applyBorder="1" applyAlignment="1">
      <alignment wrapText="1"/>
    </xf>
    <xf numFmtId="0" fontId="4" fillId="3" borderId="36" xfId="0" applyFont="1" applyFill="1" applyBorder="1" applyAlignment="1">
      <alignment wrapText="1"/>
    </xf>
    <xf numFmtId="0" fontId="4" fillId="3" borderId="21" xfId="0" applyFont="1" applyFill="1" applyBorder="1"/>
    <xf numFmtId="0" fontId="4" fillId="3" borderId="11" xfId="0" applyFont="1" applyFill="1" applyBorder="1"/>
    <xf numFmtId="0" fontId="4" fillId="3" borderId="11" xfId="0" applyFont="1" applyFill="1" applyBorder="1" applyAlignment="1">
      <alignment horizontal="right"/>
    </xf>
    <xf numFmtId="0" fontId="4" fillId="3" borderId="48" xfId="0" applyFont="1" applyFill="1" applyBorder="1" applyAlignment="1">
      <alignment horizontal="right"/>
    </xf>
    <xf numFmtId="0" fontId="28" fillId="3" borderId="12" xfId="0" applyFont="1" applyFill="1" applyBorder="1" applyAlignment="1">
      <alignment horizontal="right"/>
    </xf>
    <xf numFmtId="0" fontId="4" fillId="3" borderId="25" xfId="0" applyFont="1" applyFill="1" applyBorder="1"/>
    <xf numFmtId="0" fontId="4" fillId="3" borderId="33" xfId="0" applyFont="1" applyFill="1" applyBorder="1" applyAlignment="1">
      <alignment horizontal="right"/>
    </xf>
    <xf numFmtId="0" fontId="28" fillId="3" borderId="14" xfId="0" applyFont="1" applyFill="1" applyBorder="1" applyAlignment="1">
      <alignment horizontal="right"/>
    </xf>
    <xf numFmtId="0" fontId="28" fillId="3" borderId="24" xfId="0" applyFont="1" applyFill="1" applyBorder="1" applyAlignment="1">
      <alignment horizontal="right"/>
    </xf>
    <xf numFmtId="0" fontId="4" fillId="3" borderId="22" xfId="0" applyFont="1" applyFill="1" applyBorder="1" applyAlignment="1">
      <alignment horizontal="right"/>
    </xf>
    <xf numFmtId="0" fontId="28" fillId="3" borderId="67" xfId="0" applyFont="1" applyFill="1" applyBorder="1" applyAlignment="1">
      <alignment horizontal="right"/>
    </xf>
    <xf numFmtId="0" fontId="28" fillId="0" borderId="70" xfId="0" applyFont="1" applyBorder="1" applyAlignment="1">
      <alignment wrapText="1"/>
    </xf>
    <xf numFmtId="0" fontId="28" fillId="0" borderId="55" xfId="0" applyFont="1" applyBorder="1" applyAlignment="1">
      <alignment wrapText="1"/>
    </xf>
    <xf numFmtId="0" fontId="4" fillId="0" borderId="44" xfId="0" applyFont="1" applyBorder="1"/>
    <xf numFmtId="0" fontId="4" fillId="0" borderId="21" xfId="0" applyFont="1" applyBorder="1" applyAlignment="1">
      <alignment horizontal="right"/>
    </xf>
    <xf numFmtId="0" fontId="4" fillId="0" borderId="71" xfId="0" applyFont="1" applyBorder="1" applyAlignment="1">
      <alignment horizontal="right"/>
    </xf>
    <xf numFmtId="0" fontId="4" fillId="0" borderId="25" xfId="0" applyFont="1" applyBorder="1" applyAlignment="1">
      <alignment horizontal="right"/>
    </xf>
    <xf numFmtId="0" fontId="4" fillId="0" borderId="56" xfId="0" applyFont="1" applyBorder="1" applyAlignment="1">
      <alignment horizontal="right"/>
    </xf>
    <xf numFmtId="0" fontId="4" fillId="0" borderId="18" xfId="0" applyFont="1" applyBorder="1"/>
    <xf numFmtId="0" fontId="4" fillId="0" borderId="27" xfId="0" applyFont="1" applyBorder="1" applyAlignment="1">
      <alignment horizontal="right"/>
    </xf>
    <xf numFmtId="0" fontId="4" fillId="0" borderId="5" xfId="0" applyFont="1" applyBorder="1" applyAlignment="1">
      <alignment horizontal="right"/>
    </xf>
    <xf numFmtId="0" fontId="8" fillId="4" borderId="0" xfId="0" applyFont="1" applyFill="1"/>
    <xf numFmtId="0" fontId="1" fillId="0" borderId="25" xfId="0" applyFont="1" applyBorder="1"/>
    <xf numFmtId="0" fontId="4" fillId="3" borderId="13" xfId="0" applyFont="1" applyFill="1" applyBorder="1"/>
    <xf numFmtId="0" fontId="24" fillId="0" borderId="54" xfId="0" applyFont="1" applyBorder="1" applyAlignment="1">
      <alignment wrapText="1"/>
    </xf>
    <xf numFmtId="0" fontId="28" fillId="0" borderId="2" xfId="0" applyFont="1" applyBorder="1" applyAlignment="1">
      <alignment wrapText="1"/>
    </xf>
    <xf numFmtId="0" fontId="4" fillId="0" borderId="11" xfId="0" applyFont="1" applyBorder="1" applyAlignment="1">
      <alignment horizontal="right"/>
    </xf>
    <xf numFmtId="0" fontId="4" fillId="0" borderId="50" xfId="0" applyFont="1" applyBorder="1" applyAlignment="1">
      <alignment horizontal="right"/>
    </xf>
    <xf numFmtId="0" fontId="4" fillId="0" borderId="3" xfId="0" applyFont="1" applyBorder="1" applyAlignment="1">
      <alignment horizontal="right"/>
    </xf>
    <xf numFmtId="0" fontId="4" fillId="3" borderId="58" xfId="0" applyFont="1" applyFill="1" applyBorder="1"/>
    <xf numFmtId="0" fontId="4" fillId="3" borderId="22" xfId="0" applyFont="1" applyFill="1" applyBorder="1"/>
    <xf numFmtId="0" fontId="4" fillId="3" borderId="42" xfId="0" applyFont="1" applyFill="1" applyBorder="1" applyAlignment="1">
      <alignment horizontal="right"/>
    </xf>
    <xf numFmtId="0" fontId="4" fillId="3" borderId="22" xfId="0" applyFont="1" applyFill="1" applyBorder="1" applyAlignment="1">
      <alignment wrapText="1"/>
    </xf>
    <xf numFmtId="0" fontId="4" fillId="3" borderId="42" xfId="0" applyFont="1" applyFill="1" applyBorder="1" applyAlignment="1">
      <alignment wrapText="1"/>
    </xf>
    <xf numFmtId="0" fontId="28" fillId="3" borderId="24" xfId="0" applyFont="1" applyFill="1" applyBorder="1" applyAlignment="1">
      <alignment wrapText="1"/>
    </xf>
    <xf numFmtId="0" fontId="4" fillId="3" borderId="24" xfId="0" applyFont="1" applyFill="1" applyBorder="1" applyAlignment="1">
      <alignment wrapText="1"/>
    </xf>
    <xf numFmtId="0" fontId="4" fillId="3" borderId="35" xfId="0" applyFont="1" applyFill="1" applyBorder="1" applyAlignment="1">
      <alignment horizontal="right"/>
    </xf>
    <xf numFmtId="0" fontId="4" fillId="3" borderId="68" xfId="0" applyFont="1" applyFill="1" applyBorder="1" applyAlignment="1">
      <alignment horizontal="right"/>
    </xf>
    <xf numFmtId="0" fontId="28" fillId="3" borderId="36" xfId="0" applyFont="1" applyFill="1" applyBorder="1" applyAlignment="1">
      <alignment horizontal="right"/>
    </xf>
    <xf numFmtId="0" fontId="28" fillId="0" borderId="9" xfId="0" applyFont="1" applyBorder="1" applyAlignment="1">
      <alignment wrapText="1"/>
    </xf>
    <xf numFmtId="0" fontId="24" fillId="0" borderId="28" xfId="0" applyFont="1" applyBorder="1" applyAlignment="1">
      <alignment wrapText="1"/>
    </xf>
    <xf numFmtId="0" fontId="28" fillId="0" borderId="22" xfId="0" applyFont="1" applyBorder="1" applyAlignment="1">
      <alignment wrapText="1"/>
    </xf>
    <xf numFmtId="0" fontId="28" fillId="0" borderId="51" xfId="0" applyFont="1" applyBorder="1" applyAlignment="1">
      <alignment wrapText="1"/>
    </xf>
    <xf numFmtId="0" fontId="4" fillId="3" borderId="36" xfId="0" applyFont="1" applyFill="1" applyBorder="1" applyAlignment="1">
      <alignment horizontal="right"/>
    </xf>
    <xf numFmtId="0" fontId="4" fillId="4" borderId="59" xfId="0" applyFont="1" applyFill="1" applyBorder="1"/>
    <xf numFmtId="0" fontId="1" fillId="0" borderId="38" xfId="0" applyFont="1" applyBorder="1"/>
    <xf numFmtId="0" fontId="1" fillId="0" borderId="35" xfId="0" applyFont="1" applyBorder="1"/>
    <xf numFmtId="0" fontId="1" fillId="0" borderId="36" xfId="0" applyFont="1" applyBorder="1"/>
    <xf numFmtId="0" fontId="1" fillId="0" borderId="24" xfId="0" applyFont="1" applyBorder="1"/>
    <xf numFmtId="0" fontId="3" fillId="3" borderId="8" xfId="0" applyFont="1" applyFill="1" applyBorder="1"/>
    <xf numFmtId="0" fontId="3" fillId="3" borderId="3" xfId="0" applyFont="1" applyFill="1" applyBorder="1" applyAlignment="1">
      <alignment horizontal="right"/>
    </xf>
    <xf numFmtId="0" fontId="39" fillId="3" borderId="0" xfId="0" applyFont="1" applyFill="1" applyAlignment="1">
      <alignment horizontal="right"/>
    </xf>
    <xf numFmtId="3" fontId="39" fillId="3" borderId="0" xfId="0" applyNumberFormat="1" applyFont="1" applyFill="1" applyAlignment="1">
      <alignment horizontal="right"/>
    </xf>
    <xf numFmtId="0" fontId="1" fillId="0" borderId="20" xfId="0" applyFont="1" applyBorder="1"/>
    <xf numFmtId="0" fontId="4" fillId="5" borderId="0" xfId="0" applyFont="1" applyFill="1" applyAlignment="1">
      <alignment horizontal="left"/>
    </xf>
    <xf numFmtId="0" fontId="1" fillId="0" borderId="35" xfId="0" applyFont="1" applyBorder="1" applyAlignment="1">
      <alignment wrapText="1"/>
    </xf>
    <xf numFmtId="0" fontId="19" fillId="0" borderId="36" xfId="0" applyFont="1" applyBorder="1" applyAlignment="1">
      <alignment wrapText="1"/>
    </xf>
    <xf numFmtId="0" fontId="1" fillId="0" borderId="38" xfId="0" applyFont="1" applyBorder="1" applyAlignment="1">
      <alignment wrapText="1"/>
    </xf>
    <xf numFmtId="0" fontId="40" fillId="0" borderId="0" xfId="0" applyFont="1"/>
    <xf numFmtId="0" fontId="0" fillId="4" borderId="53" xfId="0" applyFill="1" applyBorder="1"/>
    <xf numFmtId="0" fontId="0" fillId="4" borderId="22" xfId="0" applyFill="1" applyBorder="1"/>
    <xf numFmtId="0" fontId="0" fillId="4" borderId="0" xfId="0" applyFill="1"/>
    <xf numFmtId="0" fontId="20" fillId="0" borderId="0" xfId="0" applyFont="1"/>
    <xf numFmtId="0" fontId="1" fillId="3" borderId="38" xfId="0" applyFont="1" applyFill="1" applyBorder="1" applyAlignment="1">
      <alignment wrapText="1"/>
    </xf>
    <xf numFmtId="0" fontId="4" fillId="3" borderId="23" xfId="0" applyFont="1" applyFill="1" applyBorder="1" applyAlignment="1">
      <alignment horizontal="left"/>
    </xf>
    <xf numFmtId="0" fontId="16" fillId="0" borderId="0" xfId="0" applyFont="1" applyAlignment="1">
      <alignment wrapText="1"/>
    </xf>
    <xf numFmtId="0" fontId="19" fillId="0" borderId="22" xfId="0" applyFont="1" applyBorder="1" applyAlignment="1">
      <alignment wrapText="1"/>
    </xf>
    <xf numFmtId="0" fontId="19" fillId="0" borderId="51" xfId="0" applyFont="1" applyBorder="1" applyAlignment="1">
      <alignment wrapText="1"/>
    </xf>
    <xf numFmtId="0" fontId="4" fillId="9" borderId="16" xfId="0" applyFont="1" applyFill="1" applyBorder="1"/>
    <xf numFmtId="0" fontId="28" fillId="9" borderId="16" xfId="0" applyFont="1" applyFill="1" applyBorder="1"/>
    <xf numFmtId="0" fontId="4" fillId="9" borderId="18" xfId="0" applyFont="1" applyFill="1" applyBorder="1"/>
    <xf numFmtId="0" fontId="1" fillId="0" borderId="68" xfId="0" applyFont="1" applyBorder="1" applyAlignment="1">
      <alignment wrapText="1"/>
    </xf>
    <xf numFmtId="0" fontId="1" fillId="0" borderId="36" xfId="0" applyFont="1" applyBorder="1" applyAlignment="1">
      <alignment wrapText="1"/>
    </xf>
    <xf numFmtId="0" fontId="1" fillId="0" borderId="72" xfId="0" applyFont="1" applyBorder="1"/>
    <xf numFmtId="0" fontId="3" fillId="0" borderId="39" xfId="0" applyFont="1" applyBorder="1" applyAlignment="1">
      <alignment wrapText="1"/>
    </xf>
    <xf numFmtId="0" fontId="3" fillId="0" borderId="40" xfId="0" applyFont="1" applyBorder="1" applyAlignment="1">
      <alignment wrapText="1"/>
    </xf>
    <xf numFmtId="0" fontId="8" fillId="0" borderId="0" xfId="0" applyFont="1" applyAlignment="1">
      <alignment horizontal="left"/>
    </xf>
    <xf numFmtId="0" fontId="19" fillId="9" borderId="26" xfId="0" applyFont="1" applyFill="1" applyBorder="1" applyAlignment="1">
      <alignment wrapText="1"/>
    </xf>
    <xf numFmtId="0" fontId="19" fillId="9" borderId="9" xfId="0" applyFont="1" applyFill="1" applyBorder="1" applyAlignment="1">
      <alignment wrapText="1"/>
    </xf>
    <xf numFmtId="0" fontId="1" fillId="9" borderId="16" xfId="0" applyFont="1" applyFill="1" applyBorder="1"/>
    <xf numFmtId="0" fontId="1" fillId="9" borderId="0" xfId="0" applyFont="1" applyFill="1"/>
    <xf numFmtId="0" fontId="1" fillId="9" borderId="14" xfId="0" applyFont="1" applyFill="1" applyBorder="1"/>
    <xf numFmtId="11" fontId="41" fillId="9" borderId="0" xfId="0" applyNumberFormat="1" applyFont="1" applyFill="1"/>
    <xf numFmtId="0" fontId="1" fillId="9" borderId="3" xfId="0" applyFont="1" applyFill="1" applyBorder="1"/>
    <xf numFmtId="0" fontId="1" fillId="9" borderId="74" xfId="0" applyFont="1" applyFill="1" applyBorder="1"/>
    <xf numFmtId="0" fontId="1" fillId="9" borderId="66" xfId="0" applyFont="1" applyFill="1" applyBorder="1"/>
    <xf numFmtId="0" fontId="1" fillId="9" borderId="67" xfId="0" applyFont="1" applyFill="1" applyBorder="1"/>
    <xf numFmtId="0" fontId="1" fillId="9" borderId="75" xfId="0" applyFont="1" applyFill="1" applyBorder="1"/>
    <xf numFmtId="0" fontId="4" fillId="9" borderId="28" xfId="0" applyFont="1" applyFill="1" applyBorder="1" applyAlignment="1">
      <alignment horizontal="left"/>
    </xf>
    <xf numFmtId="0" fontId="1" fillId="9" borderId="22" xfId="0" applyFont="1" applyFill="1" applyBorder="1"/>
    <xf numFmtId="0" fontId="1" fillId="9" borderId="24" xfId="0" applyFont="1" applyFill="1" applyBorder="1"/>
    <xf numFmtId="0" fontId="1" fillId="9" borderId="51" xfId="0" applyFont="1" applyFill="1" applyBorder="1"/>
    <xf numFmtId="0" fontId="19" fillId="3" borderId="35" xfId="0" applyFont="1" applyFill="1" applyBorder="1" applyAlignment="1">
      <alignment wrapText="1"/>
    </xf>
    <xf numFmtId="0" fontId="42" fillId="3" borderId="35" xfId="0" applyFont="1" applyFill="1" applyBorder="1" applyAlignment="1">
      <alignment wrapText="1"/>
    </xf>
    <xf numFmtId="0" fontId="19" fillId="3" borderId="36" xfId="0" applyFont="1" applyFill="1" applyBorder="1" applyAlignment="1">
      <alignment wrapText="1"/>
    </xf>
    <xf numFmtId="0" fontId="1" fillId="3" borderId="77" xfId="0" applyFont="1" applyFill="1" applyBorder="1"/>
    <xf numFmtId="0" fontId="1" fillId="3" borderId="78" xfId="0" applyFont="1" applyFill="1" applyBorder="1"/>
    <xf numFmtId="0" fontId="14" fillId="3" borderId="36" xfId="0" applyFont="1" applyFill="1" applyBorder="1" applyAlignment="1">
      <alignment wrapText="1"/>
    </xf>
    <xf numFmtId="0" fontId="14" fillId="3" borderId="38" xfId="0" applyFont="1" applyFill="1" applyBorder="1" applyAlignment="1">
      <alignment wrapText="1"/>
    </xf>
    <xf numFmtId="0" fontId="19" fillId="3" borderId="38" xfId="0" applyFont="1" applyFill="1" applyBorder="1" applyAlignment="1">
      <alignment wrapText="1"/>
    </xf>
    <xf numFmtId="49" fontId="1" fillId="0" borderId="0" xfId="0" applyNumberFormat="1" applyFont="1"/>
    <xf numFmtId="0" fontId="20" fillId="0" borderId="18" xfId="0" applyFont="1" applyBorder="1"/>
    <xf numFmtId="0" fontId="0" fillId="0" borderId="35" xfId="0" applyBorder="1" applyAlignment="1">
      <alignment wrapText="1"/>
    </xf>
    <xf numFmtId="0" fontId="0" fillId="0" borderId="36" xfId="0" applyBorder="1" applyAlignment="1">
      <alignment wrapText="1"/>
    </xf>
    <xf numFmtId="0" fontId="0" fillId="0" borderId="24" xfId="0" applyBorder="1" applyAlignment="1">
      <alignment wrapText="1"/>
    </xf>
    <xf numFmtId="0" fontId="3" fillId="0" borderId="3" xfId="0" applyFont="1" applyBorder="1"/>
    <xf numFmtId="0" fontId="0" fillId="3" borderId="81" xfId="0" applyFill="1" applyBorder="1" applyAlignment="1">
      <alignment wrapText="1"/>
    </xf>
    <xf numFmtId="0" fontId="0" fillId="3" borderId="9" xfId="0" applyFill="1" applyBorder="1" applyAlignment="1">
      <alignment wrapText="1"/>
    </xf>
    <xf numFmtId="0" fontId="14" fillId="3" borderId="82" xfId="0" applyFont="1" applyFill="1" applyBorder="1" applyAlignment="1">
      <alignment wrapText="1"/>
    </xf>
    <xf numFmtId="0" fontId="14" fillId="3" borderId="81" xfId="0" applyFont="1" applyFill="1" applyBorder="1" applyAlignment="1">
      <alignment wrapText="1"/>
    </xf>
    <xf numFmtId="0" fontId="14" fillId="3" borderId="9" xfId="0" applyFont="1" applyFill="1" applyBorder="1" applyAlignment="1">
      <alignment wrapText="1"/>
    </xf>
    <xf numFmtId="0" fontId="0" fillId="3" borderId="22" xfId="0" applyFill="1" applyBorder="1"/>
    <xf numFmtId="4" fontId="1" fillId="3" borderId="0" xfId="0" applyNumberFormat="1" applyFont="1" applyFill="1"/>
    <xf numFmtId="0" fontId="4" fillId="3" borderId="83" xfId="0" applyFont="1" applyFill="1" applyBorder="1" applyAlignment="1">
      <alignment horizontal="right"/>
    </xf>
    <xf numFmtId="0" fontId="28" fillId="3" borderId="3" xfId="0" applyFont="1" applyFill="1" applyBorder="1" applyAlignment="1">
      <alignment horizontal="right"/>
    </xf>
    <xf numFmtId="10" fontId="1" fillId="3" borderId="0" xfId="0" applyNumberFormat="1" applyFont="1" applyFill="1"/>
    <xf numFmtId="0" fontId="1" fillId="3" borderId="84" xfId="0" applyFont="1" applyFill="1" applyBorder="1"/>
    <xf numFmtId="0" fontId="1" fillId="3" borderId="66" xfId="0" applyFont="1" applyFill="1" applyBorder="1"/>
    <xf numFmtId="4" fontId="1" fillId="3" borderId="66" xfId="0" applyNumberFormat="1" applyFont="1" applyFill="1" applyBorder="1"/>
    <xf numFmtId="4" fontId="1" fillId="3" borderId="85" xfId="0" applyNumberFormat="1" applyFont="1" applyFill="1" applyBorder="1"/>
    <xf numFmtId="10" fontId="1" fillId="3" borderId="66" xfId="0" applyNumberFormat="1" applyFont="1" applyFill="1" applyBorder="1"/>
    <xf numFmtId="0" fontId="1" fillId="3" borderId="85" xfId="0" applyFont="1" applyFill="1" applyBorder="1"/>
    <xf numFmtId="0" fontId="1" fillId="3" borderId="83" xfId="0" applyFont="1" applyFill="1" applyBorder="1"/>
    <xf numFmtId="171" fontId="1" fillId="3" borderId="0" xfId="0" applyNumberFormat="1" applyFont="1" applyFill="1" applyAlignment="1">
      <alignment horizontal="right"/>
    </xf>
    <xf numFmtId="0" fontId="1" fillId="3" borderId="86" xfId="0" applyFont="1" applyFill="1" applyBorder="1"/>
    <xf numFmtId="0" fontId="1" fillId="3" borderId="16" xfId="0" applyFont="1" applyFill="1" applyBorder="1" applyAlignment="1">
      <alignment horizontal="right"/>
    </xf>
    <xf numFmtId="49" fontId="1" fillId="3" borderId="0" xfId="0" applyNumberFormat="1" applyFont="1" applyFill="1" applyAlignment="1">
      <alignment horizontal="right"/>
    </xf>
    <xf numFmtId="0" fontId="14" fillId="0" borderId="0" xfId="0" applyFont="1"/>
    <xf numFmtId="0" fontId="19" fillId="0" borderId="0" xfId="0" applyFont="1"/>
    <xf numFmtId="0" fontId="1" fillId="3" borderId="18" xfId="0" applyFont="1" applyFill="1" applyBorder="1" applyAlignment="1">
      <alignment horizontal="right"/>
    </xf>
    <xf numFmtId="0" fontId="1" fillId="3" borderId="72" xfId="0" applyFont="1" applyFill="1" applyBorder="1"/>
    <xf numFmtId="4" fontId="1" fillId="3" borderId="0" xfId="0" applyNumberFormat="1" applyFont="1" applyFill="1" applyAlignment="1">
      <alignment horizontal="right"/>
    </xf>
    <xf numFmtId="10" fontId="1" fillId="3" borderId="0" xfId="0" applyNumberFormat="1" applyFont="1" applyFill="1" applyAlignment="1">
      <alignment horizontal="right"/>
    </xf>
    <xf numFmtId="0" fontId="1" fillId="3" borderId="28" xfId="0" applyFont="1" applyFill="1" applyBorder="1"/>
    <xf numFmtId="0" fontId="1" fillId="3" borderId="51" xfId="0" applyFont="1" applyFill="1" applyBorder="1"/>
    <xf numFmtId="0" fontId="43" fillId="0" borderId="0" xfId="0" applyFont="1"/>
    <xf numFmtId="4" fontId="44" fillId="0" borderId="0" xfId="0" applyNumberFormat="1" applyFont="1"/>
    <xf numFmtId="171" fontId="44" fillId="0" borderId="0" xfId="0" applyNumberFormat="1" applyFont="1"/>
    <xf numFmtId="171" fontId="45" fillId="0" borderId="0" xfId="0" applyNumberFormat="1" applyFont="1"/>
    <xf numFmtId="171" fontId="44" fillId="0" borderId="0" xfId="0" applyNumberFormat="1" applyFont="1" applyAlignment="1">
      <alignment horizontal="right"/>
    </xf>
    <xf numFmtId="0" fontId="20" fillId="0" borderId="45" xfId="0" applyFont="1" applyBorder="1" applyAlignment="1">
      <alignment wrapText="1"/>
    </xf>
    <xf numFmtId="0" fontId="19" fillId="0" borderId="6" xfId="0" applyFont="1" applyBorder="1" applyAlignment="1">
      <alignment wrapText="1"/>
    </xf>
    <xf numFmtId="0" fontId="19" fillId="0" borderId="7" xfId="0" applyFont="1" applyBorder="1" applyAlignment="1">
      <alignment wrapText="1"/>
    </xf>
    <xf numFmtId="0" fontId="12" fillId="9" borderId="87" xfId="0" applyFont="1" applyFill="1" applyBorder="1"/>
    <xf numFmtId="0" fontId="12" fillId="9" borderId="66" xfId="0" applyFont="1" applyFill="1" applyBorder="1"/>
    <xf numFmtId="0" fontId="12" fillId="9" borderId="84" xfId="0" applyFont="1" applyFill="1" applyBorder="1"/>
    <xf numFmtId="0" fontId="12" fillId="9" borderId="75" xfId="0" applyFont="1" applyFill="1" applyBorder="1"/>
    <xf numFmtId="0" fontId="1" fillId="0" borderId="39" xfId="0" applyFont="1" applyBorder="1"/>
    <xf numFmtId="4" fontId="1" fillId="3" borderId="66" xfId="0" applyNumberFormat="1" applyFont="1" applyFill="1" applyBorder="1" applyAlignment="1">
      <alignment horizontal="right"/>
    </xf>
    <xf numFmtId="10" fontId="1" fillId="3" borderId="66" xfId="0" applyNumberFormat="1" applyFont="1" applyFill="1" applyBorder="1" applyAlignment="1">
      <alignment horizontal="right"/>
    </xf>
    <xf numFmtId="171" fontId="1" fillId="3" borderId="66" xfId="0" applyNumberFormat="1" applyFont="1" applyFill="1" applyBorder="1" applyAlignment="1">
      <alignment horizontal="right"/>
    </xf>
    <xf numFmtId="0" fontId="1" fillId="3" borderId="88" xfId="0" applyFont="1" applyFill="1" applyBorder="1"/>
    <xf numFmtId="0" fontId="1" fillId="9" borderId="90" xfId="0" applyFont="1" applyFill="1" applyBorder="1"/>
    <xf numFmtId="0" fontId="1" fillId="9" borderId="91" xfId="0" applyFont="1" applyFill="1" applyBorder="1"/>
    <xf numFmtId="0" fontId="1" fillId="9" borderId="92" xfId="0" applyFont="1" applyFill="1" applyBorder="1"/>
    <xf numFmtId="172" fontId="1" fillId="3" borderId="93" xfId="0" applyNumberFormat="1" applyFont="1" applyFill="1" applyBorder="1"/>
    <xf numFmtId="4" fontId="1" fillId="3" borderId="93" xfId="0" applyNumberFormat="1" applyFont="1" applyFill="1" applyBorder="1"/>
    <xf numFmtId="0" fontId="1" fillId="3" borderId="94" xfId="0" applyFont="1" applyFill="1" applyBorder="1"/>
    <xf numFmtId="0" fontId="1" fillId="3" borderId="95" xfId="0" applyFont="1" applyFill="1" applyBorder="1"/>
    <xf numFmtId="172" fontId="0" fillId="3" borderId="95" xfId="0" applyNumberFormat="1" applyFill="1" applyBorder="1"/>
    <xf numFmtId="172" fontId="1" fillId="3" borderId="96" xfId="0" applyNumberFormat="1" applyFont="1" applyFill="1" applyBorder="1"/>
    <xf numFmtId="0" fontId="1" fillId="3" borderId="97" xfId="0" applyFont="1" applyFill="1" applyBorder="1"/>
    <xf numFmtId="0" fontId="46" fillId="3" borderId="4" xfId="0" applyFont="1" applyFill="1" applyBorder="1"/>
    <xf numFmtId="172" fontId="1" fillId="3" borderId="98" xfId="0" applyNumberFormat="1" applyFont="1" applyFill="1" applyBorder="1"/>
    <xf numFmtId="0" fontId="1" fillId="3" borderId="93" xfId="0" applyFont="1" applyFill="1" applyBorder="1"/>
    <xf numFmtId="9" fontId="1" fillId="3" borderId="35" xfId="0" applyNumberFormat="1" applyFont="1" applyFill="1" applyBorder="1"/>
    <xf numFmtId="0" fontId="47" fillId="0" borderId="0" xfId="0" applyFont="1"/>
    <xf numFmtId="0" fontId="3" fillId="0" borderId="0" xfId="0" applyFont="1" applyAlignment="1">
      <alignment horizontal="right"/>
    </xf>
    <xf numFmtId="0" fontId="48" fillId="0" borderId="0" xfId="0" applyFont="1"/>
    <xf numFmtId="0" fontId="49" fillId="0" borderId="0" xfId="0" applyFont="1"/>
    <xf numFmtId="0" fontId="50" fillId="0" borderId="0" xfId="0" applyFont="1"/>
    <xf numFmtId="0" fontId="1" fillId="0" borderId="25" xfId="0" applyFont="1" applyBorder="1" applyAlignment="1">
      <alignment horizontal="center"/>
    </xf>
    <xf numFmtId="0" fontId="1" fillId="0" borderId="58" xfId="0" applyFont="1" applyBorder="1"/>
    <xf numFmtId="0" fontId="1" fillId="0" borderId="58" xfId="0" applyFont="1" applyBorder="1" applyAlignment="1">
      <alignment horizontal="center"/>
    </xf>
    <xf numFmtId="0" fontId="29" fillId="0" borderId="0" xfId="0" applyFont="1"/>
    <xf numFmtId="0" fontId="16" fillId="3" borderId="13" xfId="0" applyFont="1" applyFill="1" applyBorder="1"/>
    <xf numFmtId="0" fontId="1" fillId="6" borderId="13" xfId="0" applyFont="1" applyFill="1" applyBorder="1"/>
    <xf numFmtId="167" fontId="3" fillId="6" borderId="43" xfId="0" applyNumberFormat="1" applyFont="1" applyFill="1" applyBorder="1" applyAlignment="1">
      <alignment wrapText="1"/>
    </xf>
    <xf numFmtId="167" fontId="3" fillId="6" borderId="9" xfId="0" applyNumberFormat="1" applyFont="1" applyFill="1" applyBorder="1" applyAlignment="1">
      <alignment wrapText="1"/>
    </xf>
    <xf numFmtId="0" fontId="1" fillId="6" borderId="44" xfId="0" applyFont="1" applyFill="1" applyBorder="1"/>
    <xf numFmtId="0" fontId="1" fillId="6" borderId="3" xfId="0" applyFont="1" applyFill="1" applyBorder="1"/>
    <xf numFmtId="0" fontId="1" fillId="6" borderId="18" xfId="0" applyFont="1" applyFill="1" applyBorder="1"/>
    <xf numFmtId="0" fontId="1" fillId="6" borderId="5" xfId="0" applyFont="1" applyFill="1" applyBorder="1"/>
    <xf numFmtId="0" fontId="4" fillId="4" borderId="0" xfId="0" applyFont="1" applyFill="1"/>
    <xf numFmtId="0" fontId="8" fillId="9" borderId="20" xfId="0" applyFont="1" applyFill="1" applyBorder="1"/>
    <xf numFmtId="0" fontId="3" fillId="9" borderId="0" xfId="0" applyFont="1" applyFill="1"/>
    <xf numFmtId="0" fontId="51" fillId="9" borderId="0" xfId="0" applyFont="1" applyFill="1"/>
    <xf numFmtId="0" fontId="8" fillId="9" borderId="0" xfId="0" applyFont="1" applyFill="1"/>
    <xf numFmtId="0" fontId="4" fillId="9" borderId="0" xfId="0" applyFont="1" applyFill="1"/>
    <xf numFmtId="0" fontId="52" fillId="9" borderId="0" xfId="0" applyFont="1" applyFill="1"/>
    <xf numFmtId="0" fontId="4" fillId="9" borderId="20" xfId="0" applyFont="1" applyFill="1" applyBorder="1"/>
    <xf numFmtId="0" fontId="28" fillId="0" borderId="20" xfId="0" applyFont="1" applyBorder="1"/>
    <xf numFmtId="0" fontId="4" fillId="4" borderId="20" xfId="0" applyFont="1" applyFill="1" applyBorder="1"/>
    <xf numFmtId="0" fontId="53" fillId="9" borderId="0" xfId="0" applyFont="1" applyFill="1"/>
    <xf numFmtId="0" fontId="3" fillId="0" borderId="20" xfId="0" applyFont="1" applyBorder="1"/>
    <xf numFmtId="0" fontId="54" fillId="0" borderId="20" xfId="0" applyFont="1" applyBorder="1"/>
    <xf numFmtId="0" fontId="55" fillId="9" borderId="0" xfId="0" applyFont="1" applyFill="1"/>
    <xf numFmtId="0" fontId="28" fillId="0" borderId="0" xfId="0" applyFont="1"/>
    <xf numFmtId="0" fontId="28" fillId="9" borderId="20" xfId="0" applyFont="1" applyFill="1" applyBorder="1"/>
    <xf numFmtId="0" fontId="56" fillId="9" borderId="0" xfId="0" applyFont="1" applyFill="1"/>
    <xf numFmtId="0" fontId="57" fillId="9" borderId="0" xfId="0" applyFont="1" applyFill="1"/>
    <xf numFmtId="0" fontId="58" fillId="9" borderId="0" xfId="0" applyFont="1" applyFill="1"/>
    <xf numFmtId="175" fontId="1" fillId="0" borderId="0" xfId="0" applyNumberFormat="1" applyFont="1" applyAlignment="1">
      <alignment horizontal="right"/>
    </xf>
    <xf numFmtId="174" fontId="3" fillId="0" borderId="4" xfId="0" applyNumberFormat="1" applyFont="1" applyBorder="1" applyAlignment="1">
      <alignment horizontal="right"/>
    </xf>
    <xf numFmtId="0" fontId="11" fillId="11" borderId="0" xfId="0" applyFont="1" applyFill="1" applyAlignment="1">
      <alignment horizontal="left"/>
    </xf>
    <xf numFmtId="175" fontId="1" fillId="11" borderId="0" xfId="0" applyNumberFormat="1" applyFont="1" applyFill="1" applyAlignment="1">
      <alignment horizontal="right"/>
    </xf>
    <xf numFmtId="174" fontId="3" fillId="0" borderId="0" xfId="0" applyNumberFormat="1" applyFont="1" applyAlignment="1">
      <alignment horizontal="left"/>
    </xf>
    <xf numFmtId="174" fontId="11" fillId="11" borderId="4" xfId="0" applyNumberFormat="1" applyFont="1" applyFill="1" applyBorder="1" applyAlignment="1">
      <alignment horizontal="right"/>
    </xf>
    <xf numFmtId="0" fontId="11" fillId="0" borderId="0" xfId="0" applyFont="1" applyAlignment="1">
      <alignment horizontal="left"/>
    </xf>
    <xf numFmtId="175" fontId="1" fillId="12" borderId="0" xfId="0" applyNumberFormat="1" applyFont="1" applyFill="1" applyAlignment="1">
      <alignment horizontal="right"/>
    </xf>
    <xf numFmtId="174" fontId="3" fillId="0" borderId="0" xfId="0" applyNumberFormat="1" applyFont="1" applyAlignment="1">
      <alignment horizontal="right"/>
    </xf>
    <xf numFmtId="174" fontId="3" fillId="0" borderId="1" xfId="0" applyNumberFormat="1" applyFont="1" applyBorder="1" applyAlignment="1">
      <alignment horizontal="right"/>
    </xf>
    <xf numFmtId="175" fontId="12" fillId="11" borderId="0" xfId="0" applyNumberFormat="1" applyFont="1" applyFill="1" applyAlignment="1">
      <alignment horizontal="right"/>
    </xf>
    <xf numFmtId="0" fontId="1" fillId="0" borderId="4" xfId="0" applyFont="1" applyBorder="1" applyAlignment="1">
      <alignment horizontal="right"/>
    </xf>
    <xf numFmtId="174" fontId="3" fillId="0" borderId="0" xfId="0" applyNumberFormat="1" applyFont="1"/>
    <xf numFmtId="174" fontId="3" fillId="12" borderId="0" xfId="0" applyNumberFormat="1" applyFont="1" applyFill="1"/>
    <xf numFmtId="0" fontId="1" fillId="12" borderId="0" xfId="0" applyFont="1" applyFill="1" applyAlignment="1">
      <alignment horizontal="right"/>
    </xf>
    <xf numFmtId="0" fontId="1" fillId="11" borderId="0" xfId="0" applyFont="1" applyFill="1" applyAlignment="1">
      <alignment horizontal="left"/>
    </xf>
    <xf numFmtId="0" fontId="1" fillId="11" borderId="0" xfId="0" applyFont="1" applyFill="1" applyAlignment="1">
      <alignment horizontal="right"/>
    </xf>
    <xf numFmtId="0" fontId="39" fillId="0" borderId="0" xfId="0" applyFont="1"/>
    <xf numFmtId="0" fontId="39" fillId="0" borderId="0" xfId="0" applyFont="1" applyAlignment="1">
      <alignment horizontal="left"/>
    </xf>
    <xf numFmtId="49" fontId="1" fillId="0" borderId="0" xfId="0" applyNumberFormat="1" applyFont="1" applyAlignment="1">
      <alignment horizontal="left"/>
    </xf>
    <xf numFmtId="0" fontId="28" fillId="0" borderId="0" xfId="0" applyFont="1" applyAlignment="1">
      <alignment horizontal="left"/>
    </xf>
    <xf numFmtId="9" fontId="1" fillId="0" borderId="22" xfId="0" applyNumberFormat="1" applyFont="1" applyBorder="1"/>
    <xf numFmtId="0" fontId="1" fillId="0" borderId="22" xfId="0" applyFont="1" applyBorder="1" applyAlignment="1">
      <alignment horizontal="right"/>
    </xf>
    <xf numFmtId="0" fontId="1" fillId="0" borderId="22" xfId="0" applyFont="1" applyBorder="1" applyAlignment="1">
      <alignment horizontal="left"/>
    </xf>
    <xf numFmtId="9" fontId="1" fillId="0" borderId="0" xfId="0" applyNumberFormat="1" applyFont="1"/>
    <xf numFmtId="49" fontId="39" fillId="0" borderId="0" xfId="0" applyNumberFormat="1" applyFont="1" applyAlignment="1">
      <alignment horizontal="left"/>
    </xf>
    <xf numFmtId="49" fontId="1" fillId="0" borderId="0" xfId="0" applyNumberFormat="1" applyFont="1" applyAlignment="1">
      <alignment horizontal="right"/>
    </xf>
    <xf numFmtId="0" fontId="12" fillId="11" borderId="0" xfId="0" applyFont="1" applyFill="1" applyAlignment="1">
      <alignment horizontal="right"/>
    </xf>
    <xf numFmtId="0" fontId="12" fillId="11" borderId="0" xfId="0" applyFont="1" applyFill="1"/>
    <xf numFmtId="174" fontId="1" fillId="0" borderId="0" xfId="0" applyNumberFormat="1" applyFont="1" applyAlignment="1">
      <alignment horizontal="right"/>
    </xf>
    <xf numFmtId="174" fontId="16" fillId="0" borderId="0" xfId="0" applyNumberFormat="1" applyFont="1" applyAlignment="1">
      <alignment horizontal="right"/>
    </xf>
    <xf numFmtId="0" fontId="1" fillId="0" borderId="0" xfId="0" quotePrefix="1" applyFont="1" applyAlignment="1">
      <alignment horizontal="left"/>
    </xf>
    <xf numFmtId="0" fontId="1" fillId="12" borderId="0" xfId="0" applyFont="1" applyFill="1"/>
    <xf numFmtId="0" fontId="0" fillId="4" borderId="0" xfId="0" applyFill="1" applyAlignment="1">
      <alignment horizontal="right"/>
    </xf>
    <xf numFmtId="0" fontId="10" fillId="4" borderId="0" xfId="0" applyFont="1" applyFill="1" applyAlignment="1">
      <alignment horizontal="right"/>
    </xf>
    <xf numFmtId="0" fontId="1" fillId="0" borderId="102" xfId="0" applyFont="1" applyBorder="1"/>
    <xf numFmtId="0" fontId="1" fillId="0" borderId="66" xfId="0" applyFont="1" applyBorder="1"/>
    <xf numFmtId="0" fontId="1" fillId="12" borderId="66" xfId="0" applyFont="1" applyFill="1" applyBorder="1"/>
    <xf numFmtId="49" fontId="1" fillId="0" borderId="22" xfId="0" applyNumberFormat="1" applyFont="1" applyBorder="1" applyAlignment="1">
      <alignment horizontal="left"/>
    </xf>
    <xf numFmtId="49" fontId="39" fillId="0" borderId="22" xfId="0" applyNumberFormat="1" applyFont="1" applyBorder="1" applyAlignment="1">
      <alignment horizontal="left"/>
    </xf>
    <xf numFmtId="49" fontId="1" fillId="0" borderId="22" xfId="0" applyNumberFormat="1" applyFont="1" applyBorder="1" applyAlignment="1">
      <alignment horizontal="right"/>
    </xf>
    <xf numFmtId="0" fontId="1" fillId="12" borderId="22" xfId="0" applyFont="1" applyFill="1" applyBorder="1"/>
    <xf numFmtId="0" fontId="0" fillId="4" borderId="22" xfId="0" applyFill="1" applyBorder="1" applyAlignment="1">
      <alignment horizontal="right"/>
    </xf>
    <xf numFmtId="174" fontId="1" fillId="0" borderId="0" xfId="0" applyNumberFormat="1" applyFont="1" applyAlignment="1">
      <alignment horizontal="left"/>
    </xf>
    <xf numFmtId="0" fontId="0" fillId="0" borderId="0" xfId="0" applyAlignment="1">
      <alignment horizontal="right"/>
    </xf>
    <xf numFmtId="0" fontId="16" fillId="0" borderId="0" xfId="0" applyFont="1" applyAlignment="1">
      <alignment horizontal="right"/>
    </xf>
    <xf numFmtId="2" fontId="1" fillId="0" borderId="0" xfId="0" applyNumberFormat="1" applyFont="1"/>
    <xf numFmtId="2" fontId="1" fillId="0" borderId="0" xfId="0" applyNumberFormat="1" applyFont="1" applyAlignment="1">
      <alignment horizontal="right"/>
    </xf>
    <xf numFmtId="2" fontId="12" fillId="11" borderId="0" xfId="0" applyNumberFormat="1" applyFont="1" applyFill="1"/>
    <xf numFmtId="2" fontId="12" fillId="11" borderId="0" xfId="0" applyNumberFormat="1" applyFont="1" applyFill="1" applyAlignment="1">
      <alignment horizontal="right"/>
    </xf>
    <xf numFmtId="2" fontId="16" fillId="0" borderId="0" xfId="0" applyNumberFormat="1" applyFont="1" applyAlignment="1">
      <alignment horizontal="right"/>
    </xf>
    <xf numFmtId="2" fontId="39" fillId="4" borderId="0" xfId="0" applyNumberFormat="1" applyFont="1" applyFill="1" applyAlignment="1">
      <alignment horizontal="right"/>
    </xf>
    <xf numFmtId="0" fontId="4" fillId="0" borderId="22" xfId="0" applyFont="1" applyBorder="1" applyAlignment="1">
      <alignment horizontal="left"/>
    </xf>
    <xf numFmtId="0" fontId="4" fillId="4" borderId="22" xfId="0" applyFont="1" applyFill="1" applyBorder="1" applyAlignment="1">
      <alignment horizontal="left"/>
    </xf>
    <xf numFmtId="0" fontId="12" fillId="11" borderId="22" xfId="0" applyFont="1" applyFill="1" applyBorder="1" applyAlignment="1">
      <alignment horizontal="right"/>
    </xf>
    <xf numFmtId="0" fontId="12" fillId="11" borderId="22" xfId="0" applyFont="1" applyFill="1" applyBorder="1"/>
    <xf numFmtId="0" fontId="10" fillId="4" borderId="0" xfId="0" applyFont="1" applyFill="1" applyAlignment="1">
      <alignment horizontal="left"/>
    </xf>
    <xf numFmtId="0" fontId="1" fillId="12" borderId="0" xfId="0" applyFont="1" applyFill="1" applyAlignment="1">
      <alignment horizontal="left"/>
    </xf>
    <xf numFmtId="0" fontId="1" fillId="14" borderId="0" xfId="0" applyFont="1" applyFill="1"/>
    <xf numFmtId="0" fontId="1" fillId="4" borderId="0" xfId="0" applyFont="1" applyFill="1" applyAlignment="1">
      <alignment horizontal="left"/>
    </xf>
    <xf numFmtId="0" fontId="4" fillId="0" borderId="22" xfId="0" applyFont="1" applyBorder="1"/>
    <xf numFmtId="0" fontId="1" fillId="11" borderId="0" xfId="0" applyFont="1" applyFill="1"/>
    <xf numFmtId="0" fontId="29" fillId="11" borderId="0" xfId="0" applyFont="1" applyFill="1" applyAlignment="1">
      <alignment horizontal="right"/>
    </xf>
    <xf numFmtId="174" fontId="11" fillId="0" borderId="0" xfId="0" applyNumberFormat="1" applyFont="1" applyAlignment="1">
      <alignment horizontal="left"/>
    </xf>
    <xf numFmtId="49" fontId="12" fillId="11" borderId="0" xfId="0" applyNumberFormat="1" applyFont="1" applyFill="1" applyAlignment="1">
      <alignment horizontal="right"/>
    </xf>
    <xf numFmtId="4" fontId="1" fillId="0" borderId="0" xfId="0" applyNumberFormat="1" applyFont="1" applyAlignment="1">
      <alignment horizontal="right"/>
    </xf>
    <xf numFmtId="0" fontId="1" fillId="0" borderId="103" xfId="0" applyFont="1" applyBorder="1"/>
    <xf numFmtId="49" fontId="39" fillId="0" borderId="0" xfId="0" applyNumberFormat="1" applyFont="1"/>
    <xf numFmtId="0" fontId="1" fillId="11" borderId="102" xfId="0" applyFont="1" applyFill="1" applyBorder="1"/>
    <xf numFmtId="0" fontId="1" fillId="11" borderId="102" xfId="0" applyFont="1" applyFill="1" applyBorder="1" applyAlignment="1">
      <alignment horizontal="right"/>
    </xf>
    <xf numFmtId="2" fontId="1" fillId="11" borderId="0" xfId="0" applyNumberFormat="1" applyFont="1" applyFill="1"/>
    <xf numFmtId="0" fontId="4" fillId="0" borderId="66" xfId="0" applyFont="1" applyBorder="1" applyAlignment="1">
      <alignment horizontal="left"/>
    </xf>
    <xf numFmtId="0" fontId="1" fillId="3" borderId="66" xfId="0" applyFont="1" applyFill="1" applyBorder="1" applyAlignment="1">
      <alignment horizontal="right"/>
    </xf>
    <xf numFmtId="0" fontId="4" fillId="12" borderId="0" xfId="0" applyFont="1" applyFill="1"/>
    <xf numFmtId="0" fontId="1" fillId="0" borderId="35" xfId="0" applyFont="1" applyBorder="1" applyAlignment="1">
      <alignment horizontal="right"/>
    </xf>
    <xf numFmtId="0" fontId="44" fillId="11" borderId="0" xfId="0" applyFont="1" applyFill="1" applyAlignment="1">
      <alignment horizontal="right"/>
    </xf>
    <xf numFmtId="49" fontId="1" fillId="0" borderId="22" xfId="0" applyNumberFormat="1" applyFont="1" applyBorder="1"/>
    <xf numFmtId="9" fontId="1" fillId="0" borderId="35" xfId="0" applyNumberFormat="1" applyFont="1" applyBorder="1"/>
    <xf numFmtId="49" fontId="1" fillId="0" borderId="35" xfId="0" applyNumberFormat="1" applyFont="1" applyBorder="1" applyAlignment="1">
      <alignment horizontal="left"/>
    </xf>
    <xf numFmtId="49" fontId="1" fillId="0" borderId="35" xfId="0" applyNumberFormat="1" applyFont="1" applyBorder="1" applyAlignment="1">
      <alignment horizontal="right"/>
    </xf>
    <xf numFmtId="0" fontId="0" fillId="0" borderId="22" xfId="0" applyBorder="1" applyAlignment="1">
      <alignment horizontal="right"/>
    </xf>
    <xf numFmtId="0" fontId="0" fillId="0" borderId="22" xfId="0" applyBorder="1"/>
    <xf numFmtId="0" fontId="1" fillId="0" borderId="35" xfId="0" applyFont="1" applyBorder="1" applyAlignment="1">
      <alignment horizontal="left"/>
    </xf>
    <xf numFmtId="0" fontId="0" fillId="0" borderId="35" xfId="0" applyBorder="1"/>
    <xf numFmtId="4" fontId="0" fillId="4" borderId="66" xfId="0" applyNumberFormat="1" applyFill="1" applyBorder="1" applyAlignment="1">
      <alignment horizontal="right"/>
    </xf>
    <xf numFmtId="4" fontId="1" fillId="0" borderId="66" xfId="0" applyNumberFormat="1" applyFont="1" applyBorder="1" applyAlignment="1">
      <alignment horizontal="right"/>
    </xf>
    <xf numFmtId="4" fontId="0" fillId="11" borderId="0" xfId="0" applyNumberFormat="1" applyFill="1" applyAlignment="1">
      <alignment horizontal="right"/>
    </xf>
    <xf numFmtId="0" fontId="12" fillId="11" borderId="0" xfId="0" applyFont="1" applyFill="1" applyAlignment="1">
      <alignment horizontal="left"/>
    </xf>
    <xf numFmtId="4" fontId="0" fillId="4" borderId="0" xfId="0" applyNumberFormat="1" applyFill="1" applyAlignment="1">
      <alignment horizontal="right"/>
    </xf>
    <xf numFmtId="0" fontId="4" fillId="4" borderId="22" xfId="0" applyFont="1" applyFill="1" applyBorder="1" applyAlignment="1">
      <alignment horizontal="right"/>
    </xf>
    <xf numFmtId="169" fontId="59" fillId="0" borderId="0" xfId="0" applyNumberFormat="1" applyFont="1"/>
    <xf numFmtId="177" fontId="1" fillId="0" borderId="0" xfId="0" applyNumberFormat="1" applyFont="1" applyAlignment="1">
      <alignment horizontal="left"/>
    </xf>
    <xf numFmtId="168" fontId="1" fillId="0" borderId="22" xfId="0" applyNumberFormat="1" applyFont="1" applyBorder="1"/>
    <xf numFmtId="0" fontId="4" fillId="12" borderId="22" xfId="0" applyFont="1" applyFill="1" applyBorder="1"/>
    <xf numFmtId="169" fontId="1" fillId="0" borderId="0" xfId="0" applyNumberFormat="1" applyFont="1" applyAlignment="1">
      <alignment horizontal="right"/>
    </xf>
    <xf numFmtId="169" fontId="16" fillId="0" borderId="0" xfId="0" applyNumberFormat="1" applyFont="1" applyAlignment="1">
      <alignment horizontal="right"/>
    </xf>
    <xf numFmtId="177" fontId="1" fillId="12" borderId="0" xfId="0" applyNumberFormat="1" applyFont="1" applyFill="1" applyAlignment="1">
      <alignment horizontal="left"/>
    </xf>
    <xf numFmtId="0" fontId="1" fillId="0" borderId="11" xfId="0" applyFont="1" applyBorder="1" applyAlignment="1">
      <alignment horizontal="right"/>
    </xf>
    <xf numFmtId="0" fontId="1" fillId="0" borderId="11" xfId="0" applyFont="1" applyBorder="1" applyAlignment="1">
      <alignment horizontal="left"/>
    </xf>
    <xf numFmtId="0" fontId="4" fillId="12" borderId="0" xfId="0" applyFont="1" applyFill="1" applyAlignment="1">
      <alignment horizontal="left"/>
    </xf>
    <xf numFmtId="0" fontId="12" fillId="11" borderId="35" xfId="0" applyFont="1" applyFill="1" applyBorder="1"/>
    <xf numFmtId="9" fontId="1" fillId="0" borderId="35" xfId="0" applyNumberFormat="1" applyFont="1" applyBorder="1" applyAlignment="1">
      <alignment horizontal="right"/>
    </xf>
    <xf numFmtId="10" fontId="1" fillId="0" borderId="103" xfId="0" applyNumberFormat="1" applyFont="1" applyBorder="1"/>
    <xf numFmtId="0" fontId="1" fillId="0" borderId="103" xfId="0" applyFont="1" applyBorder="1" applyAlignment="1">
      <alignment horizontal="right"/>
    </xf>
    <xf numFmtId="49" fontId="1" fillId="0" borderId="103" xfId="0" applyNumberFormat="1" applyFont="1" applyBorder="1" applyAlignment="1">
      <alignment horizontal="left"/>
    </xf>
    <xf numFmtId="49" fontId="1" fillId="0" borderId="103" xfId="0" applyNumberFormat="1" applyFont="1" applyBorder="1" applyAlignment="1">
      <alignment horizontal="right"/>
    </xf>
    <xf numFmtId="0" fontId="10" fillId="4" borderId="0" xfId="0" applyFont="1" applyFill="1"/>
    <xf numFmtId="0" fontId="4" fillId="4" borderId="22" xfId="0" applyFont="1" applyFill="1" applyBorder="1"/>
    <xf numFmtId="0" fontId="1" fillId="17" borderId="0" xfId="0" applyFont="1" applyFill="1" applyAlignment="1">
      <alignment horizontal="left"/>
    </xf>
    <xf numFmtId="0" fontId="1" fillId="12" borderId="102" xfId="0" applyFont="1" applyFill="1" applyBorder="1"/>
    <xf numFmtId="0" fontId="10" fillId="0" borderId="0" xfId="0" applyFont="1"/>
    <xf numFmtId="49" fontId="4" fillId="0" borderId="0" xfId="0" applyNumberFormat="1" applyFont="1" applyAlignment="1">
      <alignment horizontal="right"/>
    </xf>
    <xf numFmtId="49" fontId="4" fillId="0" borderId="22" xfId="0" applyNumberFormat="1" applyFont="1" applyBorder="1" applyAlignment="1">
      <alignment horizontal="right"/>
    </xf>
    <xf numFmtId="0" fontId="1" fillId="9" borderId="0" xfId="0" applyFont="1" applyFill="1" applyAlignment="1">
      <alignment horizontal="left"/>
    </xf>
    <xf numFmtId="49" fontId="1" fillId="9" borderId="0" xfId="0" applyNumberFormat="1" applyFont="1" applyFill="1" applyAlignment="1">
      <alignment horizontal="left"/>
    </xf>
    <xf numFmtId="49" fontId="1" fillId="9" borderId="0" xfId="0" applyNumberFormat="1" applyFont="1" applyFill="1" applyAlignment="1">
      <alignment horizontal="right"/>
    </xf>
    <xf numFmtId="49" fontId="1" fillId="9" borderId="22" xfId="0" applyNumberFormat="1" applyFont="1" applyFill="1" applyBorder="1" applyAlignment="1">
      <alignment horizontal="left"/>
    </xf>
    <xf numFmtId="49" fontId="1" fillId="9" borderId="22" xfId="0" applyNumberFormat="1" applyFont="1" applyFill="1" applyBorder="1" applyAlignment="1">
      <alignment horizontal="right"/>
    </xf>
    <xf numFmtId="0" fontId="1" fillId="18" borderId="0" xfId="0" applyFont="1" applyFill="1"/>
    <xf numFmtId="49" fontId="55" fillId="0" borderId="0" xfId="0" applyNumberFormat="1" applyFont="1" applyAlignment="1">
      <alignment horizontal="left"/>
    </xf>
    <xf numFmtId="49" fontId="55" fillId="0" borderId="22" xfId="0" applyNumberFormat="1" applyFont="1" applyBorder="1" applyAlignment="1">
      <alignment horizontal="left"/>
    </xf>
    <xf numFmtId="0" fontId="60" fillId="11" borderId="0" xfId="0" applyFont="1" applyFill="1" applyAlignment="1">
      <alignment horizontal="right"/>
    </xf>
    <xf numFmtId="0" fontId="60" fillId="11" borderId="0" xfId="0" applyFont="1" applyFill="1"/>
    <xf numFmtId="0" fontId="59" fillId="4" borderId="0" xfId="0" applyFont="1" applyFill="1"/>
    <xf numFmtId="49" fontId="1" fillId="9" borderId="103" xfId="0" applyNumberFormat="1" applyFont="1" applyFill="1" applyBorder="1" applyAlignment="1">
      <alignment horizontal="left"/>
    </xf>
    <xf numFmtId="49" fontId="1" fillId="9" borderId="103" xfId="0" applyNumberFormat="1" applyFont="1" applyFill="1" applyBorder="1" applyAlignment="1">
      <alignment horizontal="right"/>
    </xf>
    <xf numFmtId="0" fontId="1" fillId="12" borderId="11" xfId="0" applyFont="1" applyFill="1" applyBorder="1"/>
    <xf numFmtId="0" fontId="1" fillId="15" borderId="22" xfId="0" applyFont="1" applyFill="1" applyBorder="1"/>
    <xf numFmtId="0" fontId="1" fillId="13" borderId="22" xfId="0" applyFont="1" applyFill="1" applyBorder="1"/>
    <xf numFmtId="49" fontId="39" fillId="4" borderId="0" xfId="0" applyNumberFormat="1" applyFont="1" applyFill="1" applyAlignment="1">
      <alignment horizontal="left"/>
    </xf>
    <xf numFmtId="0" fontId="1" fillId="16" borderId="22" xfId="0" applyFont="1" applyFill="1" applyBorder="1"/>
    <xf numFmtId="0" fontId="1" fillId="16" borderId="0" xfId="0" applyFont="1" applyFill="1"/>
    <xf numFmtId="49" fontId="1" fillId="19" borderId="22" xfId="0" applyNumberFormat="1" applyFont="1" applyFill="1" applyBorder="1" applyAlignment="1">
      <alignment horizontal="left"/>
    </xf>
    <xf numFmtId="49" fontId="1" fillId="19" borderId="22" xfId="0" applyNumberFormat="1" applyFont="1" applyFill="1" applyBorder="1" applyAlignment="1">
      <alignment horizontal="right"/>
    </xf>
    <xf numFmtId="0" fontId="1" fillId="0" borderId="102" xfId="0" applyFont="1" applyBorder="1" applyAlignment="1">
      <alignment horizontal="right"/>
    </xf>
    <xf numFmtId="0" fontId="1" fillId="0" borderId="66" xfId="0" applyFont="1" applyBorder="1" applyAlignment="1">
      <alignment horizontal="right"/>
    </xf>
    <xf numFmtId="49" fontId="4" fillId="9" borderId="0" xfId="0" applyNumberFormat="1" applyFont="1" applyFill="1" applyAlignment="1">
      <alignment horizontal="left"/>
    </xf>
    <xf numFmtId="49" fontId="4" fillId="9" borderId="22" xfId="0" applyNumberFormat="1" applyFont="1" applyFill="1" applyBorder="1" applyAlignment="1">
      <alignment horizontal="left"/>
    </xf>
    <xf numFmtId="0" fontId="1" fillId="0" borderId="7" xfId="0" applyFont="1" applyBorder="1"/>
    <xf numFmtId="0" fontId="1" fillId="0" borderId="41" xfId="0" applyFont="1" applyBorder="1" applyAlignment="1">
      <alignment horizontal="right"/>
    </xf>
    <xf numFmtId="0" fontId="1" fillId="17" borderId="24" xfId="0" applyFont="1" applyFill="1" applyBorder="1" applyAlignment="1">
      <alignment horizontal="left"/>
    </xf>
    <xf numFmtId="0" fontId="1" fillId="14" borderId="106" xfId="0" applyFont="1" applyFill="1" applyBorder="1"/>
    <xf numFmtId="0" fontId="1" fillId="0" borderId="101" xfId="0" applyFont="1" applyBorder="1"/>
    <xf numFmtId="0" fontId="1" fillId="11" borderId="36" xfId="0" applyFont="1" applyFill="1" applyBorder="1" applyAlignment="1">
      <alignment horizontal="left"/>
    </xf>
    <xf numFmtId="0" fontId="1" fillId="16" borderId="106" xfId="0" applyFont="1" applyFill="1" applyBorder="1"/>
    <xf numFmtId="0" fontId="1" fillId="12" borderId="36" xfId="0" applyFont="1" applyFill="1" applyBorder="1" applyAlignment="1">
      <alignment horizontal="left"/>
    </xf>
    <xf numFmtId="0" fontId="1" fillId="13" borderId="106" xfId="0" applyFont="1" applyFill="1" applyBorder="1"/>
    <xf numFmtId="0" fontId="1" fillId="0" borderId="27" xfId="0" applyFont="1" applyBorder="1" applyAlignment="1">
      <alignment horizontal="left"/>
    </xf>
    <xf numFmtId="0" fontId="1" fillId="0" borderId="103" xfId="0" applyFont="1" applyBorder="1" applyAlignment="1">
      <alignment horizontal="left"/>
    </xf>
    <xf numFmtId="0" fontId="1" fillId="15" borderId="106" xfId="0" applyFont="1" applyFill="1" applyBorder="1"/>
    <xf numFmtId="0" fontId="1" fillId="12" borderId="107" xfId="0" applyFont="1" applyFill="1" applyBorder="1"/>
    <xf numFmtId="0" fontId="1" fillId="0" borderId="46" xfId="0" applyFont="1" applyBorder="1"/>
    <xf numFmtId="0" fontId="1" fillId="0" borderId="108" xfId="0" applyFont="1" applyBorder="1"/>
    <xf numFmtId="0" fontId="61" fillId="0" borderId="0" xfId="0" applyFont="1"/>
    <xf numFmtId="0" fontId="62" fillId="0" borderId="0" xfId="0" applyFont="1" applyAlignment="1">
      <alignment horizontal="left"/>
    </xf>
    <xf numFmtId="0" fontId="0" fillId="4" borderId="0" xfId="0" applyFill="1" applyAlignment="1">
      <alignment horizontal="left"/>
    </xf>
    <xf numFmtId="0" fontId="1" fillId="21" borderId="0" xfId="0" applyFont="1" applyFill="1"/>
    <xf numFmtId="0" fontId="12" fillId="21" borderId="4" xfId="0" applyFont="1" applyFill="1" applyBorder="1" applyAlignment="1">
      <alignment horizontal="right"/>
    </xf>
    <xf numFmtId="0" fontId="1" fillId="0" borderId="12" xfId="0" applyFont="1" applyBorder="1"/>
    <xf numFmtId="0" fontId="4" fillId="4" borderId="14" xfId="0" applyFont="1" applyFill="1" applyBorder="1" applyAlignment="1">
      <alignment horizontal="left"/>
    </xf>
    <xf numFmtId="0" fontId="4" fillId="4" borderId="24" xfId="0" applyFont="1" applyFill="1" applyBorder="1" applyAlignment="1">
      <alignment horizontal="left"/>
    </xf>
    <xf numFmtId="0" fontId="1" fillId="0" borderId="19" xfId="0" applyFont="1" applyBorder="1"/>
    <xf numFmtId="0" fontId="1" fillId="0" borderId="73" xfId="0" applyFont="1" applyBorder="1"/>
    <xf numFmtId="0" fontId="1" fillId="0" borderId="105" xfId="0" applyFont="1" applyBorder="1"/>
    <xf numFmtId="164" fontId="1" fillId="0" borderId="104" xfId="0" applyNumberFormat="1" applyFont="1" applyBorder="1" applyAlignment="1">
      <alignment horizontal="right"/>
    </xf>
    <xf numFmtId="165" fontId="1" fillId="3" borderId="0" xfId="0" applyNumberFormat="1" applyFont="1" applyFill="1"/>
    <xf numFmtId="0" fontId="1" fillId="3" borderId="104" xfId="0" applyFont="1" applyFill="1" applyBorder="1"/>
    <xf numFmtId="0" fontId="4" fillId="3" borderId="104" xfId="0" applyFont="1" applyFill="1" applyBorder="1"/>
    <xf numFmtId="0" fontId="1" fillId="0" borderId="104" xfId="0" applyFont="1" applyBorder="1"/>
    <xf numFmtId="0" fontId="7" fillId="3" borderId="0" xfId="0" applyFont="1" applyFill="1"/>
    <xf numFmtId="0" fontId="4" fillId="3" borderId="104" xfId="0" applyFont="1" applyFill="1" applyBorder="1" applyAlignment="1">
      <alignment horizontal="left"/>
    </xf>
    <xf numFmtId="0" fontId="3" fillId="0" borderId="6" xfId="0" applyFont="1" applyBorder="1" applyAlignment="1">
      <alignment wrapText="1"/>
    </xf>
    <xf numFmtId="0" fontId="3" fillId="0" borderId="79" xfId="0" applyFont="1" applyBorder="1"/>
    <xf numFmtId="0" fontId="3" fillId="3" borderId="79" xfId="0" applyFont="1" applyFill="1" applyBorder="1"/>
    <xf numFmtId="164" fontId="3" fillId="0" borderId="79" xfId="0" applyNumberFormat="1" applyFont="1" applyBorder="1" applyAlignment="1">
      <alignment horizontal="right"/>
    </xf>
    <xf numFmtId="164" fontId="3" fillId="0" borderId="7" xfId="0" applyNumberFormat="1" applyFont="1" applyBorder="1" applyAlignment="1">
      <alignment horizontal="right"/>
    </xf>
    <xf numFmtId="0" fontId="9" fillId="3" borderId="104" xfId="0" applyFont="1" applyFill="1" applyBorder="1"/>
    <xf numFmtId="164" fontId="1" fillId="0" borderId="3" xfId="0" applyNumberFormat="1" applyFont="1" applyBorder="1" applyAlignment="1">
      <alignment horizontal="right"/>
    </xf>
    <xf numFmtId="0" fontId="4" fillId="0" borderId="73" xfId="0" applyFont="1" applyBorder="1"/>
    <xf numFmtId="0" fontId="13" fillId="3" borderId="104" xfId="0" applyFont="1" applyFill="1" applyBorder="1"/>
    <xf numFmtId="0" fontId="1" fillId="3" borderId="105" xfId="0" applyFont="1" applyFill="1" applyBorder="1"/>
    <xf numFmtId="164" fontId="1" fillId="0" borderId="105" xfId="0" applyNumberFormat="1" applyFont="1" applyBorder="1" applyAlignment="1">
      <alignment horizontal="right"/>
    </xf>
    <xf numFmtId="164" fontId="1" fillId="0" borderId="5" xfId="0" applyNumberFormat="1" applyFont="1" applyBorder="1" applyAlignment="1">
      <alignment horizontal="right"/>
    </xf>
    <xf numFmtId="164" fontId="1" fillId="3" borderId="0" xfId="0" applyNumberFormat="1" applyFont="1" applyFill="1" applyAlignment="1">
      <alignment horizontal="right"/>
    </xf>
    <xf numFmtId="0" fontId="9" fillId="3" borderId="0" xfId="0" applyFont="1" applyFill="1"/>
    <xf numFmtId="0" fontId="3" fillId="0" borderId="8" xfId="0" applyFont="1" applyBorder="1"/>
    <xf numFmtId="0" fontId="1" fillId="0" borderId="43" xfId="0" applyFont="1" applyBorder="1"/>
    <xf numFmtId="0" fontId="19" fillId="0" borderId="43" xfId="0" applyFont="1" applyBorder="1" applyAlignment="1">
      <alignment wrapText="1"/>
    </xf>
    <xf numFmtId="0" fontId="3" fillId="3" borderId="12" xfId="0" applyFont="1" applyFill="1" applyBorder="1"/>
    <xf numFmtId="0" fontId="3" fillId="3" borderId="14" xfId="0" applyFont="1" applyFill="1" applyBorder="1"/>
    <xf numFmtId="0" fontId="1" fillId="0" borderId="43" xfId="0" applyFont="1" applyBorder="1" applyAlignment="1">
      <alignment wrapText="1"/>
    </xf>
    <xf numFmtId="0" fontId="1" fillId="3" borderId="73" xfId="0" applyFont="1" applyFill="1" applyBorder="1"/>
    <xf numFmtId="0" fontId="3" fillId="0" borderId="105" xfId="0" applyFont="1" applyBorder="1"/>
    <xf numFmtId="0" fontId="1" fillId="2" borderId="73" xfId="0" applyFont="1" applyFill="1" applyBorder="1"/>
    <xf numFmtId="0" fontId="3" fillId="0" borderId="43" xfId="0" applyFont="1" applyBorder="1" applyAlignment="1">
      <alignment wrapText="1"/>
    </xf>
    <xf numFmtId="0" fontId="3" fillId="0" borderId="43" xfId="0" applyFont="1" applyBorder="1"/>
    <xf numFmtId="0" fontId="1" fillId="3" borderId="73" xfId="0" applyFont="1" applyFill="1" applyBorder="1" applyAlignment="1">
      <alignment horizontal="right"/>
    </xf>
    <xf numFmtId="0" fontId="1" fillId="3" borderId="3" xfId="0" applyFont="1" applyFill="1" applyBorder="1" applyAlignment="1">
      <alignment horizontal="right"/>
    </xf>
    <xf numFmtId="0" fontId="3" fillId="0" borderId="17" xfId="0" applyFont="1" applyBorder="1"/>
    <xf numFmtId="0" fontId="3" fillId="0" borderId="6" xfId="0" applyFont="1" applyBorder="1"/>
    <xf numFmtId="0" fontId="3" fillId="0" borderId="7" xfId="0" applyFont="1" applyBorder="1"/>
    <xf numFmtId="0" fontId="5" fillId="0" borderId="0" xfId="0" applyFont="1"/>
    <xf numFmtId="0" fontId="5" fillId="0" borderId="104" xfId="0" applyFont="1" applyBorder="1"/>
    <xf numFmtId="0" fontId="1" fillId="3" borderId="43" xfId="0" applyFont="1" applyFill="1" applyBorder="1" applyAlignment="1">
      <alignment wrapText="1"/>
    </xf>
    <xf numFmtId="0" fontId="9" fillId="4" borderId="0" xfId="0" applyFont="1" applyFill="1" applyAlignment="1">
      <alignment horizontal="left"/>
    </xf>
    <xf numFmtId="0" fontId="3" fillId="3" borderId="0" xfId="0" applyFont="1" applyFill="1"/>
    <xf numFmtId="0" fontId="3" fillId="3" borderId="13" xfId="0" applyFont="1" applyFill="1" applyBorder="1"/>
    <xf numFmtId="0" fontId="3" fillId="0" borderId="16" xfId="0" applyFont="1" applyBorder="1"/>
    <xf numFmtId="0" fontId="3" fillId="3" borderId="27" xfId="0" applyFont="1" applyFill="1" applyBorder="1"/>
    <xf numFmtId="0" fontId="3" fillId="3" borderId="3" xfId="0" applyFont="1" applyFill="1" applyBorder="1"/>
    <xf numFmtId="0" fontId="1" fillId="3" borderId="29" xfId="0" applyFont="1" applyFill="1" applyBorder="1" applyAlignment="1">
      <alignment wrapText="1"/>
    </xf>
    <xf numFmtId="0" fontId="7" fillId="4" borderId="16" xfId="0" applyFont="1" applyFill="1" applyBorder="1" applyAlignment="1">
      <alignment horizontal="left"/>
    </xf>
    <xf numFmtId="0" fontId="9" fillId="0" borderId="16" xfId="0" applyFont="1" applyBorder="1"/>
    <xf numFmtId="0" fontId="1" fillId="3" borderId="0" xfId="0" applyFont="1" applyFill="1" applyAlignment="1">
      <alignment wrapText="1"/>
    </xf>
    <xf numFmtId="0" fontId="9" fillId="0" borderId="0" xfId="0" applyFont="1"/>
    <xf numFmtId="0" fontId="8" fillId="3" borderId="105" xfId="0" applyFont="1" applyFill="1" applyBorder="1" applyAlignment="1">
      <alignment horizontal="left"/>
    </xf>
    <xf numFmtId="0" fontId="1" fillId="3" borderId="105" xfId="0" applyFont="1" applyFill="1" applyBorder="1" applyAlignment="1">
      <alignment wrapText="1"/>
    </xf>
    <xf numFmtId="0" fontId="0" fillId="3" borderId="105" xfId="0" applyFill="1" applyBorder="1" applyAlignment="1">
      <alignment wrapText="1"/>
    </xf>
    <xf numFmtId="0" fontId="0" fillId="0" borderId="105" xfId="0" applyBorder="1" applyAlignment="1">
      <alignment wrapText="1"/>
    </xf>
    <xf numFmtId="0" fontId="1" fillId="0" borderId="32" xfId="0" applyFont="1" applyBorder="1" applyAlignment="1">
      <alignment wrapText="1"/>
    </xf>
    <xf numFmtId="0" fontId="1" fillId="3" borderId="25" xfId="0" applyFont="1" applyFill="1" applyBorder="1" applyAlignment="1">
      <alignment wrapText="1"/>
    </xf>
    <xf numFmtId="0" fontId="3" fillId="0" borderId="4" xfId="0" applyFont="1" applyBorder="1"/>
    <xf numFmtId="0" fontId="16" fillId="3" borderId="43" xfId="0" applyFont="1" applyFill="1" applyBorder="1"/>
    <xf numFmtId="0" fontId="3" fillId="3" borderId="9" xfId="0" applyFont="1" applyFill="1" applyBorder="1"/>
    <xf numFmtId="0" fontId="16" fillId="3" borderId="105" xfId="0" applyFont="1" applyFill="1" applyBorder="1"/>
    <xf numFmtId="0" fontId="3" fillId="3" borderId="105" xfId="0" applyFont="1" applyFill="1" applyBorder="1"/>
    <xf numFmtId="168" fontId="1" fillId="3" borderId="105" xfId="0" applyNumberFormat="1" applyFont="1" applyFill="1" applyBorder="1"/>
    <xf numFmtId="0" fontId="3" fillId="3" borderId="5" xfId="0" applyFont="1" applyFill="1" applyBorder="1"/>
    <xf numFmtId="0" fontId="19" fillId="3" borderId="43" xfId="0" applyFont="1" applyFill="1" applyBorder="1" applyAlignment="1">
      <alignment wrapText="1"/>
    </xf>
    <xf numFmtId="0" fontId="19" fillId="0" borderId="73" xfId="0" applyFont="1" applyBorder="1" applyAlignment="1">
      <alignment wrapText="1"/>
    </xf>
    <xf numFmtId="0" fontId="12" fillId="3" borderId="73" xfId="0" applyFont="1" applyFill="1" applyBorder="1"/>
    <xf numFmtId="0" fontId="28" fillId="0" borderId="43" xfId="0" applyFont="1" applyBorder="1" applyAlignment="1">
      <alignment wrapText="1"/>
    </xf>
    <xf numFmtId="0" fontId="3" fillId="0" borderId="18" xfId="0" applyFont="1" applyBorder="1" applyAlignment="1">
      <alignment wrapText="1"/>
    </xf>
    <xf numFmtId="0" fontId="3" fillId="3" borderId="22" xfId="0" applyFont="1" applyFill="1" applyBorder="1"/>
    <xf numFmtId="0" fontId="3" fillId="3" borderId="24" xfId="0" applyFont="1" applyFill="1" applyBorder="1"/>
    <xf numFmtId="0" fontId="3" fillId="6" borderId="17" xfId="0" applyFont="1" applyFill="1" applyBorder="1"/>
    <xf numFmtId="0" fontId="3" fillId="3" borderId="36" xfId="0" applyFont="1" applyFill="1" applyBorder="1"/>
    <xf numFmtId="0" fontId="3" fillId="3" borderId="33" xfId="0" applyFont="1" applyFill="1" applyBorder="1"/>
    <xf numFmtId="0" fontId="3" fillId="6" borderId="40" xfId="0" applyFont="1" applyFill="1" applyBorder="1"/>
    <xf numFmtId="0" fontId="28" fillId="0" borderId="105" xfId="0" applyFont="1" applyBorder="1" applyAlignment="1">
      <alignment horizontal="left"/>
    </xf>
    <xf numFmtId="0" fontId="28" fillId="0" borderId="5" xfId="0" applyFont="1" applyBorder="1" applyAlignment="1">
      <alignment horizontal="left"/>
    </xf>
    <xf numFmtId="0" fontId="3" fillId="3" borderId="45" xfId="0" applyFont="1" applyFill="1" applyBorder="1" applyAlignment="1">
      <alignment wrapText="1"/>
    </xf>
    <xf numFmtId="0" fontId="14" fillId="3" borderId="43" xfId="0" applyFont="1" applyFill="1" applyBorder="1" applyAlignment="1">
      <alignment wrapText="1"/>
    </xf>
    <xf numFmtId="0" fontId="1" fillId="3" borderId="43" xfId="0" applyFont="1" applyFill="1" applyBorder="1"/>
    <xf numFmtId="0" fontId="3" fillId="3" borderId="8" xfId="0" applyFont="1" applyFill="1" applyBorder="1" applyAlignment="1">
      <alignment wrapText="1"/>
    </xf>
    <xf numFmtId="0" fontId="3" fillId="3" borderId="43" xfId="0" applyFont="1" applyFill="1" applyBorder="1" applyAlignment="1">
      <alignment wrapText="1"/>
    </xf>
    <xf numFmtId="0" fontId="3" fillId="4" borderId="8" xfId="0" applyFont="1" applyFill="1" applyBorder="1" applyAlignment="1">
      <alignment wrapText="1"/>
    </xf>
    <xf numFmtId="0" fontId="3" fillId="4" borderId="43" xfId="0" applyFont="1" applyFill="1" applyBorder="1" applyAlignment="1">
      <alignment wrapText="1"/>
    </xf>
    <xf numFmtId="0" fontId="19" fillId="4" borderId="43" xfId="0" applyFont="1" applyFill="1" applyBorder="1" applyAlignment="1">
      <alignment wrapText="1"/>
    </xf>
    <xf numFmtId="0" fontId="1" fillId="4" borderId="73" xfId="0" applyFont="1" applyFill="1" applyBorder="1"/>
    <xf numFmtId="0" fontId="1" fillId="3" borderId="19" xfId="0" applyFont="1" applyFill="1" applyBorder="1"/>
    <xf numFmtId="0" fontId="1" fillId="3" borderId="52" xfId="0" applyFont="1" applyFill="1" applyBorder="1" applyAlignment="1">
      <alignment horizontal="right"/>
    </xf>
    <xf numFmtId="166" fontId="1" fillId="3" borderId="105" xfId="0" applyNumberFormat="1" applyFont="1" applyFill="1" applyBorder="1"/>
    <xf numFmtId="166" fontId="1" fillId="3" borderId="27" xfId="0" applyNumberFormat="1" applyFont="1" applyFill="1" applyBorder="1"/>
    <xf numFmtId="0" fontId="1" fillId="3" borderId="105" xfId="0" applyFont="1" applyFill="1" applyBorder="1" applyAlignment="1">
      <alignment horizontal="right"/>
    </xf>
    <xf numFmtId="0" fontId="21" fillId="3" borderId="105" xfId="0" applyFont="1" applyFill="1" applyBorder="1" applyAlignment="1">
      <alignment horizontal="right"/>
    </xf>
    <xf numFmtId="0" fontId="28" fillId="3" borderId="55" xfId="0" applyFont="1" applyFill="1" applyBorder="1" applyAlignment="1">
      <alignment wrapText="1"/>
    </xf>
    <xf numFmtId="0" fontId="3" fillId="3" borderId="57" xfId="0" applyFont="1" applyFill="1" applyBorder="1"/>
    <xf numFmtId="0" fontId="3" fillId="0" borderId="19" xfId="0" applyFont="1" applyBorder="1"/>
    <xf numFmtId="0" fontId="1" fillId="2" borderId="14" xfId="0" applyFont="1" applyFill="1" applyBorder="1"/>
    <xf numFmtId="0" fontId="3" fillId="3" borderId="58" xfId="0" applyFont="1" applyFill="1" applyBorder="1"/>
    <xf numFmtId="0" fontId="1" fillId="2" borderId="23" xfId="0" applyFont="1" applyFill="1" applyBorder="1"/>
    <xf numFmtId="0" fontId="3" fillId="3" borderId="36" xfId="0" applyFont="1" applyFill="1" applyBorder="1" applyAlignment="1">
      <alignment wrapText="1"/>
    </xf>
    <xf numFmtId="0" fontId="1" fillId="3" borderId="58" xfId="0" applyFont="1" applyFill="1" applyBorder="1" applyAlignment="1">
      <alignment wrapText="1"/>
    </xf>
    <xf numFmtId="0" fontId="3" fillId="0" borderId="16" xfId="0" applyFont="1" applyBorder="1" applyAlignment="1">
      <alignment wrapText="1"/>
    </xf>
    <xf numFmtId="0" fontId="1" fillId="0" borderId="3" xfId="0" applyFont="1" applyBorder="1" applyAlignment="1">
      <alignment horizontal="right"/>
    </xf>
    <xf numFmtId="167" fontId="1" fillId="3" borderId="36" xfId="0" applyNumberFormat="1" applyFont="1" applyFill="1" applyBorder="1" applyAlignment="1">
      <alignment wrapText="1"/>
    </xf>
    <xf numFmtId="0" fontId="3" fillId="3" borderId="38" xfId="0" applyFont="1" applyFill="1" applyBorder="1" applyAlignment="1">
      <alignment wrapText="1"/>
    </xf>
    <xf numFmtId="0" fontId="3" fillId="0" borderId="13" xfId="0" applyFont="1" applyBorder="1"/>
    <xf numFmtId="0" fontId="1" fillId="0" borderId="43" xfId="0" applyFont="1" applyBorder="1" applyAlignment="1">
      <alignment horizontal="right"/>
    </xf>
    <xf numFmtId="0" fontId="32" fillId="0" borderId="0" xfId="0" applyFont="1" applyAlignment="1">
      <alignment horizontal="right"/>
    </xf>
    <xf numFmtId="0" fontId="1" fillId="0" borderId="105" xfId="0" applyFont="1" applyBorder="1" applyAlignment="1">
      <alignment horizontal="right"/>
    </xf>
    <xf numFmtId="0" fontId="3" fillId="0" borderId="105" xfId="0" applyFont="1" applyBorder="1" applyAlignment="1">
      <alignment horizontal="right"/>
    </xf>
    <xf numFmtId="0" fontId="3" fillId="3" borderId="25" xfId="0" applyFont="1" applyFill="1" applyBorder="1"/>
    <xf numFmtId="0" fontId="1" fillId="0" borderId="5" xfId="0" applyFont="1" applyBorder="1" applyAlignment="1">
      <alignment horizontal="right"/>
    </xf>
    <xf numFmtId="0" fontId="3" fillId="0" borderId="14" xfId="0" applyFont="1" applyBorder="1"/>
    <xf numFmtId="0" fontId="28" fillId="0" borderId="35" xfId="0" applyFont="1" applyBorder="1" applyAlignment="1">
      <alignment wrapText="1"/>
    </xf>
    <xf numFmtId="0" fontId="28" fillId="0" borderId="36" xfId="0" applyFont="1" applyBorder="1" applyAlignment="1">
      <alignment wrapText="1"/>
    </xf>
    <xf numFmtId="0" fontId="3" fillId="0" borderId="27" xfId="0" applyFont="1" applyBorder="1"/>
    <xf numFmtId="0" fontId="3" fillId="0" borderId="72" xfId="0" applyFont="1" applyBorder="1"/>
    <xf numFmtId="0" fontId="28" fillId="0" borderId="19" xfId="0" applyFont="1" applyBorder="1" applyAlignment="1">
      <alignment wrapText="1"/>
    </xf>
    <xf numFmtId="0" fontId="4" fillId="0" borderId="105" xfId="0" applyFont="1" applyBorder="1" applyAlignment="1">
      <alignment horizontal="right"/>
    </xf>
    <xf numFmtId="0" fontId="12" fillId="3" borderId="43" xfId="0" applyFont="1" applyFill="1" applyBorder="1"/>
    <xf numFmtId="0" fontId="12" fillId="3" borderId="9" xfId="0" applyFont="1" applyFill="1" applyBorder="1"/>
    <xf numFmtId="0" fontId="3" fillId="3" borderId="43" xfId="0" applyFont="1" applyFill="1" applyBorder="1"/>
    <xf numFmtId="0" fontId="11" fillId="3" borderId="3" xfId="0" applyFont="1" applyFill="1" applyBorder="1" applyAlignment="1">
      <alignment horizontal="right"/>
    </xf>
    <xf numFmtId="9" fontId="1" fillId="3" borderId="0" xfId="0" applyNumberFormat="1" applyFont="1" applyFill="1"/>
    <xf numFmtId="0" fontId="3" fillId="0" borderId="24" xfId="0" applyFont="1" applyBorder="1"/>
    <xf numFmtId="0" fontId="1" fillId="0" borderId="20" xfId="0" applyFont="1" applyBorder="1" applyAlignment="1">
      <alignment wrapText="1"/>
    </xf>
    <xf numFmtId="0" fontId="3" fillId="0" borderId="39" xfId="0" applyFont="1" applyBorder="1"/>
    <xf numFmtId="0" fontId="1" fillId="9" borderId="43" xfId="0" applyFont="1" applyFill="1" applyBorder="1" applyAlignment="1">
      <alignment wrapText="1"/>
    </xf>
    <xf numFmtId="0" fontId="3" fillId="9" borderId="16" xfId="0" applyFont="1" applyFill="1" applyBorder="1"/>
    <xf numFmtId="0" fontId="3" fillId="9" borderId="14" xfId="0" applyFont="1" applyFill="1" applyBorder="1"/>
    <xf numFmtId="0" fontId="3" fillId="9" borderId="105" xfId="0" applyFont="1" applyFill="1" applyBorder="1"/>
    <xf numFmtId="0" fontId="3" fillId="9" borderId="27" xfId="0" applyFont="1" applyFill="1" applyBorder="1"/>
    <xf numFmtId="0" fontId="3" fillId="9" borderId="5" xfId="0" applyFont="1" applyFill="1" applyBorder="1"/>
    <xf numFmtId="0" fontId="1" fillId="3" borderId="22" xfId="0" applyFont="1" applyFill="1" applyBorder="1" applyAlignment="1">
      <alignment horizontal="right"/>
    </xf>
    <xf numFmtId="0" fontId="1" fillId="3" borderId="24" xfId="0" applyFont="1" applyFill="1" applyBorder="1" applyAlignment="1">
      <alignment horizontal="right"/>
    </xf>
    <xf numFmtId="0" fontId="3" fillId="0" borderId="63" xfId="0" applyFont="1" applyBorder="1"/>
    <xf numFmtId="0" fontId="1" fillId="0" borderId="79" xfId="0" applyFont="1" applyBorder="1"/>
    <xf numFmtId="0" fontId="1" fillId="0" borderId="40" xfId="0" applyFont="1" applyBorder="1"/>
    <xf numFmtId="0" fontId="14" fillId="0" borderId="43" xfId="0" applyFont="1" applyBorder="1" applyAlignment="1">
      <alignment wrapText="1"/>
    </xf>
    <xf numFmtId="0" fontId="3" fillId="3" borderId="15" xfId="0" applyFont="1" applyFill="1" applyBorder="1" applyAlignment="1">
      <alignment wrapText="1"/>
    </xf>
    <xf numFmtId="4" fontId="1" fillId="3" borderId="105" xfId="0" applyNumberFormat="1" applyFont="1" applyFill="1" applyBorder="1"/>
    <xf numFmtId="0" fontId="1" fillId="3" borderId="9" xfId="0" applyFont="1" applyFill="1" applyBorder="1" applyAlignment="1">
      <alignment wrapText="1"/>
    </xf>
    <xf numFmtId="0" fontId="3" fillId="0" borderId="3" xfId="0" applyFont="1" applyBorder="1" applyAlignment="1">
      <alignment horizontal="right"/>
    </xf>
    <xf numFmtId="0" fontId="0" fillId="3" borderId="43" xfId="0" applyFill="1" applyBorder="1" applyAlignment="1">
      <alignment wrapText="1"/>
    </xf>
    <xf numFmtId="0" fontId="3" fillId="3" borderId="28" xfId="0" applyFont="1" applyFill="1" applyBorder="1"/>
    <xf numFmtId="0" fontId="3" fillId="3" borderId="51" xfId="0" applyFont="1" applyFill="1" applyBorder="1"/>
    <xf numFmtId="0" fontId="44" fillId="0" borderId="0" xfId="0" applyFont="1" applyAlignment="1">
      <alignment horizontal="left"/>
    </xf>
    <xf numFmtId="0" fontId="1" fillId="0" borderId="79" xfId="0" applyFont="1" applyBorder="1" applyAlignment="1">
      <alignment wrapText="1"/>
    </xf>
    <xf numFmtId="0" fontId="19" fillId="0" borderId="79" xfId="0" applyFont="1" applyBorder="1" applyAlignment="1">
      <alignment wrapText="1"/>
    </xf>
    <xf numFmtId="0" fontId="12" fillId="9" borderId="89" xfId="0" applyFont="1" applyFill="1" applyBorder="1"/>
    <xf numFmtId="172" fontId="0" fillId="3" borderId="105" xfId="0" applyNumberFormat="1" applyFill="1" applyBorder="1"/>
    <xf numFmtId="172" fontId="3" fillId="3" borderId="5" xfId="0" applyNumberFormat="1" applyFont="1" applyFill="1" applyBorder="1"/>
    <xf numFmtId="11" fontId="1" fillId="3" borderId="105" xfId="0" applyNumberFormat="1" applyFont="1" applyFill="1" applyBorder="1"/>
    <xf numFmtId="0" fontId="46" fillId="3" borderId="105" xfId="0" applyFont="1" applyFill="1" applyBorder="1"/>
    <xf numFmtId="173" fontId="3" fillId="3" borderId="5" xfId="0" applyNumberFormat="1" applyFont="1" applyFill="1" applyBorder="1"/>
    <xf numFmtId="0" fontId="5" fillId="0" borderId="25" xfId="0" applyFont="1" applyBorder="1"/>
    <xf numFmtId="0" fontId="1" fillId="0" borderId="42" xfId="0" applyFont="1" applyBorder="1" applyAlignment="1">
      <alignment wrapText="1"/>
    </xf>
    <xf numFmtId="0" fontId="7" fillId="4" borderId="18" xfId="0" applyFont="1" applyFill="1" applyBorder="1" applyAlignment="1">
      <alignment horizontal="left"/>
    </xf>
    <xf numFmtId="0" fontId="22" fillId="0" borderId="105" xfId="0" applyFont="1" applyBorder="1"/>
    <xf numFmtId="0" fontId="3" fillId="6" borderId="6" xfId="0" applyFont="1" applyFill="1" applyBorder="1"/>
    <xf numFmtId="0" fontId="1" fillId="6" borderId="0" xfId="0" applyFont="1" applyFill="1" applyAlignment="1">
      <alignment horizontal="right"/>
    </xf>
    <xf numFmtId="0" fontId="1" fillId="6" borderId="105" xfId="0" applyFont="1" applyFill="1" applyBorder="1"/>
    <xf numFmtId="0" fontId="1" fillId="0" borderId="73" xfId="0" applyFont="1" applyBorder="1" applyAlignment="1">
      <alignment horizontal="right"/>
    </xf>
    <xf numFmtId="0" fontId="1" fillId="10" borderId="105" xfId="0" applyFont="1" applyFill="1" applyBorder="1"/>
    <xf numFmtId="0" fontId="16" fillId="0" borderId="105" xfId="0" applyFont="1" applyBorder="1"/>
    <xf numFmtId="0" fontId="1" fillId="9" borderId="20" xfId="0" applyFont="1" applyFill="1" applyBorder="1"/>
    <xf numFmtId="0" fontId="1" fillId="9" borderId="0" xfId="0" applyFont="1" applyFill="1" applyAlignment="1">
      <alignment wrapText="1"/>
    </xf>
    <xf numFmtId="0" fontId="7" fillId="9" borderId="0" xfId="0" applyFont="1" applyFill="1"/>
    <xf numFmtId="0" fontId="9" fillId="9" borderId="0" xfId="0" applyFont="1" applyFill="1"/>
    <xf numFmtId="0" fontId="5" fillId="9" borderId="0" xfId="0" applyFont="1" applyFill="1"/>
    <xf numFmtId="0" fontId="30" fillId="9" borderId="20" xfId="0" applyFont="1" applyFill="1" applyBorder="1"/>
    <xf numFmtId="0" fontId="30" fillId="9" borderId="0" xfId="0" applyFont="1" applyFill="1"/>
    <xf numFmtId="174" fontId="1" fillId="0" borderId="73" xfId="0" applyNumberFormat="1" applyFont="1" applyBorder="1" applyAlignment="1">
      <alignment horizontal="left"/>
    </xf>
    <xf numFmtId="174" fontId="3" fillId="0" borderId="73" xfId="0" applyNumberFormat="1" applyFont="1" applyBorder="1" applyAlignment="1">
      <alignment horizontal="left" wrapText="1"/>
    </xf>
    <xf numFmtId="175" fontId="3" fillId="0" borderId="0" xfId="0" applyNumberFormat="1" applyFont="1" applyAlignment="1">
      <alignment horizontal="left" wrapText="1"/>
    </xf>
    <xf numFmtId="174" fontId="3" fillId="0" borderId="73" xfId="0" applyNumberFormat="1" applyFont="1" applyBorder="1" applyAlignment="1">
      <alignment horizontal="right"/>
    </xf>
    <xf numFmtId="0" fontId="3" fillId="0" borderId="105" xfId="0" applyFont="1" applyBorder="1" applyAlignment="1">
      <alignment horizontal="left"/>
    </xf>
    <xf numFmtId="0" fontId="4" fillId="0" borderId="105" xfId="0" applyFont="1" applyBorder="1" applyAlignment="1">
      <alignment horizontal="left"/>
    </xf>
    <xf numFmtId="164" fontId="4" fillId="0" borderId="105" xfId="0" applyNumberFormat="1" applyFont="1" applyBorder="1" applyAlignment="1">
      <alignment horizontal="right"/>
    </xf>
    <xf numFmtId="174" fontId="11" fillId="11" borderId="73" xfId="0" applyNumberFormat="1" applyFont="1" applyFill="1" applyBorder="1" applyAlignment="1">
      <alignment horizontal="right"/>
    </xf>
    <xf numFmtId="0" fontId="3" fillId="12" borderId="105" xfId="0" applyFont="1" applyFill="1" applyBorder="1" applyAlignment="1">
      <alignment horizontal="left"/>
    </xf>
    <xf numFmtId="164" fontId="1" fillId="12" borderId="105" xfId="0" applyNumberFormat="1" applyFont="1" applyFill="1" applyBorder="1" applyAlignment="1">
      <alignment horizontal="right"/>
    </xf>
    <xf numFmtId="0" fontId="1" fillId="0" borderId="105" xfId="0" applyFont="1" applyBorder="1" applyAlignment="1">
      <alignment horizontal="left"/>
    </xf>
    <xf numFmtId="164" fontId="1" fillId="0" borderId="19" xfId="0" applyNumberFormat="1" applyFont="1" applyBorder="1" applyAlignment="1">
      <alignment horizontal="right"/>
    </xf>
    <xf numFmtId="0" fontId="11" fillId="11" borderId="105" xfId="0" applyFont="1" applyFill="1" applyBorder="1" applyAlignment="1">
      <alignment horizontal="left"/>
    </xf>
    <xf numFmtId="175" fontId="1" fillId="11" borderId="105" xfId="0" applyNumberFormat="1" applyFont="1" applyFill="1" applyBorder="1" applyAlignment="1">
      <alignment horizontal="right"/>
    </xf>
    <xf numFmtId="175" fontId="1" fillId="12" borderId="105" xfId="0" applyNumberFormat="1" applyFont="1" applyFill="1" applyBorder="1" applyAlignment="1">
      <alignment horizontal="right"/>
    </xf>
    <xf numFmtId="164" fontId="1" fillId="0" borderId="79" xfId="0" applyNumberFormat="1" applyFont="1" applyBorder="1" applyAlignment="1">
      <alignment horizontal="right"/>
    </xf>
    <xf numFmtId="0" fontId="1" fillId="0" borderId="79" xfId="0" applyFont="1" applyBorder="1" applyAlignment="1">
      <alignment horizontal="left"/>
    </xf>
    <xf numFmtId="0" fontId="3" fillId="0" borderId="79" xfId="0" applyFont="1" applyBorder="1" applyAlignment="1">
      <alignment horizontal="left"/>
    </xf>
    <xf numFmtId="174" fontId="3" fillId="0" borderId="6" xfId="0" applyNumberFormat="1" applyFont="1" applyBorder="1" applyAlignment="1">
      <alignment horizontal="right"/>
    </xf>
    <xf numFmtId="175" fontId="1" fillId="0" borderId="105" xfId="0" applyNumberFormat="1" applyFont="1" applyBorder="1" applyAlignment="1">
      <alignment horizontal="right"/>
    </xf>
    <xf numFmtId="0" fontId="3" fillId="12" borderId="0" xfId="0" applyFont="1" applyFill="1" applyAlignment="1">
      <alignment horizontal="left"/>
    </xf>
    <xf numFmtId="174" fontId="3" fillId="11" borderId="73" xfId="0" applyNumberFormat="1" applyFont="1" applyFill="1" applyBorder="1" applyAlignment="1">
      <alignment horizontal="right"/>
    </xf>
    <xf numFmtId="0" fontId="3" fillId="11" borderId="0" xfId="0" applyFont="1" applyFill="1" applyAlignment="1">
      <alignment horizontal="left"/>
    </xf>
    <xf numFmtId="0" fontId="0" fillId="0" borderId="105" xfId="0" applyBorder="1"/>
    <xf numFmtId="0" fontId="4" fillId="0" borderId="105" xfId="0" applyFont="1" applyBorder="1"/>
    <xf numFmtId="174" fontId="28" fillId="0" borderId="4" xfId="0" applyNumberFormat="1" applyFont="1" applyBorder="1" applyAlignment="1">
      <alignment horizontal="right"/>
    </xf>
    <xf numFmtId="0" fontId="11" fillId="11" borderId="79" xfId="0" applyFont="1" applyFill="1" applyBorder="1" applyAlignment="1">
      <alignment horizontal="left"/>
    </xf>
    <xf numFmtId="164" fontId="1" fillId="0" borderId="100" xfId="0" applyNumberFormat="1" applyFont="1" applyBorder="1" applyAlignment="1">
      <alignment horizontal="right"/>
    </xf>
    <xf numFmtId="164" fontId="1" fillId="0" borderId="72" xfId="0" applyNumberFormat="1" applyFont="1" applyBorder="1" applyAlignment="1">
      <alignment horizontal="right"/>
    </xf>
    <xf numFmtId="174" fontId="11" fillId="11" borderId="0" xfId="0" applyNumberFormat="1" applyFont="1" applyFill="1"/>
    <xf numFmtId="174" fontId="3" fillId="0" borderId="105" xfId="0" applyNumberFormat="1" applyFont="1" applyBorder="1"/>
    <xf numFmtId="0" fontId="0" fillId="0" borderId="105" xfId="0" applyBorder="1" applyAlignment="1">
      <alignment horizontal="left"/>
    </xf>
    <xf numFmtId="174" fontId="3" fillId="0" borderId="105" xfId="0" applyNumberFormat="1" applyFont="1" applyBorder="1" applyAlignment="1">
      <alignment horizontal="left"/>
    </xf>
    <xf numFmtId="164" fontId="1" fillId="4" borderId="0" xfId="0" applyNumberFormat="1" applyFont="1" applyFill="1" applyAlignment="1">
      <alignment horizontal="right"/>
    </xf>
    <xf numFmtId="164" fontId="1" fillId="4" borderId="20" xfId="0" applyNumberFormat="1" applyFont="1" applyFill="1" applyBorder="1" applyAlignment="1">
      <alignment horizontal="right"/>
    </xf>
    <xf numFmtId="174" fontId="3" fillId="4" borderId="73" xfId="0" applyNumberFormat="1" applyFont="1" applyFill="1" applyBorder="1" applyAlignment="1">
      <alignment horizontal="right"/>
    </xf>
    <xf numFmtId="174" fontId="3" fillId="4" borderId="4" xfId="0" applyNumberFormat="1" applyFont="1" applyFill="1" applyBorder="1" applyAlignment="1">
      <alignment horizontal="right"/>
    </xf>
    <xf numFmtId="164" fontId="1" fillId="9" borderId="0" xfId="0" applyNumberFormat="1" applyFont="1" applyFill="1" applyAlignment="1">
      <alignment horizontal="right"/>
    </xf>
    <xf numFmtId="174" fontId="28" fillId="0" borderId="73" xfId="0" applyNumberFormat="1" applyFont="1" applyBorder="1" applyAlignment="1">
      <alignment horizontal="right"/>
    </xf>
    <xf numFmtId="174" fontId="11" fillId="0" borderId="73" xfId="0" applyNumberFormat="1" applyFont="1" applyBorder="1" applyAlignment="1">
      <alignment horizontal="right"/>
    </xf>
    <xf numFmtId="164" fontId="1" fillId="12" borderId="0" xfId="0" applyNumberFormat="1" applyFont="1" applyFill="1" applyAlignment="1">
      <alignment horizontal="right"/>
    </xf>
    <xf numFmtId="0" fontId="12" fillId="11" borderId="73" xfId="0" applyFont="1" applyFill="1" applyBorder="1" applyAlignment="1">
      <alignment horizontal="right"/>
    </xf>
    <xf numFmtId="174" fontId="1" fillId="0" borderId="0" xfId="0" applyNumberFormat="1" applyFont="1"/>
    <xf numFmtId="176" fontId="1" fillId="0" borderId="0" xfId="0" applyNumberFormat="1" applyFont="1" applyAlignment="1">
      <alignment horizontal="right"/>
    </xf>
    <xf numFmtId="174" fontId="3" fillId="0" borderId="101" xfId="0" applyNumberFormat="1" applyFont="1" applyBorder="1" applyAlignment="1">
      <alignment horizontal="right"/>
    </xf>
    <xf numFmtId="174" fontId="3" fillId="0" borderId="64" xfId="0" applyNumberFormat="1" applyFont="1" applyBorder="1" applyAlignment="1">
      <alignment horizontal="right"/>
    </xf>
    <xf numFmtId="0" fontId="5" fillId="0" borderId="0" xfId="0" applyFont="1" applyAlignment="1">
      <alignment horizontal="left"/>
    </xf>
    <xf numFmtId="49" fontId="3" fillId="0" borderId="0" xfId="0" applyNumberFormat="1" applyFont="1" applyAlignment="1">
      <alignment horizontal="left"/>
    </xf>
    <xf numFmtId="175" fontId="3" fillId="0" borderId="0" xfId="0" applyNumberFormat="1" applyFont="1" applyAlignment="1">
      <alignment horizontal="left"/>
    </xf>
    <xf numFmtId="9" fontId="1" fillId="0" borderId="105" xfId="0" applyNumberFormat="1" applyFont="1" applyBorder="1"/>
    <xf numFmtId="0" fontId="1" fillId="0" borderId="19" xfId="0" applyFont="1" applyBorder="1" applyAlignment="1">
      <alignment horizontal="right"/>
    </xf>
    <xf numFmtId="0" fontId="1" fillId="0" borderId="19" xfId="0" applyFont="1" applyBorder="1" applyAlignment="1">
      <alignment horizontal="left"/>
    </xf>
    <xf numFmtId="49" fontId="39" fillId="0" borderId="105" xfId="0" applyNumberFormat="1" applyFont="1" applyBorder="1" applyAlignment="1">
      <alignment horizontal="left"/>
    </xf>
    <xf numFmtId="49" fontId="1" fillId="0" borderId="105" xfId="0" applyNumberFormat="1" applyFont="1" applyBorder="1" applyAlignment="1">
      <alignment horizontal="right"/>
    </xf>
    <xf numFmtId="0" fontId="4" fillId="4" borderId="105" xfId="0" applyFont="1" applyFill="1" applyBorder="1" applyAlignment="1">
      <alignment horizontal="right"/>
    </xf>
    <xf numFmtId="174" fontId="16" fillId="0" borderId="105" xfId="0" applyNumberFormat="1" applyFont="1" applyBorder="1" applyAlignment="1">
      <alignment horizontal="right"/>
    </xf>
    <xf numFmtId="174" fontId="1" fillId="0" borderId="105" xfId="0" applyNumberFormat="1" applyFont="1" applyBorder="1" applyAlignment="1">
      <alignment horizontal="right"/>
    </xf>
    <xf numFmtId="0" fontId="1" fillId="0" borderId="105" xfId="0" quotePrefix="1" applyFont="1" applyBorder="1" applyAlignment="1">
      <alignment horizontal="left"/>
    </xf>
    <xf numFmtId="0" fontId="1" fillId="12" borderId="105" xfId="0" applyFont="1" applyFill="1" applyBorder="1" applyAlignment="1">
      <alignment horizontal="left"/>
    </xf>
    <xf numFmtId="0" fontId="5" fillId="0" borderId="22" xfId="0" applyFont="1" applyBorder="1"/>
    <xf numFmtId="0" fontId="5" fillId="0" borderId="105" xfId="0" applyFont="1" applyBorder="1"/>
    <xf numFmtId="49" fontId="1" fillId="0" borderId="105" xfId="0" applyNumberFormat="1" applyFont="1" applyBorder="1" applyAlignment="1">
      <alignment horizontal="left"/>
    </xf>
    <xf numFmtId="0" fontId="1" fillId="13" borderId="105" xfId="0" applyFont="1" applyFill="1" applyBorder="1" applyAlignment="1">
      <alignment horizontal="right"/>
    </xf>
    <xf numFmtId="0" fontId="1" fillId="13" borderId="105" xfId="0" applyFont="1" applyFill="1" applyBorder="1"/>
    <xf numFmtId="0" fontId="1" fillId="14" borderId="22" xfId="0" applyFont="1" applyFill="1" applyBorder="1" applyAlignment="1">
      <alignment horizontal="right"/>
    </xf>
    <xf numFmtId="0" fontId="1" fillId="15" borderId="22" xfId="0" applyFont="1" applyFill="1" applyBorder="1" applyAlignment="1">
      <alignment horizontal="right"/>
    </xf>
    <xf numFmtId="2" fontId="1" fillId="0" borderId="105" xfId="0" applyNumberFormat="1" applyFont="1" applyBorder="1"/>
    <xf numFmtId="0" fontId="1" fillId="12" borderId="105" xfId="0" applyFont="1" applyFill="1" applyBorder="1"/>
    <xf numFmtId="0" fontId="1" fillId="14" borderId="105" xfId="0" applyFont="1" applyFill="1" applyBorder="1" applyAlignment="1">
      <alignment horizontal="right"/>
    </xf>
    <xf numFmtId="0" fontId="12" fillId="11" borderId="105" xfId="0" applyFont="1" applyFill="1" applyBorder="1" applyAlignment="1">
      <alignment horizontal="right"/>
    </xf>
    <xf numFmtId="0" fontId="12" fillId="11" borderId="105" xfId="0" applyFont="1" applyFill="1" applyBorder="1"/>
    <xf numFmtId="0" fontId="12" fillId="0" borderId="105" xfId="0" applyFont="1" applyBorder="1" applyAlignment="1">
      <alignment horizontal="right"/>
    </xf>
    <xf numFmtId="0" fontId="1" fillId="11" borderId="105" xfId="0" applyFont="1" applyFill="1" applyBorder="1" applyAlignment="1">
      <alignment horizontal="left"/>
    </xf>
    <xf numFmtId="0" fontId="16" fillId="0" borderId="105" xfId="0" applyFont="1" applyBorder="1" applyAlignment="1">
      <alignment horizontal="right"/>
    </xf>
    <xf numFmtId="2" fontId="1" fillId="0" borderId="105" xfId="0" applyNumberFormat="1" applyFont="1" applyBorder="1" applyAlignment="1">
      <alignment horizontal="right"/>
    </xf>
    <xf numFmtId="9" fontId="1" fillId="0" borderId="79" xfId="0" applyNumberFormat="1" applyFont="1" applyBorder="1"/>
    <xf numFmtId="0" fontId="1" fillId="0" borderId="79" xfId="0" applyFont="1" applyBorder="1" applyAlignment="1">
      <alignment horizontal="right"/>
    </xf>
    <xf numFmtId="49" fontId="1" fillId="0" borderId="79" xfId="0" applyNumberFormat="1" applyFont="1" applyBorder="1" applyAlignment="1">
      <alignment horizontal="left"/>
    </xf>
    <xf numFmtId="49" fontId="1" fillId="0" borderId="79" xfId="0" applyNumberFormat="1" applyFont="1" applyBorder="1" applyAlignment="1">
      <alignment horizontal="right"/>
    </xf>
    <xf numFmtId="0" fontId="1" fillId="15" borderId="105" xfId="0" applyFont="1" applyFill="1" applyBorder="1" applyAlignment="1">
      <alignment horizontal="right"/>
    </xf>
    <xf numFmtId="174" fontId="1" fillId="0" borderId="105" xfId="0" applyNumberFormat="1" applyFont="1" applyBorder="1" applyAlignment="1">
      <alignment horizontal="left"/>
    </xf>
    <xf numFmtId="0" fontId="1" fillId="16" borderId="105" xfId="0" applyFont="1" applyFill="1" applyBorder="1" applyAlignment="1">
      <alignment horizontal="right"/>
    </xf>
    <xf numFmtId="0" fontId="1" fillId="4" borderId="22" xfId="0" applyFont="1" applyFill="1" applyBorder="1"/>
    <xf numFmtId="0" fontId="1" fillId="16" borderId="22" xfId="0" applyFont="1" applyFill="1" applyBorder="1" applyAlignment="1">
      <alignment horizontal="right"/>
    </xf>
    <xf numFmtId="9" fontId="1" fillId="0" borderId="0" xfId="0" applyNumberFormat="1" applyFont="1" applyAlignment="1">
      <alignment horizontal="right"/>
    </xf>
    <xf numFmtId="0" fontId="4" fillId="0" borderId="11" xfId="0" applyFont="1" applyBorder="1"/>
    <xf numFmtId="0" fontId="0" fillId="4" borderId="105" xfId="0" applyFill="1" applyBorder="1" applyAlignment="1">
      <alignment horizontal="right"/>
    </xf>
    <xf numFmtId="0" fontId="4" fillId="12" borderId="105" xfId="0" applyFont="1" applyFill="1" applyBorder="1"/>
    <xf numFmtId="0" fontId="4" fillId="4" borderId="105" xfId="0" applyFont="1" applyFill="1" applyBorder="1" applyAlignment="1">
      <alignment horizontal="left"/>
    </xf>
    <xf numFmtId="9" fontId="1" fillId="0" borderId="22" xfId="0" applyNumberFormat="1" applyFont="1" applyBorder="1" applyAlignment="1">
      <alignment horizontal="right"/>
    </xf>
    <xf numFmtId="49" fontId="5" fillId="0" borderId="22" xfId="0" applyNumberFormat="1" applyFont="1" applyBorder="1"/>
    <xf numFmtId="0" fontId="5" fillId="0" borderId="43" xfId="0" applyFont="1" applyBorder="1"/>
    <xf numFmtId="9" fontId="1" fillId="0" borderId="43" xfId="0" applyNumberFormat="1" applyFont="1" applyBorder="1"/>
    <xf numFmtId="0" fontId="1" fillId="0" borderId="43" xfId="0" applyFont="1" applyBorder="1" applyAlignment="1">
      <alignment horizontal="left"/>
    </xf>
    <xf numFmtId="49" fontId="1" fillId="0" borderId="43" xfId="0" applyNumberFormat="1" applyFont="1" applyBorder="1" applyAlignment="1">
      <alignment horizontal="left"/>
    </xf>
    <xf numFmtId="49" fontId="1" fillId="0" borderId="43" xfId="0" applyNumberFormat="1" applyFont="1" applyBorder="1" applyAlignment="1">
      <alignment horizontal="right"/>
    </xf>
    <xf numFmtId="9" fontId="1" fillId="0" borderId="105" xfId="0" applyNumberFormat="1" applyFont="1" applyBorder="1" applyAlignment="1">
      <alignment horizontal="right"/>
    </xf>
    <xf numFmtId="0" fontId="5" fillId="0" borderId="35" xfId="0" applyFont="1" applyBorder="1"/>
    <xf numFmtId="0" fontId="1" fillId="0" borderId="95" xfId="0" applyFont="1" applyBorder="1" applyAlignment="1">
      <alignment horizontal="right"/>
    </xf>
    <xf numFmtId="49" fontId="1" fillId="0" borderId="102" xfId="0" applyNumberFormat="1" applyFont="1" applyBorder="1" applyAlignment="1">
      <alignment horizontal="left"/>
    </xf>
    <xf numFmtId="4" fontId="1" fillId="11" borderId="0" xfId="0" applyNumberFormat="1" applyFont="1" applyFill="1" applyAlignment="1">
      <alignment horizontal="right"/>
    </xf>
    <xf numFmtId="4" fontId="0" fillId="4" borderId="105" xfId="0" applyNumberFormat="1" applyFill="1" applyBorder="1" applyAlignment="1">
      <alignment horizontal="right"/>
    </xf>
    <xf numFmtId="4" fontId="1" fillId="0" borderId="105" xfId="0" applyNumberFormat="1" applyFont="1" applyBorder="1"/>
    <xf numFmtId="4" fontId="1" fillId="0" borderId="105" xfId="0" applyNumberFormat="1" applyFont="1" applyBorder="1" applyAlignment="1">
      <alignment horizontal="right"/>
    </xf>
    <xf numFmtId="0" fontId="5" fillId="0" borderId="11" xfId="0" applyFont="1" applyBorder="1"/>
    <xf numFmtId="168" fontId="1" fillId="0" borderId="105" xfId="0" applyNumberFormat="1" applyFont="1" applyBorder="1"/>
    <xf numFmtId="169" fontId="1" fillId="0" borderId="105" xfId="0" applyNumberFormat="1" applyFont="1" applyBorder="1"/>
    <xf numFmtId="169" fontId="1" fillId="0" borderId="105" xfId="0" applyNumberFormat="1" applyFont="1" applyBorder="1" applyAlignment="1">
      <alignment horizontal="right"/>
    </xf>
    <xf numFmtId="0" fontId="1" fillId="4" borderId="35" xfId="0" applyFont="1" applyFill="1" applyBorder="1"/>
    <xf numFmtId="0" fontId="1" fillId="13" borderId="22" xfId="0" applyFont="1" applyFill="1" applyBorder="1" applyAlignment="1">
      <alignment horizontal="right"/>
    </xf>
    <xf numFmtId="0" fontId="4" fillId="4" borderId="105" xfId="0" applyFont="1" applyFill="1" applyBorder="1"/>
    <xf numFmtId="0" fontId="12" fillId="0" borderId="105" xfId="0" applyFont="1" applyBorder="1"/>
    <xf numFmtId="0" fontId="7" fillId="0" borderId="0" xfId="0" applyFont="1"/>
    <xf numFmtId="9" fontId="4" fillId="0" borderId="0" xfId="0" applyNumberFormat="1" applyFont="1"/>
    <xf numFmtId="49" fontId="4" fillId="0" borderId="0" xfId="0" applyNumberFormat="1" applyFont="1" applyAlignment="1">
      <alignment horizontal="left"/>
    </xf>
    <xf numFmtId="0" fontId="7" fillId="0" borderId="105" xfId="0" applyFont="1" applyBorder="1"/>
    <xf numFmtId="9" fontId="4" fillId="0" borderId="105" xfId="0" applyNumberFormat="1" applyFont="1" applyBorder="1"/>
    <xf numFmtId="49" fontId="4" fillId="0" borderId="105" xfId="0" applyNumberFormat="1" applyFont="1" applyBorder="1" applyAlignment="1">
      <alignment horizontal="left"/>
    </xf>
    <xf numFmtId="49" fontId="4" fillId="0" borderId="105" xfId="0" applyNumberFormat="1" applyFont="1" applyBorder="1" applyAlignment="1">
      <alignment horizontal="right"/>
    </xf>
    <xf numFmtId="0" fontId="0" fillId="15" borderId="105" xfId="0" applyFill="1" applyBorder="1" applyAlignment="1">
      <alignment horizontal="right"/>
    </xf>
    <xf numFmtId="0" fontId="9" fillId="0" borderId="105" xfId="0" applyFont="1" applyBorder="1"/>
    <xf numFmtId="0" fontId="1" fillId="9" borderId="105" xfId="0" applyFont="1" applyFill="1" applyBorder="1" applyAlignment="1">
      <alignment horizontal="left"/>
    </xf>
    <xf numFmtId="49" fontId="1" fillId="9" borderId="105" xfId="0" applyNumberFormat="1" applyFont="1" applyFill="1" applyBorder="1" applyAlignment="1">
      <alignment horizontal="left"/>
    </xf>
    <xf numFmtId="49" fontId="1" fillId="9" borderId="105" xfId="0" applyNumberFormat="1" applyFont="1" applyFill="1" applyBorder="1" applyAlignment="1">
      <alignment horizontal="right"/>
    </xf>
    <xf numFmtId="0" fontId="4" fillId="9" borderId="105" xfId="0" applyFont="1" applyFill="1" applyBorder="1" applyAlignment="1">
      <alignment horizontal="left"/>
    </xf>
    <xf numFmtId="49" fontId="4" fillId="9" borderId="105" xfId="0" applyNumberFormat="1" applyFont="1" applyFill="1" applyBorder="1" applyAlignment="1">
      <alignment horizontal="left"/>
    </xf>
    <xf numFmtId="49" fontId="4" fillId="9" borderId="105" xfId="0" applyNumberFormat="1" applyFont="1" applyFill="1" applyBorder="1" applyAlignment="1">
      <alignment horizontal="right"/>
    </xf>
    <xf numFmtId="0" fontId="0" fillId="0" borderId="105" xfId="0" applyBorder="1" applyAlignment="1">
      <alignment horizontal="right"/>
    </xf>
    <xf numFmtId="49" fontId="55" fillId="0" borderId="105" xfId="0" applyNumberFormat="1" applyFont="1" applyBorder="1" applyAlignment="1">
      <alignment horizontal="left"/>
    </xf>
    <xf numFmtId="0" fontId="4" fillId="0" borderId="102" xfId="0" applyFont="1" applyBorder="1"/>
    <xf numFmtId="0" fontId="4" fillId="0" borderId="66" xfId="0" applyFont="1" applyBorder="1"/>
    <xf numFmtId="0" fontId="1" fillId="4" borderId="105" xfId="0" applyFont="1" applyFill="1" applyBorder="1"/>
    <xf numFmtId="0" fontId="1" fillId="9" borderId="79" xfId="0" applyFont="1" applyFill="1" applyBorder="1" applyAlignment="1">
      <alignment horizontal="left"/>
    </xf>
    <xf numFmtId="49" fontId="1" fillId="9" borderId="79" xfId="0" applyNumberFormat="1" applyFont="1" applyFill="1" applyBorder="1" applyAlignment="1">
      <alignment horizontal="left"/>
    </xf>
    <xf numFmtId="49" fontId="1" fillId="9" borderId="79" xfId="0" applyNumberFormat="1" applyFont="1" applyFill="1" applyBorder="1" applyAlignment="1">
      <alignment horizontal="right"/>
    </xf>
    <xf numFmtId="0" fontId="1" fillId="4" borderId="79" xfId="0" applyFont="1" applyFill="1" applyBorder="1" applyAlignment="1">
      <alignment horizontal="right"/>
    </xf>
    <xf numFmtId="0" fontId="1" fillId="4" borderId="79" xfId="0" applyFont="1" applyFill="1" applyBorder="1" applyAlignment="1">
      <alignment horizontal="left"/>
    </xf>
    <xf numFmtId="0" fontId="1" fillId="4" borderId="79" xfId="0" applyFont="1" applyFill="1" applyBorder="1"/>
    <xf numFmtId="0" fontId="12" fillId="11" borderId="79" xfId="0" applyFont="1" applyFill="1" applyBorder="1" applyAlignment="1">
      <alignment horizontal="right"/>
    </xf>
    <xf numFmtId="0" fontId="12" fillId="11" borderId="79" xfId="0" applyFont="1" applyFill="1" applyBorder="1" applyAlignment="1">
      <alignment horizontal="left"/>
    </xf>
    <xf numFmtId="0" fontId="1" fillId="11" borderId="105" xfId="0" applyFont="1" applyFill="1" applyBorder="1" applyAlignment="1">
      <alignment horizontal="right"/>
    </xf>
    <xf numFmtId="178" fontId="1" fillId="0" borderId="0" xfId="0" applyNumberFormat="1" applyFont="1"/>
    <xf numFmtId="174" fontId="1" fillId="0" borderId="105" xfId="0" applyNumberFormat="1" applyFont="1" applyBorder="1"/>
    <xf numFmtId="174" fontId="1" fillId="12" borderId="0" xfId="0" applyNumberFormat="1" applyFont="1" applyFill="1"/>
    <xf numFmtId="0" fontId="1" fillId="15" borderId="105" xfId="0" applyFont="1" applyFill="1" applyBorder="1"/>
    <xf numFmtId="0" fontId="1" fillId="16" borderId="105" xfId="0" applyFont="1" applyFill="1" applyBorder="1"/>
    <xf numFmtId="0" fontId="1" fillId="13" borderId="0" xfId="0" applyFont="1" applyFill="1" applyAlignment="1">
      <alignment horizontal="right"/>
    </xf>
    <xf numFmtId="0" fontId="4" fillId="12" borderId="66" xfId="0" applyFont="1" applyFill="1" applyBorder="1"/>
    <xf numFmtId="0" fontId="1" fillId="4" borderId="105" xfId="0" applyFont="1" applyFill="1" applyBorder="1" applyAlignment="1">
      <alignment horizontal="left"/>
    </xf>
    <xf numFmtId="174" fontId="3" fillId="0" borderId="105" xfId="0" applyNumberFormat="1" applyFont="1" applyBorder="1" applyAlignment="1">
      <alignment horizontal="right"/>
    </xf>
    <xf numFmtId="0" fontId="5" fillId="0" borderId="102" xfId="0" applyFont="1" applyBorder="1"/>
    <xf numFmtId="0" fontId="5" fillId="0" borderId="66" xfId="0" applyFont="1" applyBorder="1"/>
    <xf numFmtId="0" fontId="9" fillId="0" borderId="66" xfId="0" applyFont="1" applyBorder="1"/>
    <xf numFmtId="0" fontId="1" fillId="14" borderId="105" xfId="0" applyFont="1" applyFill="1" applyBorder="1"/>
    <xf numFmtId="0" fontId="4" fillId="15" borderId="22" xfId="0" applyFont="1" applyFill="1" applyBorder="1"/>
    <xf numFmtId="49" fontId="1" fillId="19" borderId="79" xfId="0" applyNumberFormat="1" applyFont="1" applyFill="1" applyBorder="1" applyAlignment="1">
      <alignment horizontal="left"/>
    </xf>
    <xf numFmtId="49" fontId="1" fillId="19" borderId="79" xfId="0" applyNumberFormat="1" applyFont="1" applyFill="1" applyBorder="1" applyAlignment="1">
      <alignment horizontal="right"/>
    </xf>
    <xf numFmtId="176" fontId="1" fillId="0" borderId="0" xfId="0" applyNumberFormat="1" applyFont="1"/>
    <xf numFmtId="0" fontId="3" fillId="0" borderId="45" xfId="0" applyFont="1" applyBorder="1" applyAlignment="1">
      <alignment horizontal="left"/>
    </xf>
    <xf numFmtId="0" fontId="3" fillId="0" borderId="7" xfId="0" applyFont="1" applyBorder="1" applyAlignment="1">
      <alignment horizontal="left"/>
    </xf>
    <xf numFmtId="0" fontId="5" fillId="0" borderId="108" xfId="0" applyFont="1" applyBorder="1"/>
    <xf numFmtId="0" fontId="3" fillId="20" borderId="6" xfId="0" applyFont="1" applyFill="1" applyBorder="1"/>
    <xf numFmtId="0" fontId="1" fillId="20" borderId="79" xfId="0" applyFont="1" applyFill="1" applyBorder="1"/>
    <xf numFmtId="0" fontId="1" fillId="20" borderId="7" xfId="0" applyFont="1" applyFill="1" applyBorder="1"/>
    <xf numFmtId="0" fontId="12" fillId="21" borderId="73" xfId="0" applyFont="1" applyFill="1" applyBorder="1" applyAlignment="1">
      <alignment horizontal="right"/>
    </xf>
    <xf numFmtId="0" fontId="1" fillId="21" borderId="3" xfId="0" applyFont="1" applyFill="1" applyBorder="1"/>
    <xf numFmtId="0" fontId="1" fillId="21" borderId="104" xfId="0" applyFont="1" applyFill="1" applyBorder="1"/>
    <xf numFmtId="0" fontId="1" fillId="21" borderId="105" xfId="0" applyFont="1" applyFill="1" applyBorder="1"/>
    <xf numFmtId="0" fontId="1" fillId="21" borderId="5" xfId="0" applyFont="1" applyFill="1" applyBorder="1"/>
    <xf numFmtId="0" fontId="1" fillId="22" borderId="19" xfId="0" applyFont="1" applyFill="1" applyBorder="1"/>
    <xf numFmtId="0" fontId="1" fillId="22" borderId="105" xfId="0" applyFont="1" applyFill="1" applyBorder="1"/>
    <xf numFmtId="0" fontId="1" fillId="3" borderId="15" xfId="0" applyFont="1" applyFill="1" applyBorder="1" applyAlignment="1">
      <alignment wrapText="1"/>
    </xf>
    <xf numFmtId="0" fontId="1" fillId="3" borderId="23" xfId="0" applyFont="1" applyFill="1" applyBorder="1" applyAlignment="1">
      <alignment wrapText="1"/>
    </xf>
    <xf numFmtId="0" fontId="3" fillId="3" borderId="22" xfId="0" applyFont="1" applyFill="1" applyBorder="1" applyAlignment="1">
      <alignment wrapText="1"/>
    </xf>
    <xf numFmtId="0" fontId="3" fillId="3" borderId="24" xfId="0" applyFont="1" applyFill="1" applyBorder="1" applyAlignment="1">
      <alignment wrapText="1"/>
    </xf>
    <xf numFmtId="0" fontId="1" fillId="3" borderId="13" xfId="0" applyFont="1" applyFill="1" applyBorder="1" applyAlignment="1">
      <alignment wrapText="1"/>
    </xf>
    <xf numFmtId="0" fontId="1" fillId="3" borderId="14" xfId="0" applyFont="1" applyFill="1" applyBorder="1" applyAlignment="1">
      <alignment wrapText="1"/>
    </xf>
    <xf numFmtId="0" fontId="1" fillId="0" borderId="22" xfId="0" applyFont="1" applyBorder="1" applyAlignment="1">
      <alignment wrapText="1"/>
    </xf>
    <xf numFmtId="0" fontId="3" fillId="3" borderId="42" xfId="0" applyFont="1" applyFill="1" applyBorder="1" applyAlignment="1">
      <alignment wrapText="1"/>
    </xf>
    <xf numFmtId="0" fontId="3" fillId="3" borderId="35" xfId="0" applyFont="1" applyFill="1" applyBorder="1" applyAlignment="1">
      <alignment wrapText="1"/>
    </xf>
    <xf numFmtId="0" fontId="3" fillId="3" borderId="9" xfId="0" applyFont="1" applyFill="1" applyBorder="1" applyAlignment="1">
      <alignment wrapText="1"/>
    </xf>
    <xf numFmtId="0" fontId="1" fillId="0" borderId="16" xfId="0" applyFont="1" applyBorder="1" applyAlignment="1">
      <alignment wrapText="1"/>
    </xf>
    <xf numFmtId="166" fontId="1" fillId="0" borderId="0" xfId="0" applyNumberFormat="1" applyFont="1" applyAlignment="1">
      <alignment wrapText="1"/>
    </xf>
    <xf numFmtId="0" fontId="0" fillId="3" borderId="15" xfId="0" applyFill="1" applyBorder="1" applyAlignment="1">
      <alignment horizontal="left" wrapText="1"/>
    </xf>
    <xf numFmtId="0" fontId="19" fillId="3" borderId="43" xfId="0" applyFont="1" applyFill="1" applyBorder="1" applyAlignment="1">
      <alignment horizontal="left" wrapText="1"/>
    </xf>
    <xf numFmtId="0" fontId="14" fillId="3" borderId="43" xfId="0" applyFont="1" applyFill="1" applyBorder="1" applyAlignment="1">
      <alignment horizontal="right" wrapText="1"/>
    </xf>
    <xf numFmtId="0" fontId="1" fillId="7" borderId="43" xfId="0" applyFont="1" applyFill="1" applyBorder="1" applyAlignment="1">
      <alignment wrapText="1"/>
    </xf>
    <xf numFmtId="0" fontId="1" fillId="8" borderId="43" xfId="0" applyFont="1" applyFill="1" applyBorder="1" applyAlignment="1">
      <alignment wrapText="1"/>
    </xf>
    <xf numFmtId="0" fontId="33" fillId="4" borderId="0" xfId="0" applyFont="1" applyFill="1" applyAlignment="1">
      <alignment wrapText="1"/>
    </xf>
    <xf numFmtId="0" fontId="1" fillId="2" borderId="38" xfId="0" applyFont="1" applyFill="1" applyBorder="1" applyAlignment="1">
      <alignment wrapText="1"/>
    </xf>
    <xf numFmtId="0" fontId="1" fillId="2" borderId="36" xfId="0" applyFont="1" applyFill="1" applyBorder="1" applyAlignment="1">
      <alignment wrapText="1"/>
    </xf>
    <xf numFmtId="0" fontId="1" fillId="23" borderId="0" xfId="0" applyFont="1" applyFill="1"/>
    <xf numFmtId="0" fontId="20" fillId="23" borderId="15" xfId="0" applyFont="1" applyFill="1" applyBorder="1" applyAlignment="1">
      <alignment wrapText="1"/>
    </xf>
    <xf numFmtId="0" fontId="19" fillId="23" borderId="43" xfId="0" applyFont="1" applyFill="1" applyBorder="1" applyAlignment="1">
      <alignment wrapText="1"/>
    </xf>
    <xf numFmtId="0" fontId="3" fillId="0" borderId="13" xfId="0" applyFont="1" applyBorder="1" applyAlignment="1">
      <alignment wrapText="1"/>
    </xf>
    <xf numFmtId="0" fontId="20" fillId="0" borderId="61" xfId="0" applyFont="1" applyBorder="1" applyAlignment="1">
      <alignment wrapText="1"/>
    </xf>
    <xf numFmtId="0" fontId="22" fillId="0" borderId="0" xfId="0" applyFont="1" applyAlignment="1">
      <alignment wrapText="1"/>
    </xf>
    <xf numFmtId="0" fontId="1" fillId="0" borderId="43" xfId="0" applyFont="1" applyBorder="1" applyAlignment="1">
      <alignment horizontal="right" wrapText="1"/>
    </xf>
    <xf numFmtId="170" fontId="1" fillId="0" borderId="0" xfId="0" applyNumberFormat="1" applyFont="1" applyAlignment="1">
      <alignment wrapText="1"/>
    </xf>
    <xf numFmtId="0" fontId="4" fillId="3" borderId="20" xfId="0" applyFont="1" applyFill="1" applyBorder="1" applyAlignment="1">
      <alignment wrapText="1"/>
    </xf>
    <xf numFmtId="0" fontId="4" fillId="0" borderId="0" xfId="0" applyFont="1" applyAlignment="1">
      <alignment wrapText="1"/>
    </xf>
    <xf numFmtId="0" fontId="4" fillId="3" borderId="58" xfId="0" applyFont="1" applyFill="1" applyBorder="1" applyAlignment="1">
      <alignment wrapText="1"/>
    </xf>
    <xf numFmtId="0" fontId="1" fillId="3" borderId="73" xfId="0" applyFont="1" applyFill="1" applyBorder="1" applyAlignment="1">
      <alignment wrapText="1"/>
    </xf>
    <xf numFmtId="0" fontId="12" fillId="3" borderId="0" xfId="0" applyFont="1" applyFill="1" applyAlignment="1">
      <alignment wrapText="1"/>
    </xf>
    <xf numFmtId="0" fontId="1" fillId="3" borderId="3" xfId="0" applyFont="1" applyFill="1" applyBorder="1" applyAlignment="1">
      <alignment wrapText="1"/>
    </xf>
    <xf numFmtId="0" fontId="1" fillId="3" borderId="0" xfId="0" applyFont="1" applyFill="1" applyAlignment="1">
      <alignment horizontal="right" wrapText="1"/>
    </xf>
    <xf numFmtId="0" fontId="0" fillId="4" borderId="0" xfId="0" applyFill="1" applyAlignment="1">
      <alignment wrapText="1"/>
    </xf>
    <xf numFmtId="0" fontId="20" fillId="0" borderId="37" xfId="0" applyFont="1" applyBorder="1" applyAlignment="1">
      <alignment wrapText="1"/>
    </xf>
    <xf numFmtId="0" fontId="3" fillId="9" borderId="15" xfId="0" applyFont="1" applyFill="1" applyBorder="1" applyAlignment="1">
      <alignment wrapText="1"/>
    </xf>
    <xf numFmtId="167" fontId="35" fillId="0" borderId="0" xfId="0" applyNumberFormat="1" applyFont="1" applyAlignment="1">
      <alignment horizontal="right" wrapText="1"/>
    </xf>
    <xf numFmtId="0" fontId="1" fillId="3" borderId="76" xfId="0" applyFont="1" applyFill="1" applyBorder="1" applyAlignment="1">
      <alignment wrapText="1"/>
    </xf>
    <xf numFmtId="0" fontId="1" fillId="3" borderId="68" xfId="0" applyFont="1" applyFill="1" applyBorder="1" applyAlignment="1">
      <alignment wrapText="1"/>
    </xf>
    <xf numFmtId="167" fontId="3" fillId="0" borderId="79" xfId="0" applyNumberFormat="1" applyFont="1" applyBorder="1" applyAlignment="1">
      <alignment wrapText="1"/>
    </xf>
    <xf numFmtId="0" fontId="3" fillId="3" borderId="54" xfId="0" applyFont="1" applyFill="1" applyBorder="1" applyAlignment="1">
      <alignment wrapText="1"/>
    </xf>
    <xf numFmtId="0" fontId="3" fillId="3" borderId="19" xfId="0" applyFont="1" applyFill="1" applyBorder="1" applyAlignment="1">
      <alignment wrapText="1"/>
    </xf>
    <xf numFmtId="0" fontId="1" fillId="3" borderId="69" xfId="0" applyFont="1" applyFill="1" applyBorder="1" applyAlignment="1">
      <alignment wrapText="1"/>
    </xf>
    <xf numFmtId="0" fontId="3" fillId="3" borderId="80" xfId="0" applyFont="1" applyFill="1" applyBorder="1" applyAlignment="1">
      <alignment wrapText="1"/>
    </xf>
    <xf numFmtId="0" fontId="3" fillId="3" borderId="2" xfId="0" applyFont="1" applyFill="1" applyBorder="1" applyAlignment="1">
      <alignment wrapText="1"/>
    </xf>
    <xf numFmtId="0" fontId="1" fillId="3" borderId="32" xfId="0" applyFont="1" applyFill="1" applyBorder="1" applyAlignment="1">
      <alignment wrapText="1"/>
    </xf>
    <xf numFmtId="4" fontId="1" fillId="3" borderId="0" xfId="0" applyNumberFormat="1" applyFont="1" applyFill="1" applyAlignment="1">
      <alignment wrapText="1"/>
    </xf>
    <xf numFmtId="0" fontId="1" fillId="3" borderId="83" xfId="0" applyFont="1" applyFill="1" applyBorder="1" applyAlignment="1">
      <alignment wrapText="1"/>
    </xf>
    <xf numFmtId="10" fontId="1" fillId="3" borderId="0" xfId="0" applyNumberFormat="1" applyFont="1" applyFill="1" applyAlignment="1">
      <alignment wrapText="1"/>
    </xf>
    <xf numFmtId="0" fontId="4" fillId="3" borderId="0" xfId="0" applyFont="1" applyFill="1" applyAlignment="1">
      <alignment horizontal="right" wrapText="1"/>
    </xf>
    <xf numFmtId="171" fontId="1" fillId="3" borderId="0" xfId="0" applyNumberFormat="1" applyFont="1" applyFill="1" applyAlignment="1">
      <alignment horizontal="right" wrapText="1"/>
    </xf>
    <xf numFmtId="0" fontId="1" fillId="3" borderId="86" xfId="0" applyFont="1" applyFill="1" applyBorder="1" applyAlignment="1">
      <alignment wrapText="1"/>
    </xf>
    <xf numFmtId="4" fontId="1" fillId="3" borderId="0" xfId="0" applyNumberFormat="1" applyFont="1" applyFill="1" applyAlignment="1">
      <alignment horizontal="right" wrapText="1"/>
    </xf>
    <xf numFmtId="10" fontId="1" fillId="3" borderId="0" xfId="0" applyNumberFormat="1" applyFont="1" applyFill="1" applyAlignment="1">
      <alignment horizontal="right" wrapText="1"/>
    </xf>
    <xf numFmtId="0" fontId="1" fillId="3" borderId="99" xfId="0" applyFont="1" applyFill="1" applyBorder="1" applyAlignment="1">
      <alignment wrapText="1"/>
    </xf>
    <xf numFmtId="0" fontId="16" fillId="3" borderId="43" xfId="0" applyFont="1" applyFill="1" applyBorder="1" applyAlignment="1">
      <alignment wrapText="1"/>
    </xf>
    <xf numFmtId="0" fontId="1" fillId="3" borderId="39" xfId="0" applyFont="1" applyFill="1" applyBorder="1" applyAlignment="1">
      <alignment wrapText="1"/>
    </xf>
    <xf numFmtId="0" fontId="3" fillId="3" borderId="105" xfId="0" applyFont="1" applyFill="1" applyBorder="1" applyAlignment="1">
      <alignment wrapText="1"/>
    </xf>
    <xf numFmtId="168" fontId="1" fillId="3" borderId="105" xfId="0" applyNumberFormat="1" applyFont="1" applyFill="1" applyBorder="1" applyAlignment="1">
      <alignment wrapText="1"/>
    </xf>
    <xf numFmtId="0" fontId="3" fillId="3" borderId="5" xfId="0" applyFont="1" applyFill="1" applyBorder="1" applyAlignment="1">
      <alignment wrapText="1"/>
    </xf>
    <xf numFmtId="0" fontId="16" fillId="3" borderId="38" xfId="0" applyFont="1" applyFill="1" applyBorder="1" applyAlignment="1">
      <alignment wrapText="1"/>
    </xf>
    <xf numFmtId="0" fontId="16" fillId="3" borderId="35" xfId="0" applyFont="1" applyFill="1" applyBorder="1" applyAlignment="1">
      <alignment wrapText="1"/>
    </xf>
    <xf numFmtId="0" fontId="20" fillId="6" borderId="15" xfId="0" applyFont="1" applyFill="1" applyBorder="1" applyAlignment="1">
      <alignment wrapText="1"/>
    </xf>
    <xf numFmtId="0" fontId="21" fillId="0" borderId="0" xfId="0" applyFont="1" applyAlignment="1">
      <alignment horizontal="right" wrapText="1"/>
    </xf>
    <xf numFmtId="0" fontId="1" fillId="3" borderId="11" xfId="0" applyFont="1" applyFill="1" applyBorder="1" applyAlignment="1">
      <alignment wrapText="1"/>
    </xf>
    <xf numFmtId="0" fontId="1" fillId="3" borderId="12" xfId="0" applyFont="1" applyFill="1" applyBorder="1" applyAlignment="1">
      <alignment wrapText="1"/>
    </xf>
    <xf numFmtId="0" fontId="1" fillId="3" borderId="21" xfId="0" applyFont="1" applyFill="1" applyBorder="1" applyAlignment="1">
      <alignment wrapText="1"/>
    </xf>
    <xf numFmtId="0" fontId="3" fillId="3" borderId="12" xfId="0" applyFont="1" applyFill="1" applyBorder="1" applyAlignment="1">
      <alignment wrapText="1"/>
    </xf>
    <xf numFmtId="0" fontId="1" fillId="4" borderId="0" xfId="0" applyFont="1" applyFill="1" applyAlignment="1">
      <alignment wrapText="1"/>
    </xf>
    <xf numFmtId="0" fontId="1" fillId="0" borderId="9" xfId="0" applyFont="1" applyBorder="1" applyAlignment="1">
      <alignment wrapText="1"/>
    </xf>
    <xf numFmtId="0" fontId="1" fillId="0" borderId="0" xfId="0" applyFont="1" applyAlignment="1">
      <alignment horizontal="right" wrapText="1"/>
    </xf>
    <xf numFmtId="0" fontId="28" fillId="0" borderId="8" xfId="0" applyFont="1" applyBorder="1" applyAlignment="1">
      <alignment wrapText="1"/>
    </xf>
    <xf numFmtId="0" fontId="4" fillId="4" borderId="0" xfId="0" applyFont="1" applyFill="1" applyAlignment="1">
      <alignment wrapText="1"/>
    </xf>
    <xf numFmtId="0" fontId="1" fillId="0" borderId="0" xfId="0" applyFont="1" applyAlignment="1">
      <alignment horizontal="left" wrapText="1"/>
    </xf>
    <xf numFmtId="174" fontId="1" fillId="0" borderId="73" xfId="0" applyNumberFormat="1" applyFont="1" applyBorder="1" applyAlignment="1">
      <alignment horizontal="left" wrapText="1"/>
    </xf>
    <xf numFmtId="175" fontId="1" fillId="0" borderId="0" xfId="0" applyNumberFormat="1" applyFont="1" applyAlignment="1">
      <alignment horizontal="right" wrapText="1"/>
    </xf>
    <xf numFmtId="0" fontId="1" fillId="2" borderId="104" xfId="0" applyFont="1" applyFill="1" applyBorder="1"/>
    <xf numFmtId="0" fontId="1" fillId="0" borderId="1" xfId="0" applyFont="1" applyBorder="1" applyAlignment="1">
      <alignment vertical="center" wrapText="1"/>
    </xf>
    <xf numFmtId="0" fontId="1" fillId="0" borderId="19" xfId="0" applyFont="1" applyBorder="1" applyAlignment="1"/>
    <xf numFmtId="0" fontId="1" fillId="0" borderId="2" xfId="0" applyFont="1" applyBorder="1" applyAlignment="1"/>
    <xf numFmtId="0" fontId="1" fillId="0" borderId="73" xfId="0" applyFont="1" applyBorder="1" applyAlignment="1"/>
    <xf numFmtId="0" fontId="0" fillId="0" borderId="0" xfId="0" applyAlignment="1"/>
    <xf numFmtId="0" fontId="1" fillId="0" borderId="3" xfId="0" applyFont="1" applyBorder="1" applyAlignment="1"/>
    <xf numFmtId="0" fontId="1" fillId="0" borderId="4" xfId="0" applyFont="1" applyBorder="1" applyAlignment="1"/>
    <xf numFmtId="0" fontId="1" fillId="0" borderId="105" xfId="0" applyFont="1" applyBorder="1" applyAlignment="1"/>
    <xf numFmtId="0" fontId="1" fillId="0" borderId="5" xfId="0" applyFont="1" applyBorder="1" applyAlignment="1"/>
    <xf numFmtId="0" fontId="2" fillId="0" borderId="1" xfId="0" applyFont="1" applyBorder="1" applyAlignment="1">
      <alignment vertical="top" wrapText="1"/>
    </xf>
    <xf numFmtId="0" fontId="54" fillId="23" borderId="109" xfId="0" applyFont="1" applyFill="1" applyBorder="1" applyAlignment="1">
      <alignment vertical="top" wrapText="1"/>
    </xf>
    <xf numFmtId="0" fontId="88" fillId="23" borderId="110" xfId="0" applyFont="1" applyFill="1" applyBorder="1" applyAlignment="1">
      <alignment vertical="top"/>
    </xf>
    <xf numFmtId="0" fontId="88" fillId="23" borderId="111" xfId="0" applyFont="1" applyFill="1" applyBorder="1" applyAlignment="1">
      <alignment vertical="top"/>
    </xf>
    <xf numFmtId="0" fontId="88" fillId="23" borderId="112" xfId="0" applyFont="1" applyFill="1" applyBorder="1" applyAlignment="1">
      <alignment vertical="top"/>
    </xf>
    <xf numFmtId="0" fontId="88" fillId="23" borderId="104" xfId="0" applyFont="1" applyFill="1" applyBorder="1" applyAlignment="1">
      <alignment vertical="top"/>
    </xf>
    <xf numFmtId="0" fontId="88" fillId="23" borderId="113" xfId="0" applyFont="1" applyFill="1" applyBorder="1" applyAlignment="1">
      <alignment vertical="top"/>
    </xf>
    <xf numFmtId="0" fontId="88" fillId="23" borderId="114" xfId="0" applyFont="1" applyFill="1" applyBorder="1" applyAlignment="1">
      <alignment vertical="top"/>
    </xf>
    <xf numFmtId="0" fontId="88" fillId="23" borderId="115" xfId="0" applyFont="1" applyFill="1" applyBorder="1" applyAlignment="1">
      <alignment vertical="top"/>
    </xf>
    <xf numFmtId="0" fontId="88" fillId="23" borderId="116" xfId="0" applyFont="1" applyFill="1" applyBorder="1" applyAlignment="1">
      <alignment vertical="top"/>
    </xf>
    <xf numFmtId="0" fontId="1" fillId="0" borderId="0" xfId="0" applyFont="1" applyAlignment="1">
      <alignment vertical="top" wrapText="1"/>
    </xf>
    <xf numFmtId="0" fontId="3" fillId="12" borderId="6" xfId="0" applyFont="1" applyFill="1" applyBorder="1" applyAlignment="1">
      <alignment horizontal="center" vertical="center" wrapText="1"/>
    </xf>
    <xf numFmtId="0" fontId="1" fillId="0" borderId="7"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hyperlink" Target="http://www.foodemissions.com/Calculator" TargetMode="External"/><Relationship Id="rId13" Type="http://schemas.openxmlformats.org/officeDocument/2006/relationships/hyperlink" Target="http://www.foodemissions.com/Calculator" TargetMode="External"/><Relationship Id="rId18" Type="http://schemas.openxmlformats.org/officeDocument/2006/relationships/hyperlink" Target="http://www.foodemissions.com/Calculator" TargetMode="External"/><Relationship Id="rId26" Type="http://schemas.openxmlformats.org/officeDocument/2006/relationships/hyperlink" Target="http://www.foodemissions.com/Calculator" TargetMode="External"/><Relationship Id="rId39" Type="http://schemas.openxmlformats.org/officeDocument/2006/relationships/hyperlink" Target="http://foodemissions.com/" TargetMode="External"/><Relationship Id="rId3" Type="http://schemas.openxmlformats.org/officeDocument/2006/relationships/hyperlink" Target="http://www.foodemissions.com/foodemissions/Calculator" TargetMode="External"/><Relationship Id="rId21" Type="http://schemas.openxmlformats.org/officeDocument/2006/relationships/hyperlink" Target="http://www.foodemissions.com/Calculator" TargetMode="External"/><Relationship Id="rId34" Type="http://schemas.openxmlformats.org/officeDocument/2006/relationships/hyperlink" Target="http://foodemissions.com/" TargetMode="External"/><Relationship Id="rId42" Type="http://schemas.openxmlformats.org/officeDocument/2006/relationships/hyperlink" Target="http://foodemissions.com/" TargetMode="External"/><Relationship Id="rId47" Type="http://schemas.openxmlformats.org/officeDocument/2006/relationships/comments" Target="../comments1.xml"/><Relationship Id="rId7" Type="http://schemas.openxmlformats.org/officeDocument/2006/relationships/hyperlink" Target="http://www.foodemissions.com/Calculator" TargetMode="External"/><Relationship Id="rId12" Type="http://schemas.openxmlformats.org/officeDocument/2006/relationships/hyperlink" Target="http://foodemissions.com/" TargetMode="External"/><Relationship Id="rId17" Type="http://schemas.openxmlformats.org/officeDocument/2006/relationships/hyperlink" Target="http://www.foodemissions.com/Calculator" TargetMode="External"/><Relationship Id="rId25" Type="http://schemas.openxmlformats.org/officeDocument/2006/relationships/hyperlink" Target="http://www.foodemissions.com/Calculator" TargetMode="External"/><Relationship Id="rId33" Type="http://schemas.openxmlformats.org/officeDocument/2006/relationships/hyperlink" Target="http://foodemissions.com/" TargetMode="External"/><Relationship Id="rId38" Type="http://schemas.openxmlformats.org/officeDocument/2006/relationships/hyperlink" Target="http://foodemissions.com/" TargetMode="External"/><Relationship Id="rId46" Type="http://schemas.openxmlformats.org/officeDocument/2006/relationships/vmlDrawing" Target="../drawings/vmlDrawing1.vml"/><Relationship Id="rId2" Type="http://schemas.openxmlformats.org/officeDocument/2006/relationships/hyperlink" Target="http://ciachef.edu/" TargetMode="External"/><Relationship Id="rId16" Type="http://schemas.openxmlformats.org/officeDocument/2006/relationships/hyperlink" Target="http://www.foodemissions.com/Calculator" TargetMode="External"/><Relationship Id="rId20" Type="http://schemas.openxmlformats.org/officeDocument/2006/relationships/hyperlink" Target="http://www.foodemissions.com/Calculator" TargetMode="External"/><Relationship Id="rId29" Type="http://schemas.openxmlformats.org/officeDocument/2006/relationships/hyperlink" Target="http://www.foodemissions.com/Calculator" TargetMode="External"/><Relationship Id="rId41" Type="http://schemas.openxmlformats.org/officeDocument/2006/relationships/hyperlink" Target="http://foodemissions.com/" TargetMode="External"/><Relationship Id="rId1" Type="http://schemas.openxmlformats.org/officeDocument/2006/relationships/hyperlink" Target="http://nutritiondata.self.com/" TargetMode="External"/><Relationship Id="rId6" Type="http://schemas.openxmlformats.org/officeDocument/2006/relationships/hyperlink" Target="http://www.foodemissions.com/Calculator" TargetMode="External"/><Relationship Id="rId11" Type="http://schemas.openxmlformats.org/officeDocument/2006/relationships/hyperlink" Target="http://foodemissions.com/Calculator" TargetMode="External"/><Relationship Id="rId24" Type="http://schemas.openxmlformats.org/officeDocument/2006/relationships/hyperlink" Target="http://www.foodemissions.com/Calculator" TargetMode="External"/><Relationship Id="rId32" Type="http://schemas.openxmlformats.org/officeDocument/2006/relationships/hyperlink" Target="http://foodemissions.com/" TargetMode="External"/><Relationship Id="rId37" Type="http://schemas.openxmlformats.org/officeDocument/2006/relationships/hyperlink" Target="http://foodemissions.com/" TargetMode="External"/><Relationship Id="rId40" Type="http://schemas.openxmlformats.org/officeDocument/2006/relationships/hyperlink" Target="http://foodemissions.com/" TargetMode="External"/><Relationship Id="rId45" Type="http://schemas.openxmlformats.org/officeDocument/2006/relationships/hyperlink" Target="http://foodemissions.com/" TargetMode="External"/><Relationship Id="rId5" Type="http://schemas.openxmlformats.org/officeDocument/2006/relationships/hyperlink" Target="http://www.foodemissions.com/Calculator" TargetMode="External"/><Relationship Id="rId15" Type="http://schemas.openxmlformats.org/officeDocument/2006/relationships/hyperlink" Target="http://www.foodemissions.com/Calculator" TargetMode="External"/><Relationship Id="rId23" Type="http://schemas.openxmlformats.org/officeDocument/2006/relationships/hyperlink" Target="http://www.foodemissions.com/Calculator" TargetMode="External"/><Relationship Id="rId28" Type="http://schemas.openxmlformats.org/officeDocument/2006/relationships/hyperlink" Target="http://www.foodemissions.com/Calculator" TargetMode="External"/><Relationship Id="rId36" Type="http://schemas.openxmlformats.org/officeDocument/2006/relationships/hyperlink" Target="http://foodemissions.com/" TargetMode="External"/><Relationship Id="rId10" Type="http://schemas.openxmlformats.org/officeDocument/2006/relationships/hyperlink" Target="http://foodemissions.com/Calculator" TargetMode="External"/><Relationship Id="rId19" Type="http://schemas.openxmlformats.org/officeDocument/2006/relationships/hyperlink" Target="http://www.foodemissions.com/Calculator" TargetMode="External"/><Relationship Id="rId31" Type="http://schemas.openxmlformats.org/officeDocument/2006/relationships/hyperlink" Target="http://www.foodemissions.com/Calculator" TargetMode="External"/><Relationship Id="rId44" Type="http://schemas.openxmlformats.org/officeDocument/2006/relationships/hyperlink" Target="http://foodemissions.com/" TargetMode="External"/><Relationship Id="rId4" Type="http://schemas.openxmlformats.org/officeDocument/2006/relationships/hyperlink" Target="http://foodemissions.com/Calculator" TargetMode="External"/><Relationship Id="rId9" Type="http://schemas.openxmlformats.org/officeDocument/2006/relationships/hyperlink" Target="http://www.foodemissions.com/Calculator" TargetMode="External"/><Relationship Id="rId14" Type="http://schemas.openxmlformats.org/officeDocument/2006/relationships/hyperlink" Target="http://www.foodemissions.com/Calculator" TargetMode="External"/><Relationship Id="rId22" Type="http://schemas.openxmlformats.org/officeDocument/2006/relationships/hyperlink" Target="http://www.foodemissions.com/Calculator" TargetMode="External"/><Relationship Id="rId27" Type="http://schemas.openxmlformats.org/officeDocument/2006/relationships/hyperlink" Target="http://www.foodemissions.com/Calculator" TargetMode="External"/><Relationship Id="rId30" Type="http://schemas.openxmlformats.org/officeDocument/2006/relationships/hyperlink" Target="http://www.foodemissions.com/Calculator" TargetMode="External"/><Relationship Id="rId35" Type="http://schemas.openxmlformats.org/officeDocument/2006/relationships/hyperlink" Target="http://foodemissions.com/" TargetMode="External"/><Relationship Id="rId43" Type="http://schemas.openxmlformats.org/officeDocument/2006/relationships/hyperlink" Target="http://foodemissions.co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fdc.nal.usda.gov/fdc-app.html" TargetMode="External"/><Relationship Id="rId117" Type="http://schemas.openxmlformats.org/officeDocument/2006/relationships/hyperlink" Target="https://fdc.nal.usda.gov/fdc-app.html" TargetMode="External"/><Relationship Id="rId21" Type="http://schemas.openxmlformats.org/officeDocument/2006/relationships/hyperlink" Target="https://scholarworks.wmich.edu/cgi/viewcontent.cgi?article=3888&amp;context=honors_theses" TargetMode="External"/><Relationship Id="rId42" Type="http://schemas.openxmlformats.org/officeDocument/2006/relationships/hyperlink" Target="https://www.ciachef.edu/uploadedFiles/Pages/Admissions_and_Financial_Aid/Educators/Educational_Materials/Technique_of_the_Quarter/techniques-calculations.pdf." TargetMode="External"/><Relationship Id="rId47" Type="http://schemas.openxmlformats.org/officeDocument/2006/relationships/hyperlink" Target="https://fdc.nal.usda.gov/fdc-app.html" TargetMode="External"/><Relationship Id="rId63" Type="http://schemas.openxmlformats.org/officeDocument/2006/relationships/hyperlink" Target="https://fdc.nal.usda.gov/fdc-app.html" TargetMode="External"/><Relationship Id="rId68" Type="http://schemas.openxmlformats.org/officeDocument/2006/relationships/hyperlink" Target="https://www.feedipedia.org/node/556" TargetMode="External"/><Relationship Id="rId84" Type="http://schemas.openxmlformats.org/officeDocument/2006/relationships/hyperlink" Target="https://thefishsite.com/articles/tilapia-aquaculture-in-china." TargetMode="External"/><Relationship Id="rId89" Type="http://schemas.openxmlformats.org/officeDocument/2006/relationships/hyperlink" Target="https://fdc.nal.usda.gov/fdc-app.html" TargetMode="External"/><Relationship Id="rId112" Type="http://schemas.openxmlformats.org/officeDocument/2006/relationships/hyperlink" Target="https://www.ciachef.edu/uploadedFiles/Pages/Admissions_and_Financial_Aid/Educators/Educational_Materials/Technique_of_the_Quarter/techniques-calculations.pdf." TargetMode="External"/><Relationship Id="rId16" Type="http://schemas.openxmlformats.org/officeDocument/2006/relationships/hyperlink" Target="https://fdc.nal.usda.gov/fdc-app.html" TargetMode="External"/><Relationship Id="rId107" Type="http://schemas.openxmlformats.org/officeDocument/2006/relationships/hyperlink" Target="https://www.ciachef.edu/uploadedFiles/Pages/Admissions_and_Financial_Aid/Educators/Educational_Materials/Technique_of_the_Quarter/techniques-calculations.pdf." TargetMode="External"/><Relationship Id="rId11" Type="http://schemas.openxmlformats.org/officeDocument/2006/relationships/hyperlink" Target="https://fdc.nal.usda.gov/fdc-app.html" TargetMode="External"/><Relationship Id="rId32" Type="http://schemas.openxmlformats.org/officeDocument/2006/relationships/hyperlink" Target="https://fdc.nal.usda.gov/fdc-app.html" TargetMode="External"/><Relationship Id="rId37" Type="http://schemas.openxmlformats.org/officeDocument/2006/relationships/hyperlink" Target="http://www.foodemissions.com/Calculator." TargetMode="External"/><Relationship Id="rId53" Type="http://schemas.openxmlformats.org/officeDocument/2006/relationships/hyperlink" Target="https://fdc.nal.usda.gov/fdc-app.html" TargetMode="External"/><Relationship Id="rId58" Type="http://schemas.openxmlformats.org/officeDocument/2006/relationships/hyperlink" Target="http://www.foodemissions.com/Calculator." TargetMode="External"/><Relationship Id="rId74" Type="http://schemas.openxmlformats.org/officeDocument/2006/relationships/hyperlink" Target="http://www.foodemissions.com/Calculator." TargetMode="External"/><Relationship Id="rId79" Type="http://schemas.openxmlformats.org/officeDocument/2006/relationships/hyperlink" Target="https://en.wikipedia.org/wiki/Cod." TargetMode="External"/><Relationship Id="rId102" Type="http://schemas.openxmlformats.org/officeDocument/2006/relationships/hyperlink" Target="https://coststudyfiles.ucdavis.edu/uploads/cs_public/92/af/92af15bd-a003-4e2e-a796-fc33e253edb8/lettuceicecc09.pdf" TargetMode="External"/><Relationship Id="rId123" Type="http://schemas.openxmlformats.org/officeDocument/2006/relationships/hyperlink" Target="https://www.clawhammersupply.com/blogs/moonshine-still-blog/how-to-make-moonshine." TargetMode="External"/><Relationship Id="rId128" Type="http://schemas.openxmlformats.org/officeDocument/2006/relationships/hyperlink" Target="http://www.foodemissions.com/Calculator." TargetMode="External"/><Relationship Id="rId5" Type="http://schemas.openxmlformats.org/officeDocument/2006/relationships/hyperlink" Target="https://fdc.nal.usda.gov/fdc-app.html" TargetMode="External"/><Relationship Id="rId90" Type="http://schemas.openxmlformats.org/officeDocument/2006/relationships/hyperlink" Target="http://www.foodemissions.com/Calculator." TargetMode="External"/><Relationship Id="rId95" Type="http://schemas.openxmlformats.org/officeDocument/2006/relationships/hyperlink" Target="https://fdc.nal.usda.gov/fdc-app.html" TargetMode="External"/><Relationship Id="rId19" Type="http://schemas.openxmlformats.org/officeDocument/2006/relationships/hyperlink" Target="http://www.fao.org/3/y2515e/y2515e15.htm." TargetMode="External"/><Relationship Id="rId14" Type="http://schemas.openxmlformats.org/officeDocument/2006/relationships/hyperlink" Target="http://www.foodemissions.com/Calculator." TargetMode="External"/><Relationship Id="rId22" Type="http://schemas.openxmlformats.org/officeDocument/2006/relationships/hyperlink" Target="https://www.teatulia.com/tea-101/how-to-measure-loose-leaf-tea-for-brewing.htm" TargetMode="External"/><Relationship Id="rId27" Type="http://schemas.openxmlformats.org/officeDocument/2006/relationships/hyperlink" Target="http://www.foodemissions.com/Calculator." TargetMode="External"/><Relationship Id="rId30" Type="http://schemas.openxmlformats.org/officeDocument/2006/relationships/hyperlink" Target="https://fdc.nal.usda.gov/fdc-app.html" TargetMode="External"/><Relationship Id="rId35" Type="http://schemas.openxmlformats.org/officeDocument/2006/relationships/hyperlink" Target="http://www.foodemissions.com/Calculator." TargetMode="External"/><Relationship Id="rId43" Type="http://schemas.openxmlformats.org/officeDocument/2006/relationships/hyperlink" Target="http://www.foodemissions.com/Calculator." TargetMode="External"/><Relationship Id="rId48" Type="http://schemas.openxmlformats.org/officeDocument/2006/relationships/hyperlink" Target="https://fdc.nal.usda.gov/fdc-app.html" TargetMode="External"/><Relationship Id="rId56" Type="http://schemas.openxmlformats.org/officeDocument/2006/relationships/hyperlink" Target="http://www.foodemissions.com/Calculator." TargetMode="External"/><Relationship Id="rId64" Type="http://schemas.openxmlformats.org/officeDocument/2006/relationships/hyperlink" Target="http://www.foodemissions.com/Calculator." TargetMode="External"/><Relationship Id="rId69" Type="http://schemas.openxmlformats.org/officeDocument/2006/relationships/hyperlink" Target="https://openknowledge.worldbank.org/handle/10986/3840." TargetMode="External"/><Relationship Id="rId77" Type="http://schemas.openxmlformats.org/officeDocument/2006/relationships/hyperlink" Target="https://www.vims.edu/newsandevents/topstories/2017/shellfish_aquaculture_report_16.php." TargetMode="External"/><Relationship Id="rId100" Type="http://schemas.openxmlformats.org/officeDocument/2006/relationships/hyperlink" Target="https://www.ciachef.edu/uploadedFiles/Pages/Admissions_and_Financial_Aid/Educators/Educational_Materials/Technique_of_the_Quarter/techniques-calculations.pdf." TargetMode="External"/><Relationship Id="rId105" Type="http://schemas.openxmlformats.org/officeDocument/2006/relationships/hyperlink" Target="https://www.ciachef.edu/uploadedFiles/Pages/Admissions_and_Financial_Aid/Educators/Educational_Materials/Technique_of_the_Quarter/techniques-calculations.pdf." TargetMode="External"/><Relationship Id="rId113" Type="http://schemas.openxmlformats.org/officeDocument/2006/relationships/hyperlink" Target="https://www.ciachef.edu/uploadedFiles/Pages/Admissions_and_Financial_Aid/Educators/Educational_Materials/Technique_of_the_Quarter/techniques-calculations.pdf." TargetMode="External"/><Relationship Id="rId118" Type="http://schemas.openxmlformats.org/officeDocument/2006/relationships/hyperlink" Target="https://www.haifa-group.com/using-right-fertilizers-order-provide-sugar-cane-necessities." TargetMode="External"/><Relationship Id="rId126" Type="http://schemas.openxmlformats.org/officeDocument/2006/relationships/hyperlink" Target="http://vinegartips.com/" TargetMode="External"/><Relationship Id="rId8" Type="http://schemas.openxmlformats.org/officeDocument/2006/relationships/hyperlink" Target="http://www.foodemissions.com/Calculator." TargetMode="External"/><Relationship Id="rId51" Type="http://schemas.openxmlformats.org/officeDocument/2006/relationships/hyperlink" Target="http://www.foodemissions.com/Calculator." TargetMode="External"/><Relationship Id="rId72" Type="http://schemas.openxmlformats.org/officeDocument/2006/relationships/hyperlink" Target="https://www.soci.org/news/lipids/lipids-palm-oil-papers." TargetMode="External"/><Relationship Id="rId80" Type="http://schemas.openxmlformats.org/officeDocument/2006/relationships/hyperlink" Target="https://en.wikipedia.org/wiki/Flatfish." TargetMode="External"/><Relationship Id="rId85" Type="http://schemas.openxmlformats.org/officeDocument/2006/relationships/hyperlink" Target="https://www.aquanet.com/us-tilapia-imports." TargetMode="External"/><Relationship Id="rId93" Type="http://schemas.openxmlformats.org/officeDocument/2006/relationships/hyperlink" Target="http://www.foodemissions.com/Calculator." TargetMode="External"/><Relationship Id="rId98" Type="http://schemas.openxmlformats.org/officeDocument/2006/relationships/hyperlink" Target="https://anrcatalog.ucanr.edu/pdf/7220.pdf" TargetMode="External"/><Relationship Id="rId121" Type="http://schemas.openxmlformats.org/officeDocument/2006/relationships/hyperlink" Target="https://www.accessdata.fda.gov/scripts/cdrh/cfdocs/cfcfr/CFRSearch.cfm?CFRPart=163." TargetMode="External"/><Relationship Id="rId3" Type="http://schemas.openxmlformats.org/officeDocument/2006/relationships/hyperlink" Target="http://www.foodemissions.com/Calculator." TargetMode="External"/><Relationship Id="rId12" Type="http://schemas.openxmlformats.org/officeDocument/2006/relationships/hyperlink" Target="https://www.aqua-calc.com/calculate/food-volume-to-weight" TargetMode="External"/><Relationship Id="rId17" Type="http://schemas.openxmlformats.org/officeDocument/2006/relationships/hyperlink" Target="https://fdc.nal.usda.gov/fdc-app.html" TargetMode="External"/><Relationship Id="rId25" Type="http://schemas.openxmlformats.org/officeDocument/2006/relationships/hyperlink" Target="https://www.ers.usda.gov/webdocs/publications/41880/33132_ah697_002.pdf?v=0" TargetMode="External"/><Relationship Id="rId33" Type="http://schemas.openxmlformats.org/officeDocument/2006/relationships/hyperlink" Target="http://www.foodemissions.com/Calculator." TargetMode="External"/><Relationship Id="rId38" Type="http://schemas.openxmlformats.org/officeDocument/2006/relationships/hyperlink" Target="https://www.agmrc.org/commodities-products/fruits/plums." TargetMode="External"/><Relationship Id="rId46" Type="http://schemas.openxmlformats.org/officeDocument/2006/relationships/hyperlink" Target="http://www.foodemissions.com/Calculator." TargetMode="External"/><Relationship Id="rId59" Type="http://schemas.openxmlformats.org/officeDocument/2006/relationships/hyperlink" Target="http://www.foodemissions.com/Calculator." TargetMode="External"/><Relationship Id="rId67" Type="http://schemas.openxmlformats.org/officeDocument/2006/relationships/hyperlink" Target="https://www.soci.org/news/lipids/lipids-palm-oil-papers." TargetMode="External"/><Relationship Id="rId103" Type="http://schemas.openxmlformats.org/officeDocument/2006/relationships/hyperlink" Target="https://www.ciachef.edu/uploadedFiles/Pages/Admissions_and_Financial_Aid/Educators/Educational_Materials/Technique_of_the_Quarter/techniques-calculations.pdf." TargetMode="External"/><Relationship Id="rId108" Type="http://schemas.openxmlformats.org/officeDocument/2006/relationships/hyperlink" Target="https://www.ciachef.edu/uploadedFiles/Pages/Admissions_and_Financial_Aid/Educators/Educational_Materials/Technique_of_the_Quarter/techniques-calculations.pdf." TargetMode="External"/><Relationship Id="rId116" Type="http://schemas.openxmlformats.org/officeDocument/2006/relationships/hyperlink" Target="https://fdc.nal.usda.gov/fdc-app.html" TargetMode="External"/><Relationship Id="rId124" Type="http://schemas.openxmlformats.org/officeDocument/2006/relationships/hyperlink" Target="https://www.clawhammersupply.com/blogs/moonshine-still-blog/how-to-make-moonshine." TargetMode="External"/><Relationship Id="rId129" Type="http://schemas.openxmlformats.org/officeDocument/2006/relationships/hyperlink" Target="https://fdc.nal.usda.gov/fdc-app.html" TargetMode="External"/><Relationship Id="rId20" Type="http://schemas.openxmlformats.org/officeDocument/2006/relationships/hyperlink" Target="https://books.google.com/books?id=oLDMBQAAQBAJ&amp;pg=PA187" TargetMode="External"/><Relationship Id="rId41" Type="http://schemas.openxmlformats.org/officeDocument/2006/relationships/hyperlink" Target="https://www.ciachef.edu/uploadedFiles/Pages/Admissions_and_Financial_Aid/Educators/Educational_Materials/Technique_of_the_Quarter/techniques-calculations.pdf." TargetMode="External"/><Relationship Id="rId54" Type="http://schemas.openxmlformats.org/officeDocument/2006/relationships/hyperlink" Target="https://fdc.nal.usda.gov/fdc-app.html" TargetMode="External"/><Relationship Id="rId62" Type="http://schemas.openxmlformats.org/officeDocument/2006/relationships/hyperlink" Target="https://fdc.nal.usda.gov/fdc-app.html" TargetMode="External"/><Relationship Id="rId70" Type="http://schemas.openxmlformats.org/officeDocument/2006/relationships/hyperlink" Target="https://www.nass.usda.gov/Statistics_by_State/Texas/Publications/Current_News_Release/2019_Rls/tx-cotton-review-2019.pdf." TargetMode="External"/><Relationship Id="rId75" Type="http://schemas.openxmlformats.org/officeDocument/2006/relationships/hyperlink" Target="https://fdc.nal.usda.gov/fdc-app.html" TargetMode="External"/><Relationship Id="rId83" Type="http://schemas.openxmlformats.org/officeDocument/2006/relationships/hyperlink" Target="https://en.wikipedia.org/wiki/Tilapia." TargetMode="External"/><Relationship Id="rId88" Type="http://schemas.openxmlformats.org/officeDocument/2006/relationships/hyperlink" Target="http://www.fao.org/tempref/FI/CDrom/bobp/cd1/Bobp/Publns/Reports/0052.pdf." TargetMode="External"/><Relationship Id="rId91" Type="http://schemas.openxmlformats.org/officeDocument/2006/relationships/hyperlink" Target="http://www.foodemissions.com/Calculator." TargetMode="External"/><Relationship Id="rId96" Type="http://schemas.openxmlformats.org/officeDocument/2006/relationships/hyperlink" Target="https://fdc.nal.usda.gov/fdc-app.html" TargetMode="External"/><Relationship Id="rId111" Type="http://schemas.openxmlformats.org/officeDocument/2006/relationships/hyperlink" Target="https://fdc.nal.usda.gov/fdc-app.html" TargetMode="External"/><Relationship Id="rId132" Type="http://schemas.openxmlformats.org/officeDocument/2006/relationships/comments" Target="../comments2.xml"/><Relationship Id="rId1" Type="http://schemas.openxmlformats.org/officeDocument/2006/relationships/hyperlink" Target="https://www.aqua-calc.com/calculate/food-volume-to-weight" TargetMode="External"/><Relationship Id="rId6" Type="http://schemas.openxmlformats.org/officeDocument/2006/relationships/hyperlink" Target="https://www.aqua-calc.com/calculate/food-volume-to-weight" TargetMode="External"/><Relationship Id="rId15" Type="http://schemas.openxmlformats.org/officeDocument/2006/relationships/hyperlink" Target="http://www.foodemissions.com/Calculator." TargetMode="External"/><Relationship Id="rId23" Type="http://schemas.openxmlformats.org/officeDocument/2006/relationships/hyperlink" Target="https://franklin.ca.uky.edu/files/fcs3-580_-_home_canning_tomato_products.pdf" TargetMode="External"/><Relationship Id="rId28" Type="http://schemas.openxmlformats.org/officeDocument/2006/relationships/hyperlink" Target="http://www.foodemissions.com/Calculator." TargetMode="External"/><Relationship Id="rId36" Type="http://schemas.openxmlformats.org/officeDocument/2006/relationships/hyperlink" Target="https://www.ciachef.edu/uploadedFiles/Pages/Admissions_and_Financial_Aid/Educators/Educational_Materials/Technique_of_the_Quarter/techniques-calculations.pdf." TargetMode="External"/><Relationship Id="rId49" Type="http://schemas.openxmlformats.org/officeDocument/2006/relationships/hyperlink" Target="https://www.cooksinfo.com/rice" TargetMode="External"/><Relationship Id="rId57" Type="http://schemas.openxmlformats.org/officeDocument/2006/relationships/hyperlink" Target="http://www.fao.org/3/t0532e/t0532e05.htm" TargetMode="External"/><Relationship Id="rId106" Type="http://schemas.openxmlformats.org/officeDocument/2006/relationships/hyperlink" Target="https://fdc.nal.usda.gov/fdc-app.html" TargetMode="External"/><Relationship Id="rId114" Type="http://schemas.openxmlformats.org/officeDocument/2006/relationships/hyperlink" Target="https://fdc.nal.usda.gov/fdc-app.html" TargetMode="External"/><Relationship Id="rId119" Type="http://schemas.openxmlformats.org/officeDocument/2006/relationships/hyperlink" Target="https://www.appropedia.org/Sugar_Production_from_Cane_Sugar_(Practical_Action_Technical_Brief)" TargetMode="External"/><Relationship Id="rId127" Type="http://schemas.openxmlformats.org/officeDocument/2006/relationships/hyperlink" Target="http://ec.europa.eu/environment/waste/pdf/study/final_report.pdf." TargetMode="External"/><Relationship Id="rId10" Type="http://schemas.openxmlformats.org/officeDocument/2006/relationships/hyperlink" Target="https://www.santacruzorganic.com/products/100-juices/cranberry-concentrate" TargetMode="External"/><Relationship Id="rId31" Type="http://schemas.openxmlformats.org/officeDocument/2006/relationships/hyperlink" Target="https://fdc.nal.usda.gov/fdc-app.html" TargetMode="External"/><Relationship Id="rId44" Type="http://schemas.openxmlformats.org/officeDocument/2006/relationships/hyperlink" Target="https://fdc.nal.usda.gov/fdc-app.html" TargetMode="External"/><Relationship Id="rId52" Type="http://schemas.openxmlformats.org/officeDocument/2006/relationships/hyperlink" Target="http://www.foodemissions.com/Calculator." TargetMode="External"/><Relationship Id="rId60" Type="http://schemas.openxmlformats.org/officeDocument/2006/relationships/hyperlink" Target="https://fdc.nal.usda.gov/fdc-app.html" TargetMode="External"/><Relationship Id="rId65" Type="http://schemas.openxmlformats.org/officeDocument/2006/relationships/hyperlink" Target="http://era.daf.qld.gov.au/id/eprint/1652/2/1befcas.pdf" TargetMode="External"/><Relationship Id="rId73" Type="http://schemas.openxmlformats.org/officeDocument/2006/relationships/hyperlink" Target="https://www.soci.org/news/lipids/lipids-palm-oil-papers." TargetMode="External"/><Relationship Id="rId78" Type="http://schemas.openxmlformats.org/officeDocument/2006/relationships/hyperlink" Target="http://www.fao.org/fishery/culturedspecies/Gadus_morhua/en." TargetMode="External"/><Relationship Id="rId81" Type="http://schemas.openxmlformats.org/officeDocument/2006/relationships/hyperlink" Target="http://alaskaseafoodcooperative.org/background-information-about-the-alaska-flatfish-fishery/" TargetMode="External"/><Relationship Id="rId86" Type="http://schemas.openxmlformats.org/officeDocument/2006/relationships/hyperlink" Target="http://www.mshistorynow.mdah.ms.gov/articles/217/catfish-farming-in-mississippi." TargetMode="External"/><Relationship Id="rId94" Type="http://schemas.openxmlformats.org/officeDocument/2006/relationships/hyperlink" Target="https://www.ciachef.edu/uploadedFiles/Pages/Admissions_and_Financial_Aid/Educators/Educational_Materials/Technique_of_the_Quarter/techniques-calculations.pdf." TargetMode="External"/><Relationship Id="rId99" Type="http://schemas.openxmlformats.org/officeDocument/2006/relationships/hyperlink" Target="https://fdc.nal.usda.gov/fdc-app.html" TargetMode="External"/><Relationship Id="rId101" Type="http://schemas.openxmlformats.org/officeDocument/2006/relationships/hyperlink" Target="https://www.ciachef.edu/uploadedFiles/Pages/Admissions_and_Financial_Aid/Educators/Educational_Materials/Technique_of_the_Quarter/techniques-calculations.pdf." TargetMode="External"/><Relationship Id="rId122" Type="http://schemas.openxmlformats.org/officeDocument/2006/relationships/hyperlink" Target="http://assets.wwf.org.uk/downloads/how_low_report_1.pdf" TargetMode="External"/><Relationship Id="rId130" Type="http://schemas.openxmlformats.org/officeDocument/2006/relationships/hyperlink" Target="https://www.ciachef.edu/uploadedFiles/Pages/Admissions_and_Financial_Aid/Educators/Educational_Materials/Technique_of_the_Quarter/techniques-calculations.pdf." TargetMode="External"/><Relationship Id="rId4" Type="http://schemas.openxmlformats.org/officeDocument/2006/relationships/hyperlink" Target="https://fdc.nal.usda.gov/fdc-app.html" TargetMode="External"/><Relationship Id="rId9" Type="http://schemas.openxmlformats.org/officeDocument/2006/relationships/hyperlink" Target="https://www.santacruzorganic.com/products/100-juices/cranberry-concentrate" TargetMode="External"/><Relationship Id="rId13" Type="http://schemas.openxmlformats.org/officeDocument/2006/relationships/hyperlink" Target="http://www.foodemissions.com/Calculator." TargetMode="External"/><Relationship Id="rId18" Type="http://schemas.openxmlformats.org/officeDocument/2006/relationships/hyperlink" Target="http://www.foodemissions.com/Calculator." TargetMode="External"/><Relationship Id="rId39" Type="http://schemas.openxmlformats.org/officeDocument/2006/relationships/hyperlink" Target="https://apps.fas.usda.gov/newgainapi/api/Report/DownloadReportByFileName?fileName=Stone%20Fruit%20Annual_Santiago_Chile_8-12-2010." TargetMode="External"/><Relationship Id="rId109" Type="http://schemas.openxmlformats.org/officeDocument/2006/relationships/hyperlink" Target="https://fdc.nal.usda.gov/fdc-app.html" TargetMode="External"/><Relationship Id="rId34" Type="http://schemas.openxmlformats.org/officeDocument/2006/relationships/hyperlink" Target="https://fdc.nal.usda.gov/fdc-app.html" TargetMode="External"/><Relationship Id="rId50" Type="http://schemas.openxmlformats.org/officeDocument/2006/relationships/hyperlink" Target="https://fdc.nal.usda.gov/index.html" TargetMode="External"/><Relationship Id="rId55" Type="http://schemas.openxmlformats.org/officeDocument/2006/relationships/hyperlink" Target="https://fdc.nal.usda.gov/fdc-app.html" TargetMode="External"/><Relationship Id="rId76" Type="http://schemas.openxmlformats.org/officeDocument/2006/relationships/hyperlink" Target="https://downloads.usda.library.cornell.edu/usda-esmis/files/bg257f046/w3763899g/d504rn59q/CatfProd-07-20-2018.pdf" TargetMode="External"/><Relationship Id="rId97" Type="http://schemas.openxmlformats.org/officeDocument/2006/relationships/hyperlink" Target="https://www.ciachef.edu/uploadedFiles/Pages/Admissions_and_Financial_Aid/Educators/Educational_Materials/Technique_of_the_Quarter/techniques-calculations.pdf." TargetMode="External"/><Relationship Id="rId104" Type="http://schemas.openxmlformats.org/officeDocument/2006/relationships/hyperlink" Target="https://shop.bsigroup.com/upload/shop/download/pas/pas2050.pdf" TargetMode="External"/><Relationship Id="rId120" Type="http://schemas.openxmlformats.org/officeDocument/2006/relationships/hyperlink" Target="https://fdc.nal.usda.gov/fdc-app.html" TargetMode="External"/><Relationship Id="rId125" Type="http://schemas.openxmlformats.org/officeDocument/2006/relationships/hyperlink" Target="https://www.aqua-calc.com/calculate/food-volume-to-weight." TargetMode="External"/><Relationship Id="rId7" Type="http://schemas.openxmlformats.org/officeDocument/2006/relationships/hyperlink" Target="https://fdc.nal.usda.gov/fdc-app.html" TargetMode="External"/><Relationship Id="rId71" Type="http://schemas.openxmlformats.org/officeDocument/2006/relationships/hyperlink" Target="https://www.ars.usda.gov/ARSUserFiles/60100500/csr/ResearchPubs/torbert/torbert_98b.pdf" TargetMode="External"/><Relationship Id="rId92" Type="http://schemas.openxmlformats.org/officeDocument/2006/relationships/hyperlink" Target="https://www.ciachef.edu/uploadedFiles/Pages/Admissions_and_Financial_Aid/Educators/Educational_Materials/Technique_of_the_Quarter/techniques-calculations.pdf." TargetMode="External"/><Relationship Id="rId2" Type="http://schemas.openxmlformats.org/officeDocument/2006/relationships/hyperlink" Target="http://www.foodemissions.com/Calculator." TargetMode="External"/><Relationship Id="rId29" Type="http://schemas.openxmlformats.org/officeDocument/2006/relationships/hyperlink" Target="https://fdc.nal.usda.gov/fdc-app.html" TargetMode="External"/><Relationship Id="rId24" Type="http://schemas.openxmlformats.org/officeDocument/2006/relationships/hyperlink" Target="https://www.aqua-calc.com/calculate/food-volume-to-weight" TargetMode="External"/><Relationship Id="rId40" Type="http://schemas.openxmlformats.org/officeDocument/2006/relationships/hyperlink" Target="https://www.haifa-group.com/recomendaciones-nutricionales-para-los-frutales-de-hueso." TargetMode="External"/><Relationship Id="rId45" Type="http://schemas.openxmlformats.org/officeDocument/2006/relationships/hyperlink" Target="http://pubs.cahnrs.wsu.edu/publications/pubs/em4815/" TargetMode="External"/><Relationship Id="rId66" Type="http://schemas.openxmlformats.org/officeDocument/2006/relationships/hyperlink" Target="https://recipes.howstuffworks.com/why-pistachios-are-sold-in-their-shells.htm." TargetMode="External"/><Relationship Id="rId87" Type="http://schemas.openxmlformats.org/officeDocument/2006/relationships/hyperlink" Target="https://www.shrimpalliance.com/shrimp-hits-record-high-levels-of-consumption-in-united-states/" TargetMode="External"/><Relationship Id="rId110" Type="http://schemas.openxmlformats.org/officeDocument/2006/relationships/hyperlink" Target="https://www.ciachef.edu/uploadedFiles/Pages/Admissions_and_Financial_Aid/Educators/Educational_Materials/Technique_of_the_Quarter/techniques-calculations.pdf." TargetMode="External"/><Relationship Id="rId115" Type="http://schemas.openxmlformats.org/officeDocument/2006/relationships/hyperlink" Target="https://www.ciachef.edu/uploadedFiles/Pages/Admissions_and_Financial_Aid/Educators/Educational_Materials/Technique_of_the_Quarter/techniques-calculations.pdf." TargetMode="External"/><Relationship Id="rId131" Type="http://schemas.openxmlformats.org/officeDocument/2006/relationships/vmlDrawing" Target="../drawings/vmlDrawing2.vml"/><Relationship Id="rId61" Type="http://schemas.openxmlformats.org/officeDocument/2006/relationships/hyperlink" Target="https://fdc.nal.usda.gov/fdc-app.html" TargetMode="External"/><Relationship Id="rId82" Type="http://schemas.openxmlformats.org/officeDocument/2006/relationships/hyperlink" Target="https://en.wikipedia.org/wiki/Alaska_pollock."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atulia.com/tea-101/how-to-measure-loose-leaf-tea-for-brewing.htm" TargetMode="External"/><Relationship Id="rId3" Type="http://schemas.openxmlformats.org/officeDocument/2006/relationships/hyperlink" Target="http://www.foodemissions.com/Calculator." TargetMode="External"/><Relationship Id="rId7" Type="http://schemas.openxmlformats.org/officeDocument/2006/relationships/hyperlink" Target="https://scholarworks.wmich.edu/cgi/viewcontent.cgi?article=3888&amp;context=honors_theses" TargetMode="External"/><Relationship Id="rId12" Type="http://schemas.openxmlformats.org/officeDocument/2006/relationships/comments" Target="../comments3.xml"/><Relationship Id="rId2" Type="http://schemas.openxmlformats.org/officeDocument/2006/relationships/hyperlink" Target="https://www.aqua-calc.com/calculate/food-volume-to-weight" TargetMode="External"/><Relationship Id="rId1" Type="http://schemas.openxmlformats.org/officeDocument/2006/relationships/hyperlink" Target="http://www.foodemissions.com/Calculator." TargetMode="External"/><Relationship Id="rId6" Type="http://schemas.openxmlformats.org/officeDocument/2006/relationships/hyperlink" Target="https://fdc.nal.usda.gov/fdc-app.html" TargetMode="External"/><Relationship Id="rId11" Type="http://schemas.openxmlformats.org/officeDocument/2006/relationships/vmlDrawing" Target="../drawings/vmlDrawing3.vml"/><Relationship Id="rId5" Type="http://schemas.openxmlformats.org/officeDocument/2006/relationships/hyperlink" Target="https://www.aqua-calc.com/calculate/food-volume-to-weight" TargetMode="External"/><Relationship Id="rId10" Type="http://schemas.openxmlformats.org/officeDocument/2006/relationships/hyperlink" Target="http://www.foodemissions.com/Calculator." TargetMode="External"/><Relationship Id="rId4" Type="http://schemas.openxmlformats.org/officeDocument/2006/relationships/hyperlink" Target="http://www.foodemissions.com/Calculator." TargetMode="External"/><Relationship Id="rId9" Type="http://schemas.openxmlformats.org/officeDocument/2006/relationships/hyperlink" Target="http://www.foodemissions.com/Calculato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sciencedirect.com/science/article/pii/S0959652615009786" TargetMode="External"/><Relationship Id="rId13" Type="http://schemas.openxmlformats.org/officeDocument/2006/relationships/vmlDrawing" Target="../drawings/vmlDrawing4.vml"/><Relationship Id="rId3" Type="http://schemas.openxmlformats.org/officeDocument/2006/relationships/hyperlink" Target="http://www.sciencedirect.com/science/article/pii/S0016236117301849" TargetMode="External"/><Relationship Id="rId7" Type="http://schemas.openxmlformats.org/officeDocument/2006/relationships/hyperlink" Target="https://www.fsis.usda.gov/wps/portal/fsis/topics/food-safety-education/get-answers/food-safety-fact-sheets/meat-preparation/hot-dogs-and-food-safety/CT_Index" TargetMode="External"/><Relationship Id="rId12" Type="http://schemas.openxmlformats.org/officeDocument/2006/relationships/hyperlink" Target="https://link.springer.com/chapter/10.1007/978-94-011-4018-8_50" TargetMode="External"/><Relationship Id="rId2" Type="http://schemas.openxmlformats.org/officeDocument/2006/relationships/hyperlink" Target="https://docs.google.com/spreadsheets/d/1BbCL2gri47aPSb-v94zeByl8WBLT57MgapxjyGb_fLA/edit" TargetMode="External"/><Relationship Id="rId1" Type="http://schemas.openxmlformats.org/officeDocument/2006/relationships/hyperlink" Target="https://urldefense.proofpoint.com/v2/url?u=https-3A__journals.ashs.org_hortsci_downloadpdf_journals_hortsci_36_2_article-2Dp286.xml&amp;d=DwMFaQ&amp;c=WO-RGvefibhHBZq3fL85hQ&amp;r=bmvFIlruKM7LBvdjwO1ltoZ9E4_UezzSO-WH-Mfnsdk&amp;m=6sGnvK7vvGnLD4irWgJ7Y62vkZX7GOc7iWdXUMHHExY&amp;s=pbWVPjSNWzZ26P2tTlwXU6CNMCTKT9QYDm1AouaSqNo&amp;e=" TargetMode="External"/><Relationship Id="rId6" Type="http://schemas.openxmlformats.org/officeDocument/2006/relationships/hyperlink" Target="https://www.teatulia.com/tea-101/how-to-measure-loose-leaf-tea-for-brewing.htm" TargetMode="External"/><Relationship Id="rId11" Type="http://schemas.openxmlformats.org/officeDocument/2006/relationships/hyperlink" Target="https://waterfootprint.org/media/downloads/Report-48-WaterFootprint-AnimalProducts-Vol1.pdf" TargetMode="External"/><Relationship Id="rId5" Type="http://schemas.openxmlformats.org/officeDocument/2006/relationships/hyperlink" Target="https://fdc.nal.usda.gov/fdc-app.html" TargetMode="External"/><Relationship Id="rId10" Type="http://schemas.openxmlformats.org/officeDocument/2006/relationships/hyperlink" Target="https://www.teatulia.com/tea-101/how-to-measure-loose-leaf-tea-for-brewing.htm" TargetMode="External"/><Relationship Id="rId4" Type="http://schemas.openxmlformats.org/officeDocument/2006/relationships/hyperlink" Target="https://www.cranberries.org/how-cranberries-grow" TargetMode="External"/><Relationship Id="rId9" Type="http://schemas.openxmlformats.org/officeDocument/2006/relationships/hyperlink" Target="https://docs.google.com/spreadsheets/d/1BbCL2gri47aPSb-v94zeByl8WBLT57MgapxjyGb_fLA/edit?usp=sharing" TargetMode="External"/><Relationship Id="rId1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17" Type="http://schemas.openxmlformats.org/officeDocument/2006/relationships/hyperlink" Target="http://turk.dog.lf/" TargetMode="External"/><Relationship Id="rId671" Type="http://schemas.openxmlformats.org/officeDocument/2006/relationships/hyperlink" Target="http://p.bu.lt/" TargetMode="External"/><Relationship Id="rId769" Type="http://schemas.openxmlformats.org/officeDocument/2006/relationships/hyperlink" Target="http://palm.kern.ph/" TargetMode="External"/><Relationship Id="rId21" Type="http://schemas.openxmlformats.org/officeDocument/2006/relationships/hyperlink" Target="http://yogurt.frozen.lf/" TargetMode="External"/><Relationship Id="rId324" Type="http://schemas.openxmlformats.org/officeDocument/2006/relationships/hyperlink" Target="http://oat.bran.br/" TargetMode="External"/><Relationship Id="rId531" Type="http://schemas.openxmlformats.org/officeDocument/2006/relationships/hyperlink" Target="http://sb.ph/" TargetMode="External"/><Relationship Id="rId629" Type="http://schemas.openxmlformats.org/officeDocument/2006/relationships/hyperlink" Target="http://sb.ph/" TargetMode="External"/><Relationship Id="rId170" Type="http://schemas.openxmlformats.org/officeDocument/2006/relationships/hyperlink" Target="http://wh.br/" TargetMode="External"/><Relationship Id="rId268" Type="http://schemas.openxmlformats.org/officeDocument/2006/relationships/hyperlink" Target="http://dk.br/" TargetMode="External"/><Relationship Id="rId475" Type="http://schemas.openxmlformats.org/officeDocument/2006/relationships/hyperlink" Target="http://eng.muff.ww/" TargetMode="External"/><Relationship Id="rId682" Type="http://schemas.openxmlformats.org/officeDocument/2006/relationships/hyperlink" Target="http://p.bu.lt/" TargetMode="External"/><Relationship Id="rId32" Type="http://schemas.openxmlformats.org/officeDocument/2006/relationships/hyperlink" Target="http://yogurt.frozen.lf/" TargetMode="External"/><Relationship Id="rId74" Type="http://schemas.openxmlformats.org/officeDocument/2006/relationships/hyperlink" Target="http://sb.ph/" TargetMode="External"/><Relationship Id="rId128" Type="http://schemas.openxmlformats.org/officeDocument/2006/relationships/hyperlink" Target="http://turkey.sk/" TargetMode="External"/><Relationship Id="rId335" Type="http://schemas.openxmlformats.org/officeDocument/2006/relationships/hyperlink" Target="http://flour.ww/" TargetMode="External"/><Relationship Id="rId377" Type="http://schemas.openxmlformats.org/officeDocument/2006/relationships/hyperlink" Target="http://dk.br/" TargetMode="External"/><Relationship Id="rId500" Type="http://schemas.openxmlformats.org/officeDocument/2006/relationships/hyperlink" Target="http://wh.br/" TargetMode="External"/><Relationship Id="rId542" Type="http://schemas.openxmlformats.org/officeDocument/2006/relationships/hyperlink" Target="http://tortillas.fl/" TargetMode="External"/><Relationship Id="rId584" Type="http://schemas.openxmlformats.org/officeDocument/2006/relationships/hyperlink" Target="http://coox.brn.rf/" TargetMode="External"/><Relationship Id="rId5" Type="http://schemas.openxmlformats.org/officeDocument/2006/relationships/hyperlink" Target="http://cof.wht.lt/" TargetMode="External"/><Relationship Id="rId181" Type="http://schemas.openxmlformats.org/officeDocument/2006/relationships/hyperlink" Target="http://wh.br/" TargetMode="External"/><Relationship Id="rId237" Type="http://schemas.openxmlformats.org/officeDocument/2006/relationships/hyperlink" Target="http://rye.br/" TargetMode="External"/><Relationship Id="rId402" Type="http://schemas.openxmlformats.org/officeDocument/2006/relationships/hyperlink" Target="http://dk.br/" TargetMode="External"/><Relationship Id="rId791" Type="http://schemas.openxmlformats.org/officeDocument/2006/relationships/vmlDrawing" Target="../drawings/vmlDrawing6.vml"/><Relationship Id="rId279" Type="http://schemas.openxmlformats.org/officeDocument/2006/relationships/hyperlink" Target="http://dk.br/" TargetMode="External"/><Relationship Id="rId444" Type="http://schemas.openxmlformats.org/officeDocument/2006/relationships/hyperlink" Target="http://crax.ww/" TargetMode="External"/><Relationship Id="rId486" Type="http://schemas.openxmlformats.org/officeDocument/2006/relationships/hyperlink" Target="http://corn.st/" TargetMode="External"/><Relationship Id="rId651" Type="http://schemas.openxmlformats.org/officeDocument/2006/relationships/hyperlink" Target="http://flour.ap/" TargetMode="External"/><Relationship Id="rId693" Type="http://schemas.openxmlformats.org/officeDocument/2006/relationships/hyperlink" Target="http://popc.ff/" TargetMode="External"/><Relationship Id="rId707" Type="http://schemas.openxmlformats.org/officeDocument/2006/relationships/hyperlink" Target="http://sb.ph/" TargetMode="External"/><Relationship Id="rId749" Type="http://schemas.openxmlformats.org/officeDocument/2006/relationships/hyperlink" Target="http://cocnut.dr/" TargetMode="External"/><Relationship Id="rId43" Type="http://schemas.openxmlformats.org/officeDocument/2006/relationships/hyperlink" Target="http://corn.st/" TargetMode="External"/><Relationship Id="rId139" Type="http://schemas.openxmlformats.org/officeDocument/2006/relationships/hyperlink" Target="http://cheerio.hn/" TargetMode="External"/><Relationship Id="rId290" Type="http://schemas.openxmlformats.org/officeDocument/2006/relationships/hyperlink" Target="http://corn.st/" TargetMode="External"/><Relationship Id="rId304" Type="http://schemas.openxmlformats.org/officeDocument/2006/relationships/hyperlink" Target="http://dk.br/" TargetMode="External"/><Relationship Id="rId346" Type="http://schemas.openxmlformats.org/officeDocument/2006/relationships/hyperlink" Target="http://dk.br/" TargetMode="External"/><Relationship Id="rId388" Type="http://schemas.openxmlformats.org/officeDocument/2006/relationships/hyperlink" Target="http://dk.br/" TargetMode="External"/><Relationship Id="rId511" Type="http://schemas.openxmlformats.org/officeDocument/2006/relationships/hyperlink" Target="http://wh.br/" TargetMode="External"/><Relationship Id="rId553" Type="http://schemas.openxmlformats.org/officeDocument/2006/relationships/hyperlink" Target="http://sb.ph/" TargetMode="External"/><Relationship Id="rId609" Type="http://schemas.openxmlformats.org/officeDocument/2006/relationships/hyperlink" Target="http://sb.ph/" TargetMode="External"/><Relationship Id="rId760" Type="http://schemas.openxmlformats.org/officeDocument/2006/relationships/hyperlink" Target="http://p.bu/" TargetMode="External"/><Relationship Id="rId85" Type="http://schemas.openxmlformats.org/officeDocument/2006/relationships/hyperlink" Target="http://oth.ch/" TargetMode="External"/><Relationship Id="rId150" Type="http://schemas.openxmlformats.org/officeDocument/2006/relationships/hyperlink" Target="http://nat.q.lf/" TargetMode="External"/><Relationship Id="rId192" Type="http://schemas.openxmlformats.org/officeDocument/2006/relationships/hyperlink" Target="http://wh.br/" TargetMode="External"/><Relationship Id="rId206" Type="http://schemas.openxmlformats.org/officeDocument/2006/relationships/hyperlink" Target="http://wh.br/" TargetMode="External"/><Relationship Id="rId413" Type="http://schemas.openxmlformats.org/officeDocument/2006/relationships/hyperlink" Target="http://dk.br/" TargetMode="External"/><Relationship Id="rId595" Type="http://schemas.openxmlformats.org/officeDocument/2006/relationships/hyperlink" Target="http://coox.brn.rf/" TargetMode="External"/><Relationship Id="rId248" Type="http://schemas.openxmlformats.org/officeDocument/2006/relationships/hyperlink" Target="http://cr.wheat.br/" TargetMode="External"/><Relationship Id="rId455" Type="http://schemas.openxmlformats.org/officeDocument/2006/relationships/hyperlink" Target="http://flour.ww/" TargetMode="External"/><Relationship Id="rId497" Type="http://schemas.openxmlformats.org/officeDocument/2006/relationships/hyperlink" Target="http://wh.br/" TargetMode="External"/><Relationship Id="rId620" Type="http://schemas.openxmlformats.org/officeDocument/2006/relationships/hyperlink" Target="http://palm.kern.ph/" TargetMode="External"/><Relationship Id="rId662" Type="http://schemas.openxmlformats.org/officeDocument/2006/relationships/hyperlink" Target="http://p.bu/" TargetMode="External"/><Relationship Id="rId718" Type="http://schemas.openxmlformats.org/officeDocument/2006/relationships/hyperlink" Target="http://flour.ap/" TargetMode="External"/><Relationship Id="rId12" Type="http://schemas.openxmlformats.org/officeDocument/2006/relationships/hyperlink" Target="http://palm.kern.ph/" TargetMode="External"/><Relationship Id="rId108" Type="http://schemas.openxmlformats.org/officeDocument/2006/relationships/hyperlink" Target="http://flour.ap/" TargetMode="External"/><Relationship Id="rId315" Type="http://schemas.openxmlformats.org/officeDocument/2006/relationships/hyperlink" Target="http://oat.bran.br/" TargetMode="External"/><Relationship Id="rId357" Type="http://schemas.openxmlformats.org/officeDocument/2006/relationships/hyperlink" Target="http://wheat.br/" TargetMode="External"/><Relationship Id="rId522" Type="http://schemas.openxmlformats.org/officeDocument/2006/relationships/hyperlink" Target="http://sour.cr/" TargetMode="External"/><Relationship Id="rId54" Type="http://schemas.openxmlformats.org/officeDocument/2006/relationships/hyperlink" Target="http://ice.cr.lt/" TargetMode="External"/><Relationship Id="rId96" Type="http://schemas.openxmlformats.org/officeDocument/2006/relationships/hyperlink" Target="http://corn.st/" TargetMode="External"/><Relationship Id="rId161" Type="http://schemas.openxmlformats.org/officeDocument/2006/relationships/hyperlink" Target="http://corn.wg/" TargetMode="External"/><Relationship Id="rId217" Type="http://schemas.openxmlformats.org/officeDocument/2006/relationships/hyperlink" Target="http://rye.br/" TargetMode="External"/><Relationship Id="rId399" Type="http://schemas.openxmlformats.org/officeDocument/2006/relationships/hyperlink" Target="http://oat.br.wh/" TargetMode="External"/><Relationship Id="rId564" Type="http://schemas.openxmlformats.org/officeDocument/2006/relationships/hyperlink" Target="http://coox.brn.rf/" TargetMode="External"/><Relationship Id="rId771" Type="http://schemas.openxmlformats.org/officeDocument/2006/relationships/hyperlink" Target="http://corn.st/" TargetMode="External"/><Relationship Id="rId259" Type="http://schemas.openxmlformats.org/officeDocument/2006/relationships/hyperlink" Target="http://cr.wheat.br/" TargetMode="External"/><Relationship Id="rId424" Type="http://schemas.openxmlformats.org/officeDocument/2006/relationships/hyperlink" Target="http://dk.br/" TargetMode="External"/><Relationship Id="rId466" Type="http://schemas.openxmlformats.org/officeDocument/2006/relationships/hyperlink" Target="http://flour.ww/" TargetMode="External"/><Relationship Id="rId631" Type="http://schemas.openxmlformats.org/officeDocument/2006/relationships/hyperlink" Target="http://coox.home.cc/" TargetMode="External"/><Relationship Id="rId673" Type="http://schemas.openxmlformats.org/officeDocument/2006/relationships/hyperlink" Target="http://p.bu.lt/" TargetMode="External"/><Relationship Id="rId729" Type="http://schemas.openxmlformats.org/officeDocument/2006/relationships/hyperlink" Target="http://sb.cs.ph/" TargetMode="External"/><Relationship Id="rId23" Type="http://schemas.openxmlformats.org/officeDocument/2006/relationships/hyperlink" Target="http://yogurt.frozen.lf/" TargetMode="External"/><Relationship Id="rId119" Type="http://schemas.openxmlformats.org/officeDocument/2006/relationships/hyperlink" Target="http://turk.dog.lf/" TargetMode="External"/><Relationship Id="rId270" Type="http://schemas.openxmlformats.org/officeDocument/2006/relationships/hyperlink" Target="http://flour.ap/" TargetMode="External"/><Relationship Id="rId326" Type="http://schemas.openxmlformats.org/officeDocument/2006/relationships/hyperlink" Target="http://oat.bran.br/" TargetMode="External"/><Relationship Id="rId533" Type="http://schemas.openxmlformats.org/officeDocument/2006/relationships/hyperlink" Target="http://pasta.ww/" TargetMode="External"/><Relationship Id="rId65" Type="http://schemas.openxmlformats.org/officeDocument/2006/relationships/hyperlink" Target="http://ice.cr/" TargetMode="External"/><Relationship Id="rId130" Type="http://schemas.openxmlformats.org/officeDocument/2006/relationships/hyperlink" Target="http://chix.no/" TargetMode="External"/><Relationship Id="rId368" Type="http://schemas.openxmlformats.org/officeDocument/2006/relationships/hyperlink" Target="http://wheat.br/" TargetMode="External"/><Relationship Id="rId575" Type="http://schemas.openxmlformats.org/officeDocument/2006/relationships/hyperlink" Target="http://coox.brn.rf/" TargetMode="External"/><Relationship Id="rId740" Type="http://schemas.openxmlformats.org/officeDocument/2006/relationships/hyperlink" Target="http://s.roll.lf/" TargetMode="External"/><Relationship Id="rId782" Type="http://schemas.openxmlformats.org/officeDocument/2006/relationships/hyperlink" Target="http://mayo.ff/" TargetMode="External"/><Relationship Id="rId172" Type="http://schemas.openxmlformats.org/officeDocument/2006/relationships/hyperlink" Target="http://wh.br/" TargetMode="External"/><Relationship Id="rId228" Type="http://schemas.openxmlformats.org/officeDocument/2006/relationships/hyperlink" Target="http://rye.br/" TargetMode="External"/><Relationship Id="rId435" Type="http://schemas.openxmlformats.org/officeDocument/2006/relationships/hyperlink" Target="http://dk.br/" TargetMode="External"/><Relationship Id="rId477" Type="http://schemas.openxmlformats.org/officeDocument/2006/relationships/hyperlink" Target="http://corn.wg/" TargetMode="External"/><Relationship Id="rId600" Type="http://schemas.openxmlformats.org/officeDocument/2006/relationships/hyperlink" Target="http://coox.brn.rf/" TargetMode="External"/><Relationship Id="rId642" Type="http://schemas.openxmlformats.org/officeDocument/2006/relationships/hyperlink" Target="http://corn.st/" TargetMode="External"/><Relationship Id="rId684" Type="http://schemas.openxmlformats.org/officeDocument/2006/relationships/hyperlink" Target="http://p.bu.lt/" TargetMode="External"/><Relationship Id="rId281" Type="http://schemas.openxmlformats.org/officeDocument/2006/relationships/hyperlink" Target="http://dk.br/" TargetMode="External"/><Relationship Id="rId337" Type="http://schemas.openxmlformats.org/officeDocument/2006/relationships/hyperlink" Target="http://wheat.br/" TargetMode="External"/><Relationship Id="rId502" Type="http://schemas.openxmlformats.org/officeDocument/2006/relationships/hyperlink" Target="http://wh.br/" TargetMode="External"/><Relationship Id="rId34" Type="http://schemas.openxmlformats.org/officeDocument/2006/relationships/hyperlink" Target="http://yogurt.frozen.lf/" TargetMode="External"/><Relationship Id="rId76" Type="http://schemas.openxmlformats.org/officeDocument/2006/relationships/hyperlink" Target="http://spread.bu/" TargetMode="External"/><Relationship Id="rId141" Type="http://schemas.openxmlformats.org/officeDocument/2006/relationships/hyperlink" Target="http://cheerio.hn/" TargetMode="External"/><Relationship Id="rId379" Type="http://schemas.openxmlformats.org/officeDocument/2006/relationships/hyperlink" Target="http://dk.br/" TargetMode="External"/><Relationship Id="rId544" Type="http://schemas.openxmlformats.org/officeDocument/2006/relationships/hyperlink" Target="http://tortillas.fl/" TargetMode="External"/><Relationship Id="rId586" Type="http://schemas.openxmlformats.org/officeDocument/2006/relationships/hyperlink" Target="http://coox.brn.rf/" TargetMode="External"/><Relationship Id="rId751" Type="http://schemas.openxmlformats.org/officeDocument/2006/relationships/hyperlink" Target="http://corn.st/" TargetMode="External"/><Relationship Id="rId7" Type="http://schemas.openxmlformats.org/officeDocument/2006/relationships/hyperlink" Target="http://corn.st/" TargetMode="External"/><Relationship Id="rId183" Type="http://schemas.openxmlformats.org/officeDocument/2006/relationships/hyperlink" Target="http://wh.br/" TargetMode="External"/><Relationship Id="rId239" Type="http://schemas.openxmlformats.org/officeDocument/2006/relationships/hyperlink" Target="http://cr.wheat.br/" TargetMode="External"/><Relationship Id="rId390" Type="http://schemas.openxmlformats.org/officeDocument/2006/relationships/hyperlink" Target="http://dk.br/" TargetMode="External"/><Relationship Id="rId404" Type="http://schemas.openxmlformats.org/officeDocument/2006/relationships/hyperlink" Target="http://dk.br/" TargetMode="External"/><Relationship Id="rId446" Type="http://schemas.openxmlformats.org/officeDocument/2006/relationships/hyperlink" Target="http://crax.ww/" TargetMode="External"/><Relationship Id="rId611" Type="http://schemas.openxmlformats.org/officeDocument/2006/relationships/hyperlink" Target="http://coox.brn.rf/" TargetMode="External"/><Relationship Id="rId653" Type="http://schemas.openxmlformats.org/officeDocument/2006/relationships/hyperlink" Target="http://corn.syrup.lt/" TargetMode="External"/><Relationship Id="rId250" Type="http://schemas.openxmlformats.org/officeDocument/2006/relationships/hyperlink" Target="http://dk.br/" TargetMode="External"/><Relationship Id="rId292" Type="http://schemas.openxmlformats.org/officeDocument/2006/relationships/hyperlink" Target="http://wh.bran.br/" TargetMode="External"/><Relationship Id="rId306" Type="http://schemas.openxmlformats.org/officeDocument/2006/relationships/hyperlink" Target="http://dk.br/" TargetMode="External"/><Relationship Id="rId488" Type="http://schemas.openxmlformats.org/officeDocument/2006/relationships/hyperlink" Target="http://eng.muff.ww/" TargetMode="External"/><Relationship Id="rId695" Type="http://schemas.openxmlformats.org/officeDocument/2006/relationships/hyperlink" Target="http://popc.lt/" TargetMode="External"/><Relationship Id="rId709" Type="http://schemas.openxmlformats.org/officeDocument/2006/relationships/hyperlink" Target="http://sb.ph/" TargetMode="External"/><Relationship Id="rId45" Type="http://schemas.openxmlformats.org/officeDocument/2006/relationships/hyperlink" Target="http://ice.cr.ff.sf/" TargetMode="External"/><Relationship Id="rId87" Type="http://schemas.openxmlformats.org/officeDocument/2006/relationships/hyperlink" Target="http://peach.cn/" TargetMode="External"/><Relationship Id="rId110" Type="http://schemas.openxmlformats.org/officeDocument/2006/relationships/hyperlink" Target="http://turk.dog.lf/" TargetMode="External"/><Relationship Id="rId348" Type="http://schemas.openxmlformats.org/officeDocument/2006/relationships/hyperlink" Target="http://dk.br/" TargetMode="External"/><Relationship Id="rId513" Type="http://schemas.openxmlformats.org/officeDocument/2006/relationships/hyperlink" Target="http://corn.st/" TargetMode="External"/><Relationship Id="rId555" Type="http://schemas.openxmlformats.org/officeDocument/2006/relationships/hyperlink" Target="http://corn.st/" TargetMode="External"/><Relationship Id="rId597" Type="http://schemas.openxmlformats.org/officeDocument/2006/relationships/hyperlink" Target="http://coox.brn.rf/" TargetMode="External"/><Relationship Id="rId720" Type="http://schemas.openxmlformats.org/officeDocument/2006/relationships/hyperlink" Target="http://s.roll.lf/" TargetMode="External"/><Relationship Id="rId762" Type="http://schemas.openxmlformats.org/officeDocument/2006/relationships/hyperlink" Target="http://p.bu/" TargetMode="External"/><Relationship Id="rId152" Type="http://schemas.openxmlformats.org/officeDocument/2006/relationships/hyperlink" Target="http://flour.ww/" TargetMode="External"/><Relationship Id="rId194" Type="http://schemas.openxmlformats.org/officeDocument/2006/relationships/hyperlink" Target="http://wh.br/" TargetMode="External"/><Relationship Id="rId208" Type="http://schemas.openxmlformats.org/officeDocument/2006/relationships/hyperlink" Target="http://wh.br/" TargetMode="External"/><Relationship Id="rId415" Type="http://schemas.openxmlformats.org/officeDocument/2006/relationships/hyperlink" Target="http://dk.br/" TargetMode="External"/><Relationship Id="rId457" Type="http://schemas.openxmlformats.org/officeDocument/2006/relationships/hyperlink" Target="http://flour.ap/" TargetMode="External"/><Relationship Id="rId622" Type="http://schemas.openxmlformats.org/officeDocument/2006/relationships/hyperlink" Target="http://sb.ph/" TargetMode="External"/><Relationship Id="rId261" Type="http://schemas.openxmlformats.org/officeDocument/2006/relationships/hyperlink" Target="http://cr.wheat.br/" TargetMode="External"/><Relationship Id="rId499" Type="http://schemas.openxmlformats.org/officeDocument/2006/relationships/hyperlink" Target="http://wh.br/" TargetMode="External"/><Relationship Id="rId664" Type="http://schemas.openxmlformats.org/officeDocument/2006/relationships/hyperlink" Target="http://p.bu/" TargetMode="External"/><Relationship Id="rId14" Type="http://schemas.openxmlformats.org/officeDocument/2006/relationships/hyperlink" Target="http://cof.wht.lt/" TargetMode="External"/><Relationship Id="rId56" Type="http://schemas.openxmlformats.org/officeDocument/2006/relationships/hyperlink" Target="http://ice.cr.lt/" TargetMode="External"/><Relationship Id="rId317" Type="http://schemas.openxmlformats.org/officeDocument/2006/relationships/hyperlink" Target="http://oat.bran.br/" TargetMode="External"/><Relationship Id="rId359" Type="http://schemas.openxmlformats.org/officeDocument/2006/relationships/hyperlink" Target="http://wheat.br/" TargetMode="External"/><Relationship Id="rId524" Type="http://schemas.openxmlformats.org/officeDocument/2006/relationships/hyperlink" Target="http://flour.ap/" TargetMode="External"/><Relationship Id="rId566" Type="http://schemas.openxmlformats.org/officeDocument/2006/relationships/hyperlink" Target="http://flour.ap/" TargetMode="External"/><Relationship Id="rId731" Type="http://schemas.openxmlformats.org/officeDocument/2006/relationships/hyperlink" Target="http://sb.cs.ph/" TargetMode="External"/><Relationship Id="rId773" Type="http://schemas.openxmlformats.org/officeDocument/2006/relationships/hyperlink" Target="http://corn.st/" TargetMode="External"/><Relationship Id="rId98" Type="http://schemas.openxmlformats.org/officeDocument/2006/relationships/hyperlink" Target="http://corn.st/" TargetMode="External"/><Relationship Id="rId121" Type="http://schemas.openxmlformats.org/officeDocument/2006/relationships/hyperlink" Target="http://chix.no/" TargetMode="External"/><Relationship Id="rId163" Type="http://schemas.openxmlformats.org/officeDocument/2006/relationships/hyperlink" Target="http://flour.oat.wh/" TargetMode="External"/><Relationship Id="rId219" Type="http://schemas.openxmlformats.org/officeDocument/2006/relationships/hyperlink" Target="http://rye.br/" TargetMode="External"/><Relationship Id="rId370" Type="http://schemas.openxmlformats.org/officeDocument/2006/relationships/hyperlink" Target="http://wheat.br/" TargetMode="External"/><Relationship Id="rId426" Type="http://schemas.openxmlformats.org/officeDocument/2006/relationships/hyperlink" Target="http://sb.ph/" TargetMode="External"/><Relationship Id="rId633" Type="http://schemas.openxmlformats.org/officeDocument/2006/relationships/hyperlink" Target="http://coox.home.cc/" TargetMode="External"/><Relationship Id="rId230" Type="http://schemas.openxmlformats.org/officeDocument/2006/relationships/hyperlink" Target="http://rye.br/" TargetMode="External"/><Relationship Id="rId468" Type="http://schemas.openxmlformats.org/officeDocument/2006/relationships/hyperlink" Target="http://corn.st/" TargetMode="External"/><Relationship Id="rId675" Type="http://schemas.openxmlformats.org/officeDocument/2006/relationships/hyperlink" Target="http://p.bu/" TargetMode="External"/><Relationship Id="rId25" Type="http://schemas.openxmlformats.org/officeDocument/2006/relationships/hyperlink" Target="http://yogurt.frozen.lf/" TargetMode="External"/><Relationship Id="rId67" Type="http://schemas.openxmlformats.org/officeDocument/2006/relationships/hyperlink" Target="http://ice.cr/" TargetMode="External"/><Relationship Id="rId272" Type="http://schemas.openxmlformats.org/officeDocument/2006/relationships/hyperlink" Target="http://wh.bran.br/" TargetMode="External"/><Relationship Id="rId328" Type="http://schemas.openxmlformats.org/officeDocument/2006/relationships/hyperlink" Target="http://oat.bran.br/" TargetMode="External"/><Relationship Id="rId535" Type="http://schemas.openxmlformats.org/officeDocument/2006/relationships/hyperlink" Target="http://tortillas.fl/" TargetMode="External"/><Relationship Id="rId577" Type="http://schemas.openxmlformats.org/officeDocument/2006/relationships/hyperlink" Target="http://coox.brn.rf/" TargetMode="External"/><Relationship Id="rId700" Type="http://schemas.openxmlformats.org/officeDocument/2006/relationships/hyperlink" Target="http://popc.lt/" TargetMode="External"/><Relationship Id="rId742" Type="http://schemas.openxmlformats.org/officeDocument/2006/relationships/hyperlink" Target="http://flour.ap/" TargetMode="External"/><Relationship Id="rId132" Type="http://schemas.openxmlformats.org/officeDocument/2006/relationships/hyperlink" Target="http://chix.no/" TargetMode="External"/><Relationship Id="rId174" Type="http://schemas.openxmlformats.org/officeDocument/2006/relationships/hyperlink" Target="http://wh.br/" TargetMode="External"/><Relationship Id="rId381" Type="http://schemas.openxmlformats.org/officeDocument/2006/relationships/hyperlink" Target="http://dk.br/" TargetMode="External"/><Relationship Id="rId602" Type="http://schemas.openxmlformats.org/officeDocument/2006/relationships/hyperlink" Target="http://coox.brn.rf/" TargetMode="External"/><Relationship Id="rId784" Type="http://schemas.openxmlformats.org/officeDocument/2006/relationships/hyperlink" Target="http://mayo.ff/" TargetMode="External"/><Relationship Id="rId241" Type="http://schemas.openxmlformats.org/officeDocument/2006/relationships/hyperlink" Target="http://dk.br/" TargetMode="External"/><Relationship Id="rId437" Type="http://schemas.openxmlformats.org/officeDocument/2006/relationships/hyperlink" Target="http://crax.ww/" TargetMode="External"/><Relationship Id="rId479" Type="http://schemas.openxmlformats.org/officeDocument/2006/relationships/hyperlink" Target="http://eng.muff.ww/" TargetMode="External"/><Relationship Id="rId644" Type="http://schemas.openxmlformats.org/officeDocument/2006/relationships/hyperlink" Target="http://flour.ap/" TargetMode="External"/><Relationship Id="rId686" Type="http://schemas.openxmlformats.org/officeDocument/2006/relationships/hyperlink" Target="http://p.bu.lt/" TargetMode="External"/><Relationship Id="rId36" Type="http://schemas.openxmlformats.org/officeDocument/2006/relationships/hyperlink" Target="http://yogurt.frozen.lf/" TargetMode="External"/><Relationship Id="rId283" Type="http://schemas.openxmlformats.org/officeDocument/2006/relationships/hyperlink" Target="http://dk.br/" TargetMode="External"/><Relationship Id="rId339" Type="http://schemas.openxmlformats.org/officeDocument/2006/relationships/hyperlink" Target="http://wheat.br/" TargetMode="External"/><Relationship Id="rId490" Type="http://schemas.openxmlformats.org/officeDocument/2006/relationships/hyperlink" Target="http://eng.muff.ww/" TargetMode="External"/><Relationship Id="rId504" Type="http://schemas.openxmlformats.org/officeDocument/2006/relationships/hyperlink" Target="http://wh.br/" TargetMode="External"/><Relationship Id="rId546" Type="http://schemas.openxmlformats.org/officeDocument/2006/relationships/hyperlink" Target="http://tortillas.fl/" TargetMode="External"/><Relationship Id="rId711" Type="http://schemas.openxmlformats.org/officeDocument/2006/relationships/hyperlink" Target="http://popc.ff/" TargetMode="External"/><Relationship Id="rId753" Type="http://schemas.openxmlformats.org/officeDocument/2006/relationships/hyperlink" Target="http://sb.ph/" TargetMode="External"/><Relationship Id="rId78" Type="http://schemas.openxmlformats.org/officeDocument/2006/relationships/hyperlink" Target="http://spread.bu/" TargetMode="External"/><Relationship Id="rId101" Type="http://schemas.openxmlformats.org/officeDocument/2006/relationships/hyperlink" Target="http://swt.pot.bk/" TargetMode="External"/><Relationship Id="rId143" Type="http://schemas.openxmlformats.org/officeDocument/2006/relationships/hyperlink" Target="http://flour.ww/" TargetMode="External"/><Relationship Id="rId185" Type="http://schemas.openxmlformats.org/officeDocument/2006/relationships/hyperlink" Target="http://wh.br/" TargetMode="External"/><Relationship Id="rId350" Type="http://schemas.openxmlformats.org/officeDocument/2006/relationships/hyperlink" Target="http://dk.br/" TargetMode="External"/><Relationship Id="rId406" Type="http://schemas.openxmlformats.org/officeDocument/2006/relationships/hyperlink" Target="http://dk.br/" TargetMode="External"/><Relationship Id="rId588" Type="http://schemas.openxmlformats.org/officeDocument/2006/relationships/hyperlink" Target="http://coox.brn.rf/" TargetMode="External"/><Relationship Id="rId9" Type="http://schemas.openxmlformats.org/officeDocument/2006/relationships/hyperlink" Target="http://cof.wht.lt/" TargetMode="External"/><Relationship Id="rId210" Type="http://schemas.openxmlformats.org/officeDocument/2006/relationships/hyperlink" Target="http://rye.br/" TargetMode="External"/><Relationship Id="rId392" Type="http://schemas.openxmlformats.org/officeDocument/2006/relationships/hyperlink" Target="http://dk.br/" TargetMode="External"/><Relationship Id="rId448" Type="http://schemas.openxmlformats.org/officeDocument/2006/relationships/hyperlink" Target="http://crax.ww/" TargetMode="External"/><Relationship Id="rId613" Type="http://schemas.openxmlformats.org/officeDocument/2006/relationships/hyperlink" Target="http://coox.brn.rf/" TargetMode="External"/><Relationship Id="rId655" Type="http://schemas.openxmlformats.org/officeDocument/2006/relationships/hyperlink" Target="http://corn.st/" TargetMode="External"/><Relationship Id="rId697" Type="http://schemas.openxmlformats.org/officeDocument/2006/relationships/hyperlink" Target="http://popc.ff/" TargetMode="External"/><Relationship Id="rId252" Type="http://schemas.openxmlformats.org/officeDocument/2006/relationships/hyperlink" Target="http://dk.br/" TargetMode="External"/><Relationship Id="rId294" Type="http://schemas.openxmlformats.org/officeDocument/2006/relationships/hyperlink" Target="http://wh.bran.br/" TargetMode="External"/><Relationship Id="rId308" Type="http://schemas.openxmlformats.org/officeDocument/2006/relationships/hyperlink" Target="http://dk.br/" TargetMode="External"/><Relationship Id="rId515" Type="http://schemas.openxmlformats.org/officeDocument/2006/relationships/hyperlink" Target="http://wh.br/" TargetMode="External"/><Relationship Id="rId722" Type="http://schemas.openxmlformats.org/officeDocument/2006/relationships/hyperlink" Target="http://s.roll.lf/" TargetMode="External"/><Relationship Id="rId47" Type="http://schemas.openxmlformats.org/officeDocument/2006/relationships/hyperlink" Target="http://ice.cr.ff.sf/" TargetMode="External"/><Relationship Id="rId89" Type="http://schemas.openxmlformats.org/officeDocument/2006/relationships/hyperlink" Target="http://peach.cn/" TargetMode="External"/><Relationship Id="rId112" Type="http://schemas.openxmlformats.org/officeDocument/2006/relationships/hyperlink" Target="http://turk.dog.lf/" TargetMode="External"/><Relationship Id="rId154" Type="http://schemas.openxmlformats.org/officeDocument/2006/relationships/hyperlink" Target="http://nat.q.lf/" TargetMode="External"/><Relationship Id="rId361" Type="http://schemas.openxmlformats.org/officeDocument/2006/relationships/hyperlink" Target="http://wheat.br/" TargetMode="External"/><Relationship Id="rId557" Type="http://schemas.openxmlformats.org/officeDocument/2006/relationships/hyperlink" Target="http://oth.ch/" TargetMode="External"/><Relationship Id="rId599" Type="http://schemas.openxmlformats.org/officeDocument/2006/relationships/hyperlink" Target="http://coox.brn.rf/" TargetMode="External"/><Relationship Id="rId764" Type="http://schemas.openxmlformats.org/officeDocument/2006/relationships/hyperlink" Target="http://sb.cs.ph/" TargetMode="External"/><Relationship Id="rId196" Type="http://schemas.openxmlformats.org/officeDocument/2006/relationships/hyperlink" Target="http://wh.br/" TargetMode="External"/><Relationship Id="rId417" Type="http://schemas.openxmlformats.org/officeDocument/2006/relationships/hyperlink" Target="http://dk.br/" TargetMode="External"/><Relationship Id="rId459" Type="http://schemas.openxmlformats.org/officeDocument/2006/relationships/hyperlink" Target="http://sb.ph/" TargetMode="External"/><Relationship Id="rId624" Type="http://schemas.openxmlformats.org/officeDocument/2006/relationships/hyperlink" Target="http://corn.st/" TargetMode="External"/><Relationship Id="rId666" Type="http://schemas.openxmlformats.org/officeDocument/2006/relationships/hyperlink" Target="http://p.bu/" TargetMode="External"/><Relationship Id="rId16" Type="http://schemas.openxmlformats.org/officeDocument/2006/relationships/hyperlink" Target="http://yogurt.frozen.lf/" TargetMode="External"/><Relationship Id="rId221" Type="http://schemas.openxmlformats.org/officeDocument/2006/relationships/hyperlink" Target="http://rye.br/" TargetMode="External"/><Relationship Id="rId263" Type="http://schemas.openxmlformats.org/officeDocument/2006/relationships/hyperlink" Target="http://cr.wheat.br/" TargetMode="External"/><Relationship Id="rId319" Type="http://schemas.openxmlformats.org/officeDocument/2006/relationships/hyperlink" Target="http://dk.br/" TargetMode="External"/><Relationship Id="rId470" Type="http://schemas.openxmlformats.org/officeDocument/2006/relationships/hyperlink" Target="http://flour.ww/" TargetMode="External"/><Relationship Id="rId526" Type="http://schemas.openxmlformats.org/officeDocument/2006/relationships/hyperlink" Target="http://palm.kern.ph/" TargetMode="External"/><Relationship Id="rId58" Type="http://schemas.openxmlformats.org/officeDocument/2006/relationships/hyperlink" Target="http://ice.cr.lt/" TargetMode="External"/><Relationship Id="rId123" Type="http://schemas.openxmlformats.org/officeDocument/2006/relationships/hyperlink" Target="http://chix.sk/" TargetMode="External"/><Relationship Id="rId330" Type="http://schemas.openxmlformats.org/officeDocument/2006/relationships/hyperlink" Target="http://oat.bran.br/" TargetMode="External"/><Relationship Id="rId568" Type="http://schemas.openxmlformats.org/officeDocument/2006/relationships/hyperlink" Target="http://coox.lf/" TargetMode="External"/><Relationship Id="rId733" Type="http://schemas.openxmlformats.org/officeDocument/2006/relationships/hyperlink" Target="http://s.roll.lf/" TargetMode="External"/><Relationship Id="rId775" Type="http://schemas.openxmlformats.org/officeDocument/2006/relationships/hyperlink" Target="http://corn.st/" TargetMode="External"/><Relationship Id="rId165" Type="http://schemas.openxmlformats.org/officeDocument/2006/relationships/hyperlink" Target="http://flour.ap/" TargetMode="External"/><Relationship Id="rId372" Type="http://schemas.openxmlformats.org/officeDocument/2006/relationships/hyperlink" Target="http://wheat.br/" TargetMode="External"/><Relationship Id="rId428" Type="http://schemas.openxmlformats.org/officeDocument/2006/relationships/hyperlink" Target="http://dk.br/" TargetMode="External"/><Relationship Id="rId635" Type="http://schemas.openxmlformats.org/officeDocument/2006/relationships/hyperlink" Target="http://coox.home.cc/" TargetMode="External"/><Relationship Id="rId677" Type="http://schemas.openxmlformats.org/officeDocument/2006/relationships/hyperlink" Target="http://p.bu/" TargetMode="External"/><Relationship Id="rId232" Type="http://schemas.openxmlformats.org/officeDocument/2006/relationships/hyperlink" Target="http://rye.br/" TargetMode="External"/><Relationship Id="rId274" Type="http://schemas.openxmlformats.org/officeDocument/2006/relationships/hyperlink" Target="http://wh.bran.br/" TargetMode="External"/><Relationship Id="rId481" Type="http://schemas.openxmlformats.org/officeDocument/2006/relationships/hyperlink" Target="http://eng.muff.ww/" TargetMode="External"/><Relationship Id="rId702" Type="http://schemas.openxmlformats.org/officeDocument/2006/relationships/hyperlink" Target="http://popc.lt/" TargetMode="External"/><Relationship Id="rId27" Type="http://schemas.openxmlformats.org/officeDocument/2006/relationships/hyperlink" Target="http://yogurt.frozen.lf/" TargetMode="External"/><Relationship Id="rId69" Type="http://schemas.openxmlformats.org/officeDocument/2006/relationships/hyperlink" Target="http://ice.cr/" TargetMode="External"/><Relationship Id="rId134" Type="http://schemas.openxmlformats.org/officeDocument/2006/relationships/hyperlink" Target="http://flour.ap/" TargetMode="External"/><Relationship Id="rId537" Type="http://schemas.openxmlformats.org/officeDocument/2006/relationships/hyperlink" Target="http://tortillas.fl/" TargetMode="External"/><Relationship Id="rId579" Type="http://schemas.openxmlformats.org/officeDocument/2006/relationships/hyperlink" Target="http://coox.brn.rf/" TargetMode="External"/><Relationship Id="rId744" Type="http://schemas.openxmlformats.org/officeDocument/2006/relationships/hyperlink" Target="http://p.bu/" TargetMode="External"/><Relationship Id="rId786" Type="http://schemas.openxmlformats.org/officeDocument/2006/relationships/hyperlink" Target="http://mayo.ff/" TargetMode="External"/><Relationship Id="rId80" Type="http://schemas.openxmlformats.org/officeDocument/2006/relationships/hyperlink" Target="http://corn.st/" TargetMode="External"/><Relationship Id="rId176" Type="http://schemas.openxmlformats.org/officeDocument/2006/relationships/hyperlink" Target="http://wh.br/" TargetMode="External"/><Relationship Id="rId341" Type="http://schemas.openxmlformats.org/officeDocument/2006/relationships/hyperlink" Target="http://wheat.br/" TargetMode="External"/><Relationship Id="rId383" Type="http://schemas.openxmlformats.org/officeDocument/2006/relationships/hyperlink" Target="http://dk.br/" TargetMode="External"/><Relationship Id="rId439" Type="http://schemas.openxmlformats.org/officeDocument/2006/relationships/hyperlink" Target="http://crax.ww/" TargetMode="External"/><Relationship Id="rId590" Type="http://schemas.openxmlformats.org/officeDocument/2006/relationships/hyperlink" Target="http://coox.brn.rf/" TargetMode="External"/><Relationship Id="rId604" Type="http://schemas.openxmlformats.org/officeDocument/2006/relationships/hyperlink" Target="http://coox.brn.rf/" TargetMode="External"/><Relationship Id="rId646" Type="http://schemas.openxmlformats.org/officeDocument/2006/relationships/hyperlink" Target="http://sb.int/" TargetMode="External"/><Relationship Id="rId201" Type="http://schemas.openxmlformats.org/officeDocument/2006/relationships/hyperlink" Target="http://wh.br/" TargetMode="External"/><Relationship Id="rId243" Type="http://schemas.openxmlformats.org/officeDocument/2006/relationships/hyperlink" Target="http://dk.br/" TargetMode="External"/><Relationship Id="rId285" Type="http://schemas.openxmlformats.org/officeDocument/2006/relationships/hyperlink" Target="http://dk.br/" TargetMode="External"/><Relationship Id="rId450" Type="http://schemas.openxmlformats.org/officeDocument/2006/relationships/hyperlink" Target="http://crax.ww/" TargetMode="External"/><Relationship Id="rId506" Type="http://schemas.openxmlformats.org/officeDocument/2006/relationships/hyperlink" Target="http://wh.br/" TargetMode="External"/><Relationship Id="rId688" Type="http://schemas.openxmlformats.org/officeDocument/2006/relationships/hyperlink" Target="http://p.bu.lt/" TargetMode="External"/><Relationship Id="rId38" Type="http://schemas.openxmlformats.org/officeDocument/2006/relationships/hyperlink" Target="http://corn.st/" TargetMode="External"/><Relationship Id="rId103" Type="http://schemas.openxmlformats.org/officeDocument/2006/relationships/hyperlink" Target="http://must.gr/" TargetMode="External"/><Relationship Id="rId310" Type="http://schemas.openxmlformats.org/officeDocument/2006/relationships/hyperlink" Target="http://dk.br/" TargetMode="External"/><Relationship Id="rId492" Type="http://schemas.openxmlformats.org/officeDocument/2006/relationships/hyperlink" Target="http://eng.muff.ww/" TargetMode="External"/><Relationship Id="rId548" Type="http://schemas.openxmlformats.org/officeDocument/2006/relationships/hyperlink" Target="http://corn.syrup.lt/" TargetMode="External"/><Relationship Id="rId713" Type="http://schemas.openxmlformats.org/officeDocument/2006/relationships/hyperlink" Target="http://popc.ff/" TargetMode="External"/><Relationship Id="rId755" Type="http://schemas.openxmlformats.org/officeDocument/2006/relationships/hyperlink" Target="http://flour.oat.wh/" TargetMode="External"/><Relationship Id="rId91" Type="http://schemas.openxmlformats.org/officeDocument/2006/relationships/hyperlink" Target="http://peach.cn.jc/" TargetMode="External"/><Relationship Id="rId145" Type="http://schemas.openxmlformats.org/officeDocument/2006/relationships/hyperlink" Target="http://flour.ww/" TargetMode="External"/><Relationship Id="rId187" Type="http://schemas.openxmlformats.org/officeDocument/2006/relationships/hyperlink" Target="http://wh.br/" TargetMode="External"/><Relationship Id="rId352" Type="http://schemas.openxmlformats.org/officeDocument/2006/relationships/hyperlink" Target="http://dk.br/" TargetMode="External"/><Relationship Id="rId394" Type="http://schemas.openxmlformats.org/officeDocument/2006/relationships/hyperlink" Target="http://dk.br/" TargetMode="External"/><Relationship Id="rId408" Type="http://schemas.openxmlformats.org/officeDocument/2006/relationships/hyperlink" Target="http://dk.br/" TargetMode="External"/><Relationship Id="rId615" Type="http://schemas.openxmlformats.org/officeDocument/2006/relationships/hyperlink" Target="http://coox.brn.rf/" TargetMode="External"/><Relationship Id="rId212" Type="http://schemas.openxmlformats.org/officeDocument/2006/relationships/hyperlink" Target="http://rye.br/" TargetMode="External"/><Relationship Id="rId254" Type="http://schemas.openxmlformats.org/officeDocument/2006/relationships/hyperlink" Target="http://dk.br/" TargetMode="External"/><Relationship Id="rId657" Type="http://schemas.openxmlformats.org/officeDocument/2006/relationships/hyperlink" Target="http://p.bu/" TargetMode="External"/><Relationship Id="rId699" Type="http://schemas.openxmlformats.org/officeDocument/2006/relationships/hyperlink" Target="http://popc.ff/" TargetMode="External"/><Relationship Id="rId49" Type="http://schemas.openxmlformats.org/officeDocument/2006/relationships/hyperlink" Target="http://ice.cr/" TargetMode="External"/><Relationship Id="rId114" Type="http://schemas.openxmlformats.org/officeDocument/2006/relationships/hyperlink" Target="http://flour.ap/" TargetMode="External"/><Relationship Id="rId296" Type="http://schemas.openxmlformats.org/officeDocument/2006/relationships/hyperlink" Target="http://oat.bran.br/" TargetMode="External"/><Relationship Id="rId461" Type="http://schemas.openxmlformats.org/officeDocument/2006/relationships/hyperlink" Target="http://flour.ap/" TargetMode="External"/><Relationship Id="rId517" Type="http://schemas.openxmlformats.org/officeDocument/2006/relationships/hyperlink" Target="http://corn.st/" TargetMode="External"/><Relationship Id="rId559" Type="http://schemas.openxmlformats.org/officeDocument/2006/relationships/hyperlink" Target="http://flour.ap/" TargetMode="External"/><Relationship Id="rId724" Type="http://schemas.openxmlformats.org/officeDocument/2006/relationships/hyperlink" Target="http://s.roll.lf/" TargetMode="External"/><Relationship Id="rId766" Type="http://schemas.openxmlformats.org/officeDocument/2006/relationships/hyperlink" Target="http://corn.st/" TargetMode="External"/><Relationship Id="rId60" Type="http://schemas.openxmlformats.org/officeDocument/2006/relationships/hyperlink" Target="http://flour.ap/" TargetMode="External"/><Relationship Id="rId156" Type="http://schemas.openxmlformats.org/officeDocument/2006/relationships/hyperlink" Target="http://nat.q.lf/" TargetMode="External"/><Relationship Id="rId198" Type="http://schemas.openxmlformats.org/officeDocument/2006/relationships/hyperlink" Target="http://wh.br/" TargetMode="External"/><Relationship Id="rId321" Type="http://schemas.openxmlformats.org/officeDocument/2006/relationships/hyperlink" Target="http://dk.br/" TargetMode="External"/><Relationship Id="rId363" Type="http://schemas.openxmlformats.org/officeDocument/2006/relationships/hyperlink" Target="http://wheat.br/" TargetMode="External"/><Relationship Id="rId419" Type="http://schemas.openxmlformats.org/officeDocument/2006/relationships/hyperlink" Target="http://dk.br/" TargetMode="External"/><Relationship Id="rId570" Type="http://schemas.openxmlformats.org/officeDocument/2006/relationships/hyperlink" Target="http://coox.lf/" TargetMode="External"/><Relationship Id="rId626" Type="http://schemas.openxmlformats.org/officeDocument/2006/relationships/hyperlink" Target="http://flour.ap/" TargetMode="External"/><Relationship Id="rId223" Type="http://schemas.openxmlformats.org/officeDocument/2006/relationships/hyperlink" Target="http://rye.br/" TargetMode="External"/><Relationship Id="rId430" Type="http://schemas.openxmlformats.org/officeDocument/2006/relationships/hyperlink" Target="http://dk.br/" TargetMode="External"/><Relationship Id="rId668" Type="http://schemas.openxmlformats.org/officeDocument/2006/relationships/hyperlink" Target="http://p.bu/" TargetMode="External"/><Relationship Id="rId18" Type="http://schemas.openxmlformats.org/officeDocument/2006/relationships/hyperlink" Target="http://yogurt.frozen.lf/" TargetMode="External"/><Relationship Id="rId265" Type="http://schemas.openxmlformats.org/officeDocument/2006/relationships/hyperlink" Target="http://cr.wheat.br/" TargetMode="External"/><Relationship Id="rId472" Type="http://schemas.openxmlformats.org/officeDocument/2006/relationships/hyperlink" Target="http://eng.muff.ww/" TargetMode="External"/><Relationship Id="rId528" Type="http://schemas.openxmlformats.org/officeDocument/2006/relationships/hyperlink" Target="http://sb.ph/" TargetMode="External"/><Relationship Id="rId735" Type="http://schemas.openxmlformats.org/officeDocument/2006/relationships/hyperlink" Target="http://s.roll.lf/" TargetMode="External"/><Relationship Id="rId125" Type="http://schemas.openxmlformats.org/officeDocument/2006/relationships/hyperlink" Target="http://chix.sk/" TargetMode="External"/><Relationship Id="rId167" Type="http://schemas.openxmlformats.org/officeDocument/2006/relationships/hyperlink" Target="http://wh.br/" TargetMode="External"/><Relationship Id="rId332" Type="http://schemas.openxmlformats.org/officeDocument/2006/relationships/hyperlink" Target="http://oat.bran.br/" TargetMode="External"/><Relationship Id="rId374" Type="http://schemas.openxmlformats.org/officeDocument/2006/relationships/hyperlink" Target="http://wheat.br/" TargetMode="External"/><Relationship Id="rId581" Type="http://schemas.openxmlformats.org/officeDocument/2006/relationships/hyperlink" Target="http://sb.ph/" TargetMode="External"/><Relationship Id="rId777" Type="http://schemas.openxmlformats.org/officeDocument/2006/relationships/hyperlink" Target="http://corn.st/" TargetMode="External"/><Relationship Id="rId71" Type="http://schemas.openxmlformats.org/officeDocument/2006/relationships/hyperlink" Target="http://ice.cr/" TargetMode="External"/><Relationship Id="rId234" Type="http://schemas.openxmlformats.org/officeDocument/2006/relationships/hyperlink" Target="http://rye.br/" TargetMode="External"/><Relationship Id="rId637" Type="http://schemas.openxmlformats.org/officeDocument/2006/relationships/hyperlink" Target="http://coox.home.cc/" TargetMode="External"/><Relationship Id="rId679" Type="http://schemas.openxmlformats.org/officeDocument/2006/relationships/hyperlink" Target="http://p.bu/" TargetMode="External"/><Relationship Id="rId2" Type="http://schemas.openxmlformats.org/officeDocument/2006/relationships/hyperlink" Target="http://corn.st/" TargetMode="External"/><Relationship Id="rId29" Type="http://schemas.openxmlformats.org/officeDocument/2006/relationships/hyperlink" Target="http://yogurt.frozen.lf/" TargetMode="External"/><Relationship Id="rId276" Type="http://schemas.openxmlformats.org/officeDocument/2006/relationships/hyperlink" Target="http://wh.bran.br/" TargetMode="External"/><Relationship Id="rId441" Type="http://schemas.openxmlformats.org/officeDocument/2006/relationships/hyperlink" Target="http://flour.ap/" TargetMode="External"/><Relationship Id="rId483" Type="http://schemas.openxmlformats.org/officeDocument/2006/relationships/hyperlink" Target="http://eng.muff.ww/" TargetMode="External"/><Relationship Id="rId539" Type="http://schemas.openxmlformats.org/officeDocument/2006/relationships/hyperlink" Target="http://sb.int/" TargetMode="External"/><Relationship Id="rId690" Type="http://schemas.openxmlformats.org/officeDocument/2006/relationships/hyperlink" Target="http://p.bu.lt/" TargetMode="External"/><Relationship Id="rId704" Type="http://schemas.openxmlformats.org/officeDocument/2006/relationships/hyperlink" Target="http://popc.ff/" TargetMode="External"/><Relationship Id="rId746" Type="http://schemas.openxmlformats.org/officeDocument/2006/relationships/hyperlink" Target="http://p.bu/" TargetMode="External"/><Relationship Id="rId40" Type="http://schemas.openxmlformats.org/officeDocument/2006/relationships/hyperlink" Target="http://corn.st/" TargetMode="External"/><Relationship Id="rId136" Type="http://schemas.openxmlformats.org/officeDocument/2006/relationships/hyperlink" Target="http://corn.st/" TargetMode="External"/><Relationship Id="rId178" Type="http://schemas.openxmlformats.org/officeDocument/2006/relationships/hyperlink" Target="http://wh.br/" TargetMode="External"/><Relationship Id="rId301" Type="http://schemas.openxmlformats.org/officeDocument/2006/relationships/hyperlink" Target="http://oat.bran.br/" TargetMode="External"/><Relationship Id="rId343" Type="http://schemas.openxmlformats.org/officeDocument/2006/relationships/hyperlink" Target="http://wheat.br/" TargetMode="External"/><Relationship Id="rId550" Type="http://schemas.openxmlformats.org/officeDocument/2006/relationships/hyperlink" Target="http://sb.ph/" TargetMode="External"/><Relationship Id="rId788" Type="http://schemas.openxmlformats.org/officeDocument/2006/relationships/hyperlink" Target="http://mayo.ff/" TargetMode="External"/><Relationship Id="rId82" Type="http://schemas.openxmlformats.org/officeDocument/2006/relationships/hyperlink" Target="http://cr.ch/" TargetMode="External"/><Relationship Id="rId203" Type="http://schemas.openxmlformats.org/officeDocument/2006/relationships/hyperlink" Target="http://wh.br/" TargetMode="External"/><Relationship Id="rId385" Type="http://schemas.openxmlformats.org/officeDocument/2006/relationships/hyperlink" Target="http://dk.br/" TargetMode="External"/><Relationship Id="rId592" Type="http://schemas.openxmlformats.org/officeDocument/2006/relationships/hyperlink" Target="http://coox.brn.rf/" TargetMode="External"/><Relationship Id="rId606" Type="http://schemas.openxmlformats.org/officeDocument/2006/relationships/hyperlink" Target="http://corn.st/" TargetMode="External"/><Relationship Id="rId648" Type="http://schemas.openxmlformats.org/officeDocument/2006/relationships/hyperlink" Target="http://corn.st/" TargetMode="External"/><Relationship Id="rId245" Type="http://schemas.openxmlformats.org/officeDocument/2006/relationships/hyperlink" Target="http://dk.br/" TargetMode="External"/><Relationship Id="rId287" Type="http://schemas.openxmlformats.org/officeDocument/2006/relationships/hyperlink" Target="http://flour.ww/" TargetMode="External"/><Relationship Id="rId410" Type="http://schemas.openxmlformats.org/officeDocument/2006/relationships/hyperlink" Target="http://flour.ap/" TargetMode="External"/><Relationship Id="rId452" Type="http://schemas.openxmlformats.org/officeDocument/2006/relationships/hyperlink" Target="http://crax.ww/" TargetMode="External"/><Relationship Id="rId494" Type="http://schemas.openxmlformats.org/officeDocument/2006/relationships/hyperlink" Target="http://flour.ap/" TargetMode="External"/><Relationship Id="rId508" Type="http://schemas.openxmlformats.org/officeDocument/2006/relationships/hyperlink" Target="http://wh.br/" TargetMode="External"/><Relationship Id="rId715" Type="http://schemas.openxmlformats.org/officeDocument/2006/relationships/hyperlink" Target="http://sb.cs.ph/" TargetMode="External"/><Relationship Id="rId105" Type="http://schemas.openxmlformats.org/officeDocument/2006/relationships/hyperlink" Target="http://corn.st/" TargetMode="External"/><Relationship Id="rId147" Type="http://schemas.openxmlformats.org/officeDocument/2006/relationships/hyperlink" Target="http://flour.ww/" TargetMode="External"/><Relationship Id="rId312" Type="http://schemas.openxmlformats.org/officeDocument/2006/relationships/hyperlink" Target="http://dk.br/" TargetMode="External"/><Relationship Id="rId354" Type="http://schemas.openxmlformats.org/officeDocument/2006/relationships/hyperlink" Target="http://dk.br/" TargetMode="External"/><Relationship Id="rId757" Type="http://schemas.openxmlformats.org/officeDocument/2006/relationships/hyperlink" Target="http://p.bu/" TargetMode="External"/><Relationship Id="rId51" Type="http://schemas.openxmlformats.org/officeDocument/2006/relationships/hyperlink" Target="http://ice.cr/" TargetMode="External"/><Relationship Id="rId93" Type="http://schemas.openxmlformats.org/officeDocument/2006/relationships/hyperlink" Target="http://corn.st/" TargetMode="External"/><Relationship Id="rId189" Type="http://schemas.openxmlformats.org/officeDocument/2006/relationships/hyperlink" Target="http://wh.br/" TargetMode="External"/><Relationship Id="rId396" Type="http://schemas.openxmlformats.org/officeDocument/2006/relationships/hyperlink" Target="http://dk.br/" TargetMode="External"/><Relationship Id="rId561" Type="http://schemas.openxmlformats.org/officeDocument/2006/relationships/hyperlink" Target="http://oth.ch/" TargetMode="External"/><Relationship Id="rId617" Type="http://schemas.openxmlformats.org/officeDocument/2006/relationships/hyperlink" Target="http://flour.ap/" TargetMode="External"/><Relationship Id="rId659" Type="http://schemas.openxmlformats.org/officeDocument/2006/relationships/hyperlink" Target="http://p.bu/" TargetMode="External"/><Relationship Id="rId214" Type="http://schemas.openxmlformats.org/officeDocument/2006/relationships/hyperlink" Target="http://rye.br/" TargetMode="External"/><Relationship Id="rId256" Type="http://schemas.openxmlformats.org/officeDocument/2006/relationships/hyperlink" Target="http://dk.br/" TargetMode="External"/><Relationship Id="rId298" Type="http://schemas.openxmlformats.org/officeDocument/2006/relationships/hyperlink" Target="http://dk.br/" TargetMode="External"/><Relationship Id="rId421" Type="http://schemas.openxmlformats.org/officeDocument/2006/relationships/hyperlink" Target="http://dk.br/" TargetMode="External"/><Relationship Id="rId463" Type="http://schemas.openxmlformats.org/officeDocument/2006/relationships/hyperlink" Target="http://corn.st/" TargetMode="External"/><Relationship Id="rId519" Type="http://schemas.openxmlformats.org/officeDocument/2006/relationships/hyperlink" Target="http://corn.st/" TargetMode="External"/><Relationship Id="rId670" Type="http://schemas.openxmlformats.org/officeDocument/2006/relationships/hyperlink" Target="http://p.bu/" TargetMode="External"/><Relationship Id="rId116" Type="http://schemas.openxmlformats.org/officeDocument/2006/relationships/hyperlink" Target="http://turk.dog.lf/" TargetMode="External"/><Relationship Id="rId158" Type="http://schemas.openxmlformats.org/officeDocument/2006/relationships/hyperlink" Target="http://nat.q.lf/" TargetMode="External"/><Relationship Id="rId323" Type="http://schemas.openxmlformats.org/officeDocument/2006/relationships/hyperlink" Target="http://dk.br/" TargetMode="External"/><Relationship Id="rId530" Type="http://schemas.openxmlformats.org/officeDocument/2006/relationships/hyperlink" Target="http://flour.ww/" TargetMode="External"/><Relationship Id="rId726" Type="http://schemas.openxmlformats.org/officeDocument/2006/relationships/hyperlink" Target="http://s.roll.lf/" TargetMode="External"/><Relationship Id="rId768" Type="http://schemas.openxmlformats.org/officeDocument/2006/relationships/hyperlink" Target="http://flour.ap/" TargetMode="External"/><Relationship Id="rId20" Type="http://schemas.openxmlformats.org/officeDocument/2006/relationships/hyperlink" Target="http://yogurt.frozen.lf/" TargetMode="External"/><Relationship Id="rId62" Type="http://schemas.openxmlformats.org/officeDocument/2006/relationships/hyperlink" Target="http://ice.cr.lt/" TargetMode="External"/><Relationship Id="rId365" Type="http://schemas.openxmlformats.org/officeDocument/2006/relationships/hyperlink" Target="http://wheat.br/" TargetMode="External"/><Relationship Id="rId572" Type="http://schemas.openxmlformats.org/officeDocument/2006/relationships/hyperlink" Target="http://coox.lf/" TargetMode="External"/><Relationship Id="rId628" Type="http://schemas.openxmlformats.org/officeDocument/2006/relationships/hyperlink" Target="http://corn.st/" TargetMode="External"/><Relationship Id="rId225" Type="http://schemas.openxmlformats.org/officeDocument/2006/relationships/hyperlink" Target="http://rye.br/" TargetMode="External"/><Relationship Id="rId267" Type="http://schemas.openxmlformats.org/officeDocument/2006/relationships/hyperlink" Target="http://cr.wheat.br/" TargetMode="External"/><Relationship Id="rId432" Type="http://schemas.openxmlformats.org/officeDocument/2006/relationships/hyperlink" Target="http://dk.br/" TargetMode="External"/><Relationship Id="rId474" Type="http://schemas.openxmlformats.org/officeDocument/2006/relationships/hyperlink" Target="http://eng.muff.ww/" TargetMode="External"/><Relationship Id="rId127" Type="http://schemas.openxmlformats.org/officeDocument/2006/relationships/hyperlink" Target="http://turkey.sk/" TargetMode="External"/><Relationship Id="rId681" Type="http://schemas.openxmlformats.org/officeDocument/2006/relationships/hyperlink" Target="http://p.bu/" TargetMode="External"/><Relationship Id="rId737" Type="http://schemas.openxmlformats.org/officeDocument/2006/relationships/hyperlink" Target="http://corn.st/" TargetMode="External"/><Relationship Id="rId779" Type="http://schemas.openxmlformats.org/officeDocument/2006/relationships/hyperlink" Target="http://corn.st/" TargetMode="External"/><Relationship Id="rId31" Type="http://schemas.openxmlformats.org/officeDocument/2006/relationships/hyperlink" Target="http://yogurt.frozen.lf/" TargetMode="External"/><Relationship Id="rId73" Type="http://schemas.openxmlformats.org/officeDocument/2006/relationships/hyperlink" Target="http://sb.ph/" TargetMode="External"/><Relationship Id="rId169" Type="http://schemas.openxmlformats.org/officeDocument/2006/relationships/hyperlink" Target="http://wh.br/" TargetMode="External"/><Relationship Id="rId334" Type="http://schemas.openxmlformats.org/officeDocument/2006/relationships/hyperlink" Target="http://wheat.br/" TargetMode="External"/><Relationship Id="rId376" Type="http://schemas.openxmlformats.org/officeDocument/2006/relationships/hyperlink" Target="http://wheat.br/" TargetMode="External"/><Relationship Id="rId541" Type="http://schemas.openxmlformats.org/officeDocument/2006/relationships/hyperlink" Target="http://tortillas.fl/" TargetMode="External"/><Relationship Id="rId583" Type="http://schemas.openxmlformats.org/officeDocument/2006/relationships/hyperlink" Target="http://coox.lf/" TargetMode="External"/><Relationship Id="rId639" Type="http://schemas.openxmlformats.org/officeDocument/2006/relationships/hyperlink" Target="http://palm.kern.ph/" TargetMode="External"/><Relationship Id="rId790" Type="http://schemas.openxmlformats.org/officeDocument/2006/relationships/hyperlink" Target="http://corn.st/" TargetMode="External"/><Relationship Id="rId4" Type="http://schemas.openxmlformats.org/officeDocument/2006/relationships/hyperlink" Target="http://sb.ph/" TargetMode="External"/><Relationship Id="rId180" Type="http://schemas.openxmlformats.org/officeDocument/2006/relationships/hyperlink" Target="http://wh.br/" TargetMode="External"/><Relationship Id="rId236" Type="http://schemas.openxmlformats.org/officeDocument/2006/relationships/hyperlink" Target="http://rye.br/" TargetMode="External"/><Relationship Id="rId278" Type="http://schemas.openxmlformats.org/officeDocument/2006/relationships/hyperlink" Target="http://wh.bran.br/" TargetMode="External"/><Relationship Id="rId401" Type="http://schemas.openxmlformats.org/officeDocument/2006/relationships/hyperlink" Target="http://oat.br.wh/" TargetMode="External"/><Relationship Id="rId443" Type="http://schemas.openxmlformats.org/officeDocument/2006/relationships/hyperlink" Target="http://crax.ww/" TargetMode="External"/><Relationship Id="rId650" Type="http://schemas.openxmlformats.org/officeDocument/2006/relationships/hyperlink" Target="http://corn.st/" TargetMode="External"/><Relationship Id="rId303" Type="http://schemas.openxmlformats.org/officeDocument/2006/relationships/hyperlink" Target="http://oat.bran.br/" TargetMode="External"/><Relationship Id="rId485" Type="http://schemas.openxmlformats.org/officeDocument/2006/relationships/hyperlink" Target="http://eng.muff.ww/" TargetMode="External"/><Relationship Id="rId692" Type="http://schemas.openxmlformats.org/officeDocument/2006/relationships/hyperlink" Target="http://popc.lt/" TargetMode="External"/><Relationship Id="rId706" Type="http://schemas.openxmlformats.org/officeDocument/2006/relationships/hyperlink" Target="http://popc.ff/" TargetMode="External"/><Relationship Id="rId748" Type="http://schemas.openxmlformats.org/officeDocument/2006/relationships/hyperlink" Target="http://p.bu/" TargetMode="External"/><Relationship Id="rId42" Type="http://schemas.openxmlformats.org/officeDocument/2006/relationships/hyperlink" Target="http://ice.cr.ff.sf/" TargetMode="External"/><Relationship Id="rId84" Type="http://schemas.openxmlformats.org/officeDocument/2006/relationships/hyperlink" Target="http://oth.ch/" TargetMode="External"/><Relationship Id="rId138" Type="http://schemas.openxmlformats.org/officeDocument/2006/relationships/hyperlink" Target="http://salmon.pink.cn/" TargetMode="External"/><Relationship Id="rId345" Type="http://schemas.openxmlformats.org/officeDocument/2006/relationships/hyperlink" Target="http://wheat.br/" TargetMode="External"/><Relationship Id="rId387" Type="http://schemas.openxmlformats.org/officeDocument/2006/relationships/hyperlink" Target="http://flour.ww/" TargetMode="External"/><Relationship Id="rId510" Type="http://schemas.openxmlformats.org/officeDocument/2006/relationships/hyperlink" Target="http://wh.br/" TargetMode="External"/><Relationship Id="rId552" Type="http://schemas.openxmlformats.org/officeDocument/2006/relationships/hyperlink" Target="http://corn.st/" TargetMode="External"/><Relationship Id="rId594" Type="http://schemas.openxmlformats.org/officeDocument/2006/relationships/hyperlink" Target="http://flour.ap/" TargetMode="External"/><Relationship Id="rId608" Type="http://schemas.openxmlformats.org/officeDocument/2006/relationships/hyperlink" Target="http://coox.brn.rf/" TargetMode="External"/><Relationship Id="rId191" Type="http://schemas.openxmlformats.org/officeDocument/2006/relationships/hyperlink" Target="http://wh.br/" TargetMode="External"/><Relationship Id="rId205" Type="http://schemas.openxmlformats.org/officeDocument/2006/relationships/hyperlink" Target="http://wh.br/" TargetMode="External"/><Relationship Id="rId247" Type="http://schemas.openxmlformats.org/officeDocument/2006/relationships/hyperlink" Target="http://dk.br/" TargetMode="External"/><Relationship Id="rId412" Type="http://schemas.openxmlformats.org/officeDocument/2006/relationships/hyperlink" Target="http://oat.br.wh/" TargetMode="External"/><Relationship Id="rId107" Type="http://schemas.openxmlformats.org/officeDocument/2006/relationships/hyperlink" Target="http://corn.st/" TargetMode="External"/><Relationship Id="rId289" Type="http://schemas.openxmlformats.org/officeDocument/2006/relationships/hyperlink" Target="http://wh.bran.br/" TargetMode="External"/><Relationship Id="rId454" Type="http://schemas.openxmlformats.org/officeDocument/2006/relationships/hyperlink" Target="http://flour.ap/" TargetMode="External"/><Relationship Id="rId496" Type="http://schemas.openxmlformats.org/officeDocument/2006/relationships/hyperlink" Target="http://wh.br/" TargetMode="External"/><Relationship Id="rId661" Type="http://schemas.openxmlformats.org/officeDocument/2006/relationships/hyperlink" Target="http://p.bu/" TargetMode="External"/><Relationship Id="rId717" Type="http://schemas.openxmlformats.org/officeDocument/2006/relationships/hyperlink" Target="http://corn.st/" TargetMode="External"/><Relationship Id="rId759" Type="http://schemas.openxmlformats.org/officeDocument/2006/relationships/hyperlink" Target="http://p.bu/" TargetMode="External"/><Relationship Id="rId11" Type="http://schemas.openxmlformats.org/officeDocument/2006/relationships/hyperlink" Target="http://cof.wht.lt/" TargetMode="External"/><Relationship Id="rId53" Type="http://schemas.openxmlformats.org/officeDocument/2006/relationships/hyperlink" Target="http://ice.cr.lt/" TargetMode="External"/><Relationship Id="rId149" Type="http://schemas.openxmlformats.org/officeDocument/2006/relationships/hyperlink" Target="http://flour.ww/" TargetMode="External"/><Relationship Id="rId314" Type="http://schemas.openxmlformats.org/officeDocument/2006/relationships/hyperlink" Target="http://dk.br/" TargetMode="External"/><Relationship Id="rId356" Type="http://schemas.openxmlformats.org/officeDocument/2006/relationships/hyperlink" Target="http://dk.br/" TargetMode="External"/><Relationship Id="rId398" Type="http://schemas.openxmlformats.org/officeDocument/2006/relationships/hyperlink" Target="http://dk.br/" TargetMode="External"/><Relationship Id="rId521" Type="http://schemas.openxmlformats.org/officeDocument/2006/relationships/hyperlink" Target="http://corn.st/" TargetMode="External"/><Relationship Id="rId563" Type="http://schemas.openxmlformats.org/officeDocument/2006/relationships/hyperlink" Target="http://whip.cr/" TargetMode="External"/><Relationship Id="rId619" Type="http://schemas.openxmlformats.org/officeDocument/2006/relationships/hyperlink" Target="http://flour.ap/" TargetMode="External"/><Relationship Id="rId770" Type="http://schemas.openxmlformats.org/officeDocument/2006/relationships/hyperlink" Target="http://almond.bu/" TargetMode="External"/><Relationship Id="rId95" Type="http://schemas.openxmlformats.org/officeDocument/2006/relationships/hyperlink" Target="http://corn.st/" TargetMode="External"/><Relationship Id="rId160" Type="http://schemas.openxmlformats.org/officeDocument/2006/relationships/hyperlink" Target="http://flour.ww/" TargetMode="External"/><Relationship Id="rId216" Type="http://schemas.openxmlformats.org/officeDocument/2006/relationships/hyperlink" Target="http://rye.br/" TargetMode="External"/><Relationship Id="rId423" Type="http://schemas.openxmlformats.org/officeDocument/2006/relationships/hyperlink" Target="http://dk.br/" TargetMode="External"/><Relationship Id="rId258" Type="http://schemas.openxmlformats.org/officeDocument/2006/relationships/hyperlink" Target="http://dk.br/" TargetMode="External"/><Relationship Id="rId465" Type="http://schemas.openxmlformats.org/officeDocument/2006/relationships/hyperlink" Target="http://flour.ap/" TargetMode="External"/><Relationship Id="rId630" Type="http://schemas.openxmlformats.org/officeDocument/2006/relationships/hyperlink" Target="http://coox.home.cc/" TargetMode="External"/><Relationship Id="rId672" Type="http://schemas.openxmlformats.org/officeDocument/2006/relationships/hyperlink" Target="http://p.bu/" TargetMode="External"/><Relationship Id="rId728" Type="http://schemas.openxmlformats.org/officeDocument/2006/relationships/hyperlink" Target="http://s.roll.lf/" TargetMode="External"/><Relationship Id="rId22" Type="http://schemas.openxmlformats.org/officeDocument/2006/relationships/hyperlink" Target="http://flour.ap/" TargetMode="External"/><Relationship Id="rId64" Type="http://schemas.openxmlformats.org/officeDocument/2006/relationships/hyperlink" Target="http://corn.st/" TargetMode="External"/><Relationship Id="rId118" Type="http://schemas.openxmlformats.org/officeDocument/2006/relationships/hyperlink" Target="http://turk.dog.lf/" TargetMode="External"/><Relationship Id="rId325" Type="http://schemas.openxmlformats.org/officeDocument/2006/relationships/hyperlink" Target="http://dk.br/" TargetMode="External"/><Relationship Id="rId367" Type="http://schemas.openxmlformats.org/officeDocument/2006/relationships/hyperlink" Target="http://dk.br/" TargetMode="External"/><Relationship Id="rId532" Type="http://schemas.openxmlformats.org/officeDocument/2006/relationships/hyperlink" Target="http://flour.ap/" TargetMode="External"/><Relationship Id="rId574" Type="http://schemas.openxmlformats.org/officeDocument/2006/relationships/hyperlink" Target="http://coox.lf/" TargetMode="External"/><Relationship Id="rId171" Type="http://schemas.openxmlformats.org/officeDocument/2006/relationships/hyperlink" Target="http://wh.br/" TargetMode="External"/><Relationship Id="rId227" Type="http://schemas.openxmlformats.org/officeDocument/2006/relationships/hyperlink" Target="http://rye.br/" TargetMode="External"/><Relationship Id="rId781" Type="http://schemas.openxmlformats.org/officeDocument/2006/relationships/hyperlink" Target="http://mayo.ff/" TargetMode="External"/><Relationship Id="rId269" Type="http://schemas.openxmlformats.org/officeDocument/2006/relationships/hyperlink" Target="http://wh.bran.br/" TargetMode="External"/><Relationship Id="rId434" Type="http://schemas.openxmlformats.org/officeDocument/2006/relationships/hyperlink" Target="http://dk.br/" TargetMode="External"/><Relationship Id="rId476" Type="http://schemas.openxmlformats.org/officeDocument/2006/relationships/hyperlink" Target="http://eng.muff.ww/" TargetMode="External"/><Relationship Id="rId641" Type="http://schemas.openxmlformats.org/officeDocument/2006/relationships/hyperlink" Target="http://flour.ap/" TargetMode="External"/><Relationship Id="rId683" Type="http://schemas.openxmlformats.org/officeDocument/2006/relationships/hyperlink" Target="http://p.bu/" TargetMode="External"/><Relationship Id="rId739" Type="http://schemas.openxmlformats.org/officeDocument/2006/relationships/hyperlink" Target="http://s.roll.lf/" TargetMode="External"/><Relationship Id="rId33" Type="http://schemas.openxmlformats.org/officeDocument/2006/relationships/hyperlink" Target="http://yogurt.frozen.lf/" TargetMode="External"/><Relationship Id="rId129" Type="http://schemas.openxmlformats.org/officeDocument/2006/relationships/hyperlink" Target="http://chix.sk/" TargetMode="External"/><Relationship Id="rId280" Type="http://schemas.openxmlformats.org/officeDocument/2006/relationships/hyperlink" Target="http://wh.bran.br/" TargetMode="External"/><Relationship Id="rId336" Type="http://schemas.openxmlformats.org/officeDocument/2006/relationships/hyperlink" Target="http://dk.br/" TargetMode="External"/><Relationship Id="rId501" Type="http://schemas.openxmlformats.org/officeDocument/2006/relationships/hyperlink" Target="http://wh.br/" TargetMode="External"/><Relationship Id="rId543" Type="http://schemas.openxmlformats.org/officeDocument/2006/relationships/hyperlink" Target="http://corn.st/" TargetMode="External"/><Relationship Id="rId75" Type="http://schemas.openxmlformats.org/officeDocument/2006/relationships/hyperlink" Target="http://sb.ph/" TargetMode="External"/><Relationship Id="rId140" Type="http://schemas.openxmlformats.org/officeDocument/2006/relationships/hyperlink" Target="http://cheerio.hn/" TargetMode="External"/><Relationship Id="rId182" Type="http://schemas.openxmlformats.org/officeDocument/2006/relationships/hyperlink" Target="http://wh.br/" TargetMode="External"/><Relationship Id="rId378" Type="http://schemas.openxmlformats.org/officeDocument/2006/relationships/hyperlink" Target="http://wheat.br/" TargetMode="External"/><Relationship Id="rId403" Type="http://schemas.openxmlformats.org/officeDocument/2006/relationships/hyperlink" Target="http://oat.br.wh/" TargetMode="External"/><Relationship Id="rId585" Type="http://schemas.openxmlformats.org/officeDocument/2006/relationships/hyperlink" Target="http://coox.lf/" TargetMode="External"/><Relationship Id="rId750" Type="http://schemas.openxmlformats.org/officeDocument/2006/relationships/hyperlink" Target="http://palm.kern.ph/" TargetMode="External"/><Relationship Id="rId792" Type="http://schemas.openxmlformats.org/officeDocument/2006/relationships/comments" Target="../comments6.xml"/><Relationship Id="rId6" Type="http://schemas.openxmlformats.org/officeDocument/2006/relationships/hyperlink" Target="http://cof.wht.lt/" TargetMode="External"/><Relationship Id="rId238" Type="http://schemas.openxmlformats.org/officeDocument/2006/relationships/hyperlink" Target="http://dk.br/" TargetMode="External"/><Relationship Id="rId445" Type="http://schemas.openxmlformats.org/officeDocument/2006/relationships/hyperlink" Target="http://crax.ww/" TargetMode="External"/><Relationship Id="rId487" Type="http://schemas.openxmlformats.org/officeDocument/2006/relationships/hyperlink" Target="http://eng.muff.ww/" TargetMode="External"/><Relationship Id="rId610" Type="http://schemas.openxmlformats.org/officeDocument/2006/relationships/hyperlink" Target="http://coox.brn.rf/" TargetMode="External"/><Relationship Id="rId652" Type="http://schemas.openxmlformats.org/officeDocument/2006/relationships/hyperlink" Target="http://flour.ap/" TargetMode="External"/><Relationship Id="rId694" Type="http://schemas.openxmlformats.org/officeDocument/2006/relationships/hyperlink" Target="http://popc.ff/" TargetMode="External"/><Relationship Id="rId708" Type="http://schemas.openxmlformats.org/officeDocument/2006/relationships/hyperlink" Target="http://popc.ff/" TargetMode="External"/><Relationship Id="rId291" Type="http://schemas.openxmlformats.org/officeDocument/2006/relationships/hyperlink" Target="http://dk.br/" TargetMode="External"/><Relationship Id="rId305" Type="http://schemas.openxmlformats.org/officeDocument/2006/relationships/hyperlink" Target="http://oat.bran.br/" TargetMode="External"/><Relationship Id="rId347" Type="http://schemas.openxmlformats.org/officeDocument/2006/relationships/hyperlink" Target="http://wheat.br/" TargetMode="External"/><Relationship Id="rId512" Type="http://schemas.openxmlformats.org/officeDocument/2006/relationships/hyperlink" Target="http://wh.br/" TargetMode="External"/><Relationship Id="rId44" Type="http://schemas.openxmlformats.org/officeDocument/2006/relationships/hyperlink" Target="http://ice.cr.ff.sf/" TargetMode="External"/><Relationship Id="rId86" Type="http://schemas.openxmlformats.org/officeDocument/2006/relationships/hyperlink" Target="http://pom.jc/" TargetMode="External"/><Relationship Id="rId151" Type="http://schemas.openxmlformats.org/officeDocument/2006/relationships/hyperlink" Target="http://nat.q.lf/" TargetMode="External"/><Relationship Id="rId389" Type="http://schemas.openxmlformats.org/officeDocument/2006/relationships/hyperlink" Target="http://oat.br.wh/" TargetMode="External"/><Relationship Id="rId554" Type="http://schemas.openxmlformats.org/officeDocument/2006/relationships/hyperlink" Target="http://sour.cr/" TargetMode="External"/><Relationship Id="rId596" Type="http://schemas.openxmlformats.org/officeDocument/2006/relationships/hyperlink" Target="http://coox.brn.rf/" TargetMode="External"/><Relationship Id="rId761" Type="http://schemas.openxmlformats.org/officeDocument/2006/relationships/hyperlink" Target="http://p.bu/" TargetMode="External"/><Relationship Id="rId193" Type="http://schemas.openxmlformats.org/officeDocument/2006/relationships/hyperlink" Target="http://corn.st/" TargetMode="External"/><Relationship Id="rId207" Type="http://schemas.openxmlformats.org/officeDocument/2006/relationships/hyperlink" Target="http://wh.br/" TargetMode="External"/><Relationship Id="rId249" Type="http://schemas.openxmlformats.org/officeDocument/2006/relationships/hyperlink" Target="http://flour.ww/" TargetMode="External"/><Relationship Id="rId414" Type="http://schemas.openxmlformats.org/officeDocument/2006/relationships/hyperlink" Target="http://flour.ap/" TargetMode="External"/><Relationship Id="rId456" Type="http://schemas.openxmlformats.org/officeDocument/2006/relationships/hyperlink" Target="http://corn.st/" TargetMode="External"/><Relationship Id="rId498" Type="http://schemas.openxmlformats.org/officeDocument/2006/relationships/hyperlink" Target="http://wh.br/" TargetMode="External"/><Relationship Id="rId621" Type="http://schemas.openxmlformats.org/officeDocument/2006/relationships/hyperlink" Target="http://flour.ap/" TargetMode="External"/><Relationship Id="rId663" Type="http://schemas.openxmlformats.org/officeDocument/2006/relationships/hyperlink" Target="http://p.bu/" TargetMode="External"/><Relationship Id="rId13" Type="http://schemas.openxmlformats.org/officeDocument/2006/relationships/hyperlink" Target="http://cof.wht.lt/" TargetMode="External"/><Relationship Id="rId109" Type="http://schemas.openxmlformats.org/officeDocument/2006/relationships/hyperlink" Target="http://corn.st/" TargetMode="External"/><Relationship Id="rId260" Type="http://schemas.openxmlformats.org/officeDocument/2006/relationships/hyperlink" Target="http://dk.br/" TargetMode="External"/><Relationship Id="rId316" Type="http://schemas.openxmlformats.org/officeDocument/2006/relationships/hyperlink" Target="http://dk.br/" TargetMode="External"/><Relationship Id="rId523" Type="http://schemas.openxmlformats.org/officeDocument/2006/relationships/hyperlink" Target="http://flour.ap/" TargetMode="External"/><Relationship Id="rId719" Type="http://schemas.openxmlformats.org/officeDocument/2006/relationships/hyperlink" Target="http://cocnut.dr/" TargetMode="External"/><Relationship Id="rId55" Type="http://schemas.openxmlformats.org/officeDocument/2006/relationships/hyperlink" Target="http://ice.cr.lt/" TargetMode="External"/><Relationship Id="rId97" Type="http://schemas.openxmlformats.org/officeDocument/2006/relationships/hyperlink" Target="http://flour.ap/" TargetMode="External"/><Relationship Id="rId120" Type="http://schemas.openxmlformats.org/officeDocument/2006/relationships/hyperlink" Target="http://flour.ap/" TargetMode="External"/><Relationship Id="rId358" Type="http://schemas.openxmlformats.org/officeDocument/2006/relationships/hyperlink" Target="http://dk.br/" TargetMode="External"/><Relationship Id="rId565" Type="http://schemas.openxmlformats.org/officeDocument/2006/relationships/hyperlink" Target="http://coox.lf/" TargetMode="External"/><Relationship Id="rId730" Type="http://schemas.openxmlformats.org/officeDocument/2006/relationships/hyperlink" Target="http://s.roll.lf/" TargetMode="External"/><Relationship Id="rId772" Type="http://schemas.openxmlformats.org/officeDocument/2006/relationships/hyperlink" Target="http://flour.ap/" TargetMode="External"/><Relationship Id="rId162" Type="http://schemas.openxmlformats.org/officeDocument/2006/relationships/hyperlink" Target="http://flour.ww/" TargetMode="External"/><Relationship Id="rId218" Type="http://schemas.openxmlformats.org/officeDocument/2006/relationships/hyperlink" Target="http://rye.br/" TargetMode="External"/><Relationship Id="rId425" Type="http://schemas.openxmlformats.org/officeDocument/2006/relationships/hyperlink" Target="http://dk.br/" TargetMode="External"/><Relationship Id="rId467" Type="http://schemas.openxmlformats.org/officeDocument/2006/relationships/hyperlink" Target="http://flour.ap/" TargetMode="External"/><Relationship Id="rId632" Type="http://schemas.openxmlformats.org/officeDocument/2006/relationships/hyperlink" Target="http://coox.home.cc/" TargetMode="External"/><Relationship Id="rId271" Type="http://schemas.openxmlformats.org/officeDocument/2006/relationships/hyperlink" Target="http://dk.br/" TargetMode="External"/><Relationship Id="rId674" Type="http://schemas.openxmlformats.org/officeDocument/2006/relationships/hyperlink" Target="http://corn.st/" TargetMode="External"/><Relationship Id="rId24" Type="http://schemas.openxmlformats.org/officeDocument/2006/relationships/hyperlink" Target="http://yogurt.frozen.lf/" TargetMode="External"/><Relationship Id="rId66" Type="http://schemas.openxmlformats.org/officeDocument/2006/relationships/hyperlink" Target="http://ice.cr/" TargetMode="External"/><Relationship Id="rId131" Type="http://schemas.openxmlformats.org/officeDocument/2006/relationships/hyperlink" Target="http://chix.no/" TargetMode="External"/><Relationship Id="rId327" Type="http://schemas.openxmlformats.org/officeDocument/2006/relationships/hyperlink" Target="http://dk.br/" TargetMode="External"/><Relationship Id="rId369" Type="http://schemas.openxmlformats.org/officeDocument/2006/relationships/hyperlink" Target="http://dk.br/" TargetMode="External"/><Relationship Id="rId534" Type="http://schemas.openxmlformats.org/officeDocument/2006/relationships/hyperlink" Target="http://pasta.ww/" TargetMode="External"/><Relationship Id="rId576" Type="http://schemas.openxmlformats.org/officeDocument/2006/relationships/hyperlink" Target="http://coox.lf/" TargetMode="External"/><Relationship Id="rId741" Type="http://schemas.openxmlformats.org/officeDocument/2006/relationships/hyperlink" Target="http://flour.ww/" TargetMode="External"/><Relationship Id="rId783" Type="http://schemas.openxmlformats.org/officeDocument/2006/relationships/hyperlink" Target="http://corn.st/" TargetMode="External"/><Relationship Id="rId173" Type="http://schemas.openxmlformats.org/officeDocument/2006/relationships/hyperlink" Target="http://wh.br/" TargetMode="External"/><Relationship Id="rId229" Type="http://schemas.openxmlformats.org/officeDocument/2006/relationships/hyperlink" Target="http://rye.br/" TargetMode="External"/><Relationship Id="rId380" Type="http://schemas.openxmlformats.org/officeDocument/2006/relationships/hyperlink" Target="http://wheat.br/" TargetMode="External"/><Relationship Id="rId436" Type="http://schemas.openxmlformats.org/officeDocument/2006/relationships/hyperlink" Target="http://crax.ww/" TargetMode="External"/><Relationship Id="rId601" Type="http://schemas.openxmlformats.org/officeDocument/2006/relationships/hyperlink" Target="http://flour.ap/" TargetMode="External"/><Relationship Id="rId643" Type="http://schemas.openxmlformats.org/officeDocument/2006/relationships/hyperlink" Target="http://corn.syrup.lt/" TargetMode="External"/><Relationship Id="rId240" Type="http://schemas.openxmlformats.org/officeDocument/2006/relationships/hyperlink" Target="http://flour.ap/" TargetMode="External"/><Relationship Id="rId478" Type="http://schemas.openxmlformats.org/officeDocument/2006/relationships/hyperlink" Target="http://eng.muff.ww/" TargetMode="External"/><Relationship Id="rId685" Type="http://schemas.openxmlformats.org/officeDocument/2006/relationships/hyperlink" Target="http://p.bu/" TargetMode="External"/><Relationship Id="rId35" Type="http://schemas.openxmlformats.org/officeDocument/2006/relationships/hyperlink" Target="http://yogurt.frozen.lf/" TargetMode="External"/><Relationship Id="rId77" Type="http://schemas.openxmlformats.org/officeDocument/2006/relationships/hyperlink" Target="http://spread.bu/" TargetMode="External"/><Relationship Id="rId100" Type="http://schemas.openxmlformats.org/officeDocument/2006/relationships/hyperlink" Target="http://swt.pot.bk/" TargetMode="External"/><Relationship Id="rId282" Type="http://schemas.openxmlformats.org/officeDocument/2006/relationships/hyperlink" Target="http://wh.bran.br/" TargetMode="External"/><Relationship Id="rId338" Type="http://schemas.openxmlformats.org/officeDocument/2006/relationships/hyperlink" Target="http://dk.br/" TargetMode="External"/><Relationship Id="rId503" Type="http://schemas.openxmlformats.org/officeDocument/2006/relationships/hyperlink" Target="http://wh.br/" TargetMode="External"/><Relationship Id="rId545" Type="http://schemas.openxmlformats.org/officeDocument/2006/relationships/hyperlink" Target="http://tortillas.fl/" TargetMode="External"/><Relationship Id="rId587" Type="http://schemas.openxmlformats.org/officeDocument/2006/relationships/hyperlink" Target="http://coox.lf/" TargetMode="External"/><Relationship Id="rId710" Type="http://schemas.openxmlformats.org/officeDocument/2006/relationships/hyperlink" Target="http://popc.ff/" TargetMode="External"/><Relationship Id="rId752" Type="http://schemas.openxmlformats.org/officeDocument/2006/relationships/hyperlink" Target="http://flour.ap/" TargetMode="External"/><Relationship Id="rId8" Type="http://schemas.openxmlformats.org/officeDocument/2006/relationships/hyperlink" Target="http://cof.wht.lt/" TargetMode="External"/><Relationship Id="rId142" Type="http://schemas.openxmlformats.org/officeDocument/2006/relationships/hyperlink" Target="http://corn.st/" TargetMode="External"/><Relationship Id="rId184" Type="http://schemas.openxmlformats.org/officeDocument/2006/relationships/hyperlink" Target="http://wh.br/" TargetMode="External"/><Relationship Id="rId391" Type="http://schemas.openxmlformats.org/officeDocument/2006/relationships/hyperlink" Target="http://oat.br.wh/" TargetMode="External"/><Relationship Id="rId405" Type="http://schemas.openxmlformats.org/officeDocument/2006/relationships/hyperlink" Target="http://oat.br.wh/" TargetMode="External"/><Relationship Id="rId447" Type="http://schemas.openxmlformats.org/officeDocument/2006/relationships/hyperlink" Target="http://crax.ww/" TargetMode="External"/><Relationship Id="rId612" Type="http://schemas.openxmlformats.org/officeDocument/2006/relationships/hyperlink" Target="http://coox.brn.rf/" TargetMode="External"/><Relationship Id="rId251" Type="http://schemas.openxmlformats.org/officeDocument/2006/relationships/hyperlink" Target="http://cr.wheat.br/" TargetMode="External"/><Relationship Id="rId489" Type="http://schemas.openxmlformats.org/officeDocument/2006/relationships/hyperlink" Target="http://eng.muff.ww/" TargetMode="External"/><Relationship Id="rId654" Type="http://schemas.openxmlformats.org/officeDocument/2006/relationships/hyperlink" Target="http://corn.st/" TargetMode="External"/><Relationship Id="rId696" Type="http://schemas.openxmlformats.org/officeDocument/2006/relationships/hyperlink" Target="http://sb.ph/" TargetMode="External"/><Relationship Id="rId46" Type="http://schemas.openxmlformats.org/officeDocument/2006/relationships/hyperlink" Target="http://ice.cr.ff.sf/" TargetMode="External"/><Relationship Id="rId293" Type="http://schemas.openxmlformats.org/officeDocument/2006/relationships/hyperlink" Target="http://dk.br/" TargetMode="External"/><Relationship Id="rId307" Type="http://schemas.openxmlformats.org/officeDocument/2006/relationships/hyperlink" Target="http://oat.bran.br/" TargetMode="External"/><Relationship Id="rId349" Type="http://schemas.openxmlformats.org/officeDocument/2006/relationships/hyperlink" Target="http://wheat.br/" TargetMode="External"/><Relationship Id="rId514" Type="http://schemas.openxmlformats.org/officeDocument/2006/relationships/hyperlink" Target="http://wh.br/" TargetMode="External"/><Relationship Id="rId556" Type="http://schemas.openxmlformats.org/officeDocument/2006/relationships/hyperlink" Target="http://corn.st/" TargetMode="External"/><Relationship Id="rId721" Type="http://schemas.openxmlformats.org/officeDocument/2006/relationships/hyperlink" Target="http://flour.ap/" TargetMode="External"/><Relationship Id="rId763" Type="http://schemas.openxmlformats.org/officeDocument/2006/relationships/hyperlink" Target="http://sb.cs.ph/" TargetMode="External"/><Relationship Id="rId88" Type="http://schemas.openxmlformats.org/officeDocument/2006/relationships/hyperlink" Target="http://peach.cn/" TargetMode="External"/><Relationship Id="rId111" Type="http://schemas.openxmlformats.org/officeDocument/2006/relationships/hyperlink" Target="http://turk.dog.lf/" TargetMode="External"/><Relationship Id="rId153" Type="http://schemas.openxmlformats.org/officeDocument/2006/relationships/hyperlink" Target="http://nat.q.lf/" TargetMode="External"/><Relationship Id="rId195" Type="http://schemas.openxmlformats.org/officeDocument/2006/relationships/hyperlink" Target="http://wh.br/" TargetMode="External"/><Relationship Id="rId209" Type="http://schemas.openxmlformats.org/officeDocument/2006/relationships/hyperlink" Target="http://rye.br/" TargetMode="External"/><Relationship Id="rId360" Type="http://schemas.openxmlformats.org/officeDocument/2006/relationships/hyperlink" Target="http://dk.br/" TargetMode="External"/><Relationship Id="rId416" Type="http://schemas.openxmlformats.org/officeDocument/2006/relationships/hyperlink" Target="http://dk.br/" TargetMode="External"/><Relationship Id="rId598" Type="http://schemas.openxmlformats.org/officeDocument/2006/relationships/hyperlink" Target="http://coox.brn.rf/" TargetMode="External"/><Relationship Id="rId220" Type="http://schemas.openxmlformats.org/officeDocument/2006/relationships/hyperlink" Target="http://rye.br/" TargetMode="External"/><Relationship Id="rId458" Type="http://schemas.openxmlformats.org/officeDocument/2006/relationships/hyperlink" Target="http://oth.ch/" TargetMode="External"/><Relationship Id="rId623" Type="http://schemas.openxmlformats.org/officeDocument/2006/relationships/hyperlink" Target="http://corn.st/" TargetMode="External"/><Relationship Id="rId665" Type="http://schemas.openxmlformats.org/officeDocument/2006/relationships/hyperlink" Target="http://rapeseed.lh/" TargetMode="External"/><Relationship Id="rId15" Type="http://schemas.openxmlformats.org/officeDocument/2006/relationships/hyperlink" Target="http://cof.wht.lt/" TargetMode="External"/><Relationship Id="rId57" Type="http://schemas.openxmlformats.org/officeDocument/2006/relationships/hyperlink" Target="http://ice.cr.lt/" TargetMode="External"/><Relationship Id="rId262" Type="http://schemas.openxmlformats.org/officeDocument/2006/relationships/hyperlink" Target="http://dk.br/" TargetMode="External"/><Relationship Id="rId318" Type="http://schemas.openxmlformats.org/officeDocument/2006/relationships/hyperlink" Target="http://corn.st/" TargetMode="External"/><Relationship Id="rId525" Type="http://schemas.openxmlformats.org/officeDocument/2006/relationships/hyperlink" Target="http://sb.ph/" TargetMode="External"/><Relationship Id="rId567" Type="http://schemas.openxmlformats.org/officeDocument/2006/relationships/hyperlink" Target="http://coox.brn.rf/" TargetMode="External"/><Relationship Id="rId732" Type="http://schemas.openxmlformats.org/officeDocument/2006/relationships/hyperlink" Target="http://s.roll.lf/" TargetMode="External"/><Relationship Id="rId99" Type="http://schemas.openxmlformats.org/officeDocument/2006/relationships/hyperlink" Target="http://swt.pot.bk/" TargetMode="External"/><Relationship Id="rId122" Type="http://schemas.openxmlformats.org/officeDocument/2006/relationships/hyperlink" Target="http://corn.st/" TargetMode="External"/><Relationship Id="rId164" Type="http://schemas.openxmlformats.org/officeDocument/2006/relationships/hyperlink" Target="http://flour.ww/" TargetMode="External"/><Relationship Id="rId371" Type="http://schemas.openxmlformats.org/officeDocument/2006/relationships/hyperlink" Target="http://dk.br/" TargetMode="External"/><Relationship Id="rId774" Type="http://schemas.openxmlformats.org/officeDocument/2006/relationships/hyperlink" Target="http://flour.ap/" TargetMode="External"/><Relationship Id="rId427" Type="http://schemas.openxmlformats.org/officeDocument/2006/relationships/hyperlink" Target="http://dk.br/" TargetMode="External"/><Relationship Id="rId469" Type="http://schemas.openxmlformats.org/officeDocument/2006/relationships/hyperlink" Target="http://eng.muff.ww/" TargetMode="External"/><Relationship Id="rId634" Type="http://schemas.openxmlformats.org/officeDocument/2006/relationships/hyperlink" Target="http://flour.ap/" TargetMode="External"/><Relationship Id="rId676" Type="http://schemas.openxmlformats.org/officeDocument/2006/relationships/hyperlink" Target="http://p.bu.lt/" TargetMode="External"/><Relationship Id="rId26" Type="http://schemas.openxmlformats.org/officeDocument/2006/relationships/hyperlink" Target="http://yogurt.frozen.lf/" TargetMode="External"/><Relationship Id="rId231" Type="http://schemas.openxmlformats.org/officeDocument/2006/relationships/hyperlink" Target="http://rye.br/" TargetMode="External"/><Relationship Id="rId273" Type="http://schemas.openxmlformats.org/officeDocument/2006/relationships/hyperlink" Target="http://dk.br/" TargetMode="External"/><Relationship Id="rId329" Type="http://schemas.openxmlformats.org/officeDocument/2006/relationships/hyperlink" Target="http://dk.br/" TargetMode="External"/><Relationship Id="rId480" Type="http://schemas.openxmlformats.org/officeDocument/2006/relationships/hyperlink" Target="http://flour.ww/" TargetMode="External"/><Relationship Id="rId536" Type="http://schemas.openxmlformats.org/officeDocument/2006/relationships/hyperlink" Target="http://flour.ap/" TargetMode="External"/><Relationship Id="rId701" Type="http://schemas.openxmlformats.org/officeDocument/2006/relationships/hyperlink" Target="http://popc.ff/" TargetMode="External"/><Relationship Id="rId68" Type="http://schemas.openxmlformats.org/officeDocument/2006/relationships/hyperlink" Target="http://ice.cr/" TargetMode="External"/><Relationship Id="rId133" Type="http://schemas.openxmlformats.org/officeDocument/2006/relationships/hyperlink" Target="http://chix.no/" TargetMode="External"/><Relationship Id="rId175" Type="http://schemas.openxmlformats.org/officeDocument/2006/relationships/hyperlink" Target="http://wh.br/" TargetMode="External"/><Relationship Id="rId340" Type="http://schemas.openxmlformats.org/officeDocument/2006/relationships/hyperlink" Target="http://dk.br/" TargetMode="External"/><Relationship Id="rId578" Type="http://schemas.openxmlformats.org/officeDocument/2006/relationships/hyperlink" Target="http://coox.lf/" TargetMode="External"/><Relationship Id="rId743" Type="http://schemas.openxmlformats.org/officeDocument/2006/relationships/hyperlink" Target="http://p.bu/" TargetMode="External"/><Relationship Id="rId785" Type="http://schemas.openxmlformats.org/officeDocument/2006/relationships/hyperlink" Target="http://mayo.ff/" TargetMode="External"/><Relationship Id="rId200" Type="http://schemas.openxmlformats.org/officeDocument/2006/relationships/hyperlink" Target="http://wh.br/" TargetMode="External"/><Relationship Id="rId382" Type="http://schemas.openxmlformats.org/officeDocument/2006/relationships/hyperlink" Target="http://wheat.br/" TargetMode="External"/><Relationship Id="rId438" Type="http://schemas.openxmlformats.org/officeDocument/2006/relationships/hyperlink" Target="http://flour.ww/" TargetMode="External"/><Relationship Id="rId603" Type="http://schemas.openxmlformats.org/officeDocument/2006/relationships/hyperlink" Target="http://corn.st/" TargetMode="External"/><Relationship Id="rId645" Type="http://schemas.openxmlformats.org/officeDocument/2006/relationships/hyperlink" Target="http://sb.ph/" TargetMode="External"/><Relationship Id="rId687" Type="http://schemas.openxmlformats.org/officeDocument/2006/relationships/hyperlink" Target="http://p.bu/" TargetMode="External"/><Relationship Id="rId242" Type="http://schemas.openxmlformats.org/officeDocument/2006/relationships/hyperlink" Target="http://cr.wheat.br/" TargetMode="External"/><Relationship Id="rId284" Type="http://schemas.openxmlformats.org/officeDocument/2006/relationships/hyperlink" Target="http://wh.bran.br/" TargetMode="External"/><Relationship Id="rId491" Type="http://schemas.openxmlformats.org/officeDocument/2006/relationships/hyperlink" Target="http://eng.muff.ww/" TargetMode="External"/><Relationship Id="rId505" Type="http://schemas.openxmlformats.org/officeDocument/2006/relationships/hyperlink" Target="http://wh.br/" TargetMode="External"/><Relationship Id="rId712" Type="http://schemas.openxmlformats.org/officeDocument/2006/relationships/hyperlink" Target="http://popc.ff/" TargetMode="External"/><Relationship Id="rId37" Type="http://schemas.openxmlformats.org/officeDocument/2006/relationships/hyperlink" Target="http://yogurt.frozen.lf/" TargetMode="External"/><Relationship Id="rId79" Type="http://schemas.openxmlformats.org/officeDocument/2006/relationships/hyperlink" Target="http://corn.st/" TargetMode="External"/><Relationship Id="rId102" Type="http://schemas.openxmlformats.org/officeDocument/2006/relationships/hyperlink" Target="http://swt.pot.bk/" TargetMode="External"/><Relationship Id="rId144" Type="http://schemas.openxmlformats.org/officeDocument/2006/relationships/hyperlink" Target="http://flour.ww/" TargetMode="External"/><Relationship Id="rId547" Type="http://schemas.openxmlformats.org/officeDocument/2006/relationships/hyperlink" Target="http://tortillas.fl/" TargetMode="External"/><Relationship Id="rId589" Type="http://schemas.openxmlformats.org/officeDocument/2006/relationships/hyperlink" Target="http://coox.lf/" TargetMode="External"/><Relationship Id="rId754" Type="http://schemas.openxmlformats.org/officeDocument/2006/relationships/hyperlink" Target="http://palm.kern.ph/" TargetMode="External"/><Relationship Id="rId90" Type="http://schemas.openxmlformats.org/officeDocument/2006/relationships/hyperlink" Target="http://peach.cn/" TargetMode="External"/><Relationship Id="rId186" Type="http://schemas.openxmlformats.org/officeDocument/2006/relationships/hyperlink" Target="http://wh.br/" TargetMode="External"/><Relationship Id="rId351" Type="http://schemas.openxmlformats.org/officeDocument/2006/relationships/hyperlink" Target="http://wheat.br/" TargetMode="External"/><Relationship Id="rId393" Type="http://schemas.openxmlformats.org/officeDocument/2006/relationships/hyperlink" Target="http://oat.br.wh/" TargetMode="External"/><Relationship Id="rId407" Type="http://schemas.openxmlformats.org/officeDocument/2006/relationships/hyperlink" Target="http://oat.br.wh/" TargetMode="External"/><Relationship Id="rId449" Type="http://schemas.openxmlformats.org/officeDocument/2006/relationships/hyperlink" Target="http://corn.st/" TargetMode="External"/><Relationship Id="rId614" Type="http://schemas.openxmlformats.org/officeDocument/2006/relationships/hyperlink" Target="http://coox.brn.rf/" TargetMode="External"/><Relationship Id="rId656" Type="http://schemas.openxmlformats.org/officeDocument/2006/relationships/hyperlink" Target="http://corn.syrup.lt/" TargetMode="External"/><Relationship Id="rId211" Type="http://schemas.openxmlformats.org/officeDocument/2006/relationships/hyperlink" Target="http://flour.ap/" TargetMode="External"/><Relationship Id="rId253" Type="http://schemas.openxmlformats.org/officeDocument/2006/relationships/hyperlink" Target="http://cr.wheat.br/" TargetMode="External"/><Relationship Id="rId295" Type="http://schemas.openxmlformats.org/officeDocument/2006/relationships/hyperlink" Target="http://dk.br/" TargetMode="External"/><Relationship Id="rId309" Type="http://schemas.openxmlformats.org/officeDocument/2006/relationships/hyperlink" Target="http://oat.bran.br/" TargetMode="External"/><Relationship Id="rId460" Type="http://schemas.openxmlformats.org/officeDocument/2006/relationships/hyperlink" Target="http://corn.st/" TargetMode="External"/><Relationship Id="rId516" Type="http://schemas.openxmlformats.org/officeDocument/2006/relationships/hyperlink" Target="http://flour.ap/" TargetMode="External"/><Relationship Id="rId698" Type="http://schemas.openxmlformats.org/officeDocument/2006/relationships/hyperlink" Target="http://popc.lt/" TargetMode="External"/><Relationship Id="rId48" Type="http://schemas.openxmlformats.org/officeDocument/2006/relationships/hyperlink" Target="http://ice.cr/" TargetMode="External"/><Relationship Id="rId113" Type="http://schemas.openxmlformats.org/officeDocument/2006/relationships/hyperlink" Target="http://turk.dog.lf/" TargetMode="External"/><Relationship Id="rId320" Type="http://schemas.openxmlformats.org/officeDocument/2006/relationships/hyperlink" Target="http://oat.bran.br/" TargetMode="External"/><Relationship Id="rId558" Type="http://schemas.openxmlformats.org/officeDocument/2006/relationships/hyperlink" Target="http://sour.cr/" TargetMode="External"/><Relationship Id="rId723" Type="http://schemas.openxmlformats.org/officeDocument/2006/relationships/hyperlink" Target="http://s.roll.lf/" TargetMode="External"/><Relationship Id="rId765" Type="http://schemas.openxmlformats.org/officeDocument/2006/relationships/hyperlink" Target="http://flour.ap/" TargetMode="External"/><Relationship Id="rId155" Type="http://schemas.openxmlformats.org/officeDocument/2006/relationships/hyperlink" Target="http://nat.q.lf/" TargetMode="External"/><Relationship Id="rId197" Type="http://schemas.openxmlformats.org/officeDocument/2006/relationships/hyperlink" Target="http://wh.br/" TargetMode="External"/><Relationship Id="rId362" Type="http://schemas.openxmlformats.org/officeDocument/2006/relationships/hyperlink" Target="http://dk.br/" TargetMode="External"/><Relationship Id="rId418" Type="http://schemas.openxmlformats.org/officeDocument/2006/relationships/hyperlink" Target="http://dk.br/" TargetMode="External"/><Relationship Id="rId625" Type="http://schemas.openxmlformats.org/officeDocument/2006/relationships/hyperlink" Target="http://flour.ap/" TargetMode="External"/><Relationship Id="rId222" Type="http://schemas.openxmlformats.org/officeDocument/2006/relationships/hyperlink" Target="http://rye.br/" TargetMode="External"/><Relationship Id="rId264" Type="http://schemas.openxmlformats.org/officeDocument/2006/relationships/hyperlink" Target="http://dk.br/" TargetMode="External"/><Relationship Id="rId471" Type="http://schemas.openxmlformats.org/officeDocument/2006/relationships/hyperlink" Target="http://eng.muff.ww/" TargetMode="External"/><Relationship Id="rId667" Type="http://schemas.openxmlformats.org/officeDocument/2006/relationships/hyperlink" Target="http://p.bu/" TargetMode="External"/><Relationship Id="rId17" Type="http://schemas.openxmlformats.org/officeDocument/2006/relationships/hyperlink" Target="http://yogurt.frozen.lf/" TargetMode="External"/><Relationship Id="rId59" Type="http://schemas.openxmlformats.org/officeDocument/2006/relationships/hyperlink" Target="http://ice.cr.lt/" TargetMode="External"/><Relationship Id="rId124" Type="http://schemas.openxmlformats.org/officeDocument/2006/relationships/hyperlink" Target="http://chix.sk/" TargetMode="External"/><Relationship Id="rId527" Type="http://schemas.openxmlformats.org/officeDocument/2006/relationships/hyperlink" Target="http://flour.ww/" TargetMode="External"/><Relationship Id="rId569" Type="http://schemas.openxmlformats.org/officeDocument/2006/relationships/hyperlink" Target="http://coox.brn.rf/" TargetMode="External"/><Relationship Id="rId734" Type="http://schemas.openxmlformats.org/officeDocument/2006/relationships/hyperlink" Target="http://palm.kern.ph/" TargetMode="External"/><Relationship Id="rId776" Type="http://schemas.openxmlformats.org/officeDocument/2006/relationships/hyperlink" Target="http://flour.ap/" TargetMode="External"/><Relationship Id="rId70" Type="http://schemas.openxmlformats.org/officeDocument/2006/relationships/hyperlink" Target="http://ice.cr/" TargetMode="External"/><Relationship Id="rId166" Type="http://schemas.openxmlformats.org/officeDocument/2006/relationships/hyperlink" Target="http://wh.br/" TargetMode="External"/><Relationship Id="rId331" Type="http://schemas.openxmlformats.org/officeDocument/2006/relationships/hyperlink" Target="http://dk.br/" TargetMode="External"/><Relationship Id="rId373" Type="http://schemas.openxmlformats.org/officeDocument/2006/relationships/hyperlink" Target="http://dk.br/" TargetMode="External"/><Relationship Id="rId429" Type="http://schemas.openxmlformats.org/officeDocument/2006/relationships/hyperlink" Target="http://corn.st/" TargetMode="External"/><Relationship Id="rId580" Type="http://schemas.openxmlformats.org/officeDocument/2006/relationships/hyperlink" Target="http://coox.lf/" TargetMode="External"/><Relationship Id="rId636" Type="http://schemas.openxmlformats.org/officeDocument/2006/relationships/hyperlink" Target="http://coox.home.cc/" TargetMode="External"/><Relationship Id="rId1" Type="http://schemas.openxmlformats.org/officeDocument/2006/relationships/hyperlink" Target="http://nur11.sad.dd/" TargetMode="External"/><Relationship Id="rId233" Type="http://schemas.openxmlformats.org/officeDocument/2006/relationships/hyperlink" Target="http://rye.br/" TargetMode="External"/><Relationship Id="rId440" Type="http://schemas.openxmlformats.org/officeDocument/2006/relationships/hyperlink" Target="http://crax.ww/" TargetMode="External"/><Relationship Id="rId678" Type="http://schemas.openxmlformats.org/officeDocument/2006/relationships/hyperlink" Target="http://p.bu.lt/" TargetMode="External"/><Relationship Id="rId28" Type="http://schemas.openxmlformats.org/officeDocument/2006/relationships/hyperlink" Target="http://yogurt.frozen.lf/" TargetMode="External"/><Relationship Id="rId275" Type="http://schemas.openxmlformats.org/officeDocument/2006/relationships/hyperlink" Target="http://dk.br/" TargetMode="External"/><Relationship Id="rId300" Type="http://schemas.openxmlformats.org/officeDocument/2006/relationships/hyperlink" Target="http://dk.br/" TargetMode="External"/><Relationship Id="rId482" Type="http://schemas.openxmlformats.org/officeDocument/2006/relationships/hyperlink" Target="http://eng.muff.ww/" TargetMode="External"/><Relationship Id="rId538" Type="http://schemas.openxmlformats.org/officeDocument/2006/relationships/hyperlink" Target="http://tortillas.fl/" TargetMode="External"/><Relationship Id="rId703" Type="http://schemas.openxmlformats.org/officeDocument/2006/relationships/hyperlink" Target="http://popc.ff/" TargetMode="External"/><Relationship Id="rId745" Type="http://schemas.openxmlformats.org/officeDocument/2006/relationships/hyperlink" Target="http://p.bu/" TargetMode="External"/><Relationship Id="rId81" Type="http://schemas.openxmlformats.org/officeDocument/2006/relationships/hyperlink" Target="http://cot.ch/" TargetMode="External"/><Relationship Id="rId135" Type="http://schemas.openxmlformats.org/officeDocument/2006/relationships/hyperlink" Target="http://corn.st/" TargetMode="External"/><Relationship Id="rId177" Type="http://schemas.openxmlformats.org/officeDocument/2006/relationships/hyperlink" Target="http://wh.br/" TargetMode="External"/><Relationship Id="rId342" Type="http://schemas.openxmlformats.org/officeDocument/2006/relationships/hyperlink" Target="http://dk.br/" TargetMode="External"/><Relationship Id="rId384" Type="http://schemas.openxmlformats.org/officeDocument/2006/relationships/hyperlink" Target="http://wheat.br/" TargetMode="External"/><Relationship Id="rId591" Type="http://schemas.openxmlformats.org/officeDocument/2006/relationships/hyperlink" Target="http://coox.lf/" TargetMode="External"/><Relationship Id="rId605" Type="http://schemas.openxmlformats.org/officeDocument/2006/relationships/hyperlink" Target="http://coox.brn.rf/" TargetMode="External"/><Relationship Id="rId787" Type="http://schemas.openxmlformats.org/officeDocument/2006/relationships/hyperlink" Target="http://mayo.ff/" TargetMode="External"/><Relationship Id="rId202" Type="http://schemas.openxmlformats.org/officeDocument/2006/relationships/hyperlink" Target="http://wh.br/" TargetMode="External"/><Relationship Id="rId244" Type="http://schemas.openxmlformats.org/officeDocument/2006/relationships/hyperlink" Target="http://cr.wheat.br/" TargetMode="External"/><Relationship Id="rId647" Type="http://schemas.openxmlformats.org/officeDocument/2006/relationships/hyperlink" Target="http://palm.kern.ph/" TargetMode="External"/><Relationship Id="rId689" Type="http://schemas.openxmlformats.org/officeDocument/2006/relationships/hyperlink" Target="http://p.bu/" TargetMode="External"/><Relationship Id="rId39" Type="http://schemas.openxmlformats.org/officeDocument/2006/relationships/hyperlink" Target="http://yogurt.frozen.lf/" TargetMode="External"/><Relationship Id="rId286" Type="http://schemas.openxmlformats.org/officeDocument/2006/relationships/hyperlink" Target="http://wh.bran.br/" TargetMode="External"/><Relationship Id="rId451" Type="http://schemas.openxmlformats.org/officeDocument/2006/relationships/hyperlink" Target="http://crax.ww/" TargetMode="External"/><Relationship Id="rId493" Type="http://schemas.openxmlformats.org/officeDocument/2006/relationships/hyperlink" Target="http://wh.br/" TargetMode="External"/><Relationship Id="rId507" Type="http://schemas.openxmlformats.org/officeDocument/2006/relationships/hyperlink" Target="http://corn.st/" TargetMode="External"/><Relationship Id="rId549" Type="http://schemas.openxmlformats.org/officeDocument/2006/relationships/hyperlink" Target="http://sb.ph/" TargetMode="External"/><Relationship Id="rId714" Type="http://schemas.openxmlformats.org/officeDocument/2006/relationships/hyperlink" Target="http://flour.ap/" TargetMode="External"/><Relationship Id="rId756" Type="http://schemas.openxmlformats.org/officeDocument/2006/relationships/hyperlink" Target="http://corn.st/" TargetMode="External"/><Relationship Id="rId50" Type="http://schemas.openxmlformats.org/officeDocument/2006/relationships/hyperlink" Target="http://ice.cr/" TargetMode="External"/><Relationship Id="rId104" Type="http://schemas.openxmlformats.org/officeDocument/2006/relationships/hyperlink" Target="http://must.gr/" TargetMode="External"/><Relationship Id="rId146" Type="http://schemas.openxmlformats.org/officeDocument/2006/relationships/hyperlink" Target="http://flour.ap/" TargetMode="External"/><Relationship Id="rId188" Type="http://schemas.openxmlformats.org/officeDocument/2006/relationships/hyperlink" Target="http://wh.br/" TargetMode="External"/><Relationship Id="rId311" Type="http://schemas.openxmlformats.org/officeDocument/2006/relationships/hyperlink" Target="http://oat.bran.br/" TargetMode="External"/><Relationship Id="rId353" Type="http://schemas.openxmlformats.org/officeDocument/2006/relationships/hyperlink" Target="http://wheat.br/" TargetMode="External"/><Relationship Id="rId395" Type="http://schemas.openxmlformats.org/officeDocument/2006/relationships/hyperlink" Target="http://oat.br.wh/" TargetMode="External"/><Relationship Id="rId409" Type="http://schemas.openxmlformats.org/officeDocument/2006/relationships/hyperlink" Target="http://oat.br.wh/" TargetMode="External"/><Relationship Id="rId560" Type="http://schemas.openxmlformats.org/officeDocument/2006/relationships/hyperlink" Target="http://moz.ch.lf/" TargetMode="External"/><Relationship Id="rId92" Type="http://schemas.openxmlformats.org/officeDocument/2006/relationships/hyperlink" Target="http://peach.cn.jc/" TargetMode="External"/><Relationship Id="rId213" Type="http://schemas.openxmlformats.org/officeDocument/2006/relationships/hyperlink" Target="http://rye.br/" TargetMode="External"/><Relationship Id="rId420" Type="http://schemas.openxmlformats.org/officeDocument/2006/relationships/hyperlink" Target="http://dk.br/" TargetMode="External"/><Relationship Id="rId616" Type="http://schemas.openxmlformats.org/officeDocument/2006/relationships/hyperlink" Target="http://coox.brn.rf/" TargetMode="External"/><Relationship Id="rId658" Type="http://schemas.openxmlformats.org/officeDocument/2006/relationships/hyperlink" Target="http://p.bu/" TargetMode="External"/><Relationship Id="rId255" Type="http://schemas.openxmlformats.org/officeDocument/2006/relationships/hyperlink" Target="http://cr.wheat.br/" TargetMode="External"/><Relationship Id="rId297" Type="http://schemas.openxmlformats.org/officeDocument/2006/relationships/hyperlink" Target="http://flour.ap/" TargetMode="External"/><Relationship Id="rId462" Type="http://schemas.openxmlformats.org/officeDocument/2006/relationships/hyperlink" Target="http://flour.ww/" TargetMode="External"/><Relationship Id="rId518" Type="http://schemas.openxmlformats.org/officeDocument/2006/relationships/hyperlink" Target="http://corn.syrup.lt/" TargetMode="External"/><Relationship Id="rId725" Type="http://schemas.openxmlformats.org/officeDocument/2006/relationships/hyperlink" Target="http://corn.st/" TargetMode="External"/><Relationship Id="rId115" Type="http://schemas.openxmlformats.org/officeDocument/2006/relationships/hyperlink" Target="http://turk.dog.lf/" TargetMode="External"/><Relationship Id="rId157" Type="http://schemas.openxmlformats.org/officeDocument/2006/relationships/hyperlink" Target="http://nat.q.lf/" TargetMode="External"/><Relationship Id="rId322" Type="http://schemas.openxmlformats.org/officeDocument/2006/relationships/hyperlink" Target="http://oat.bran.br/" TargetMode="External"/><Relationship Id="rId364" Type="http://schemas.openxmlformats.org/officeDocument/2006/relationships/hyperlink" Target="http://dk.br/" TargetMode="External"/><Relationship Id="rId767" Type="http://schemas.openxmlformats.org/officeDocument/2006/relationships/hyperlink" Target="http://p.bu/" TargetMode="External"/><Relationship Id="rId61" Type="http://schemas.openxmlformats.org/officeDocument/2006/relationships/hyperlink" Target="http://ice.cr.lt/" TargetMode="External"/><Relationship Id="rId199" Type="http://schemas.openxmlformats.org/officeDocument/2006/relationships/hyperlink" Target="http://wh.br/" TargetMode="External"/><Relationship Id="rId571" Type="http://schemas.openxmlformats.org/officeDocument/2006/relationships/hyperlink" Target="http://coox.brn.rf/" TargetMode="External"/><Relationship Id="rId627" Type="http://schemas.openxmlformats.org/officeDocument/2006/relationships/hyperlink" Target="http://corn.st/" TargetMode="External"/><Relationship Id="rId669" Type="http://schemas.openxmlformats.org/officeDocument/2006/relationships/hyperlink" Target="http://p.bu/" TargetMode="External"/><Relationship Id="rId19" Type="http://schemas.openxmlformats.org/officeDocument/2006/relationships/hyperlink" Target="http://yogurt.frozen.lf/" TargetMode="External"/><Relationship Id="rId224" Type="http://schemas.openxmlformats.org/officeDocument/2006/relationships/hyperlink" Target="http://rye.br/" TargetMode="External"/><Relationship Id="rId266" Type="http://schemas.openxmlformats.org/officeDocument/2006/relationships/hyperlink" Target="http://dk.br/" TargetMode="External"/><Relationship Id="rId431" Type="http://schemas.openxmlformats.org/officeDocument/2006/relationships/hyperlink" Target="http://dk.br/" TargetMode="External"/><Relationship Id="rId473" Type="http://schemas.openxmlformats.org/officeDocument/2006/relationships/hyperlink" Target="http://eng.muff.ww/" TargetMode="External"/><Relationship Id="rId529" Type="http://schemas.openxmlformats.org/officeDocument/2006/relationships/hyperlink" Target="http://flour.ap/" TargetMode="External"/><Relationship Id="rId680" Type="http://schemas.openxmlformats.org/officeDocument/2006/relationships/hyperlink" Target="http://p.bu.lt/" TargetMode="External"/><Relationship Id="rId736" Type="http://schemas.openxmlformats.org/officeDocument/2006/relationships/hyperlink" Target="http://s.roll.lf/" TargetMode="External"/><Relationship Id="rId30" Type="http://schemas.openxmlformats.org/officeDocument/2006/relationships/hyperlink" Target="http://yogurt.frozen.lf/" TargetMode="External"/><Relationship Id="rId126" Type="http://schemas.openxmlformats.org/officeDocument/2006/relationships/hyperlink" Target="http://chix.sk/" TargetMode="External"/><Relationship Id="rId168" Type="http://schemas.openxmlformats.org/officeDocument/2006/relationships/hyperlink" Target="http://flour.ap/" TargetMode="External"/><Relationship Id="rId333" Type="http://schemas.openxmlformats.org/officeDocument/2006/relationships/hyperlink" Target="http://dk.br/" TargetMode="External"/><Relationship Id="rId540" Type="http://schemas.openxmlformats.org/officeDocument/2006/relationships/hyperlink" Target="http://tortillas.fl/" TargetMode="External"/><Relationship Id="rId778" Type="http://schemas.openxmlformats.org/officeDocument/2006/relationships/hyperlink" Target="http://flour.ap/" TargetMode="External"/><Relationship Id="rId72" Type="http://schemas.openxmlformats.org/officeDocument/2006/relationships/hyperlink" Target="http://ice.cr/" TargetMode="External"/><Relationship Id="rId375" Type="http://schemas.openxmlformats.org/officeDocument/2006/relationships/hyperlink" Target="http://dk.br/" TargetMode="External"/><Relationship Id="rId582" Type="http://schemas.openxmlformats.org/officeDocument/2006/relationships/hyperlink" Target="http://coox.brn.rf/" TargetMode="External"/><Relationship Id="rId638" Type="http://schemas.openxmlformats.org/officeDocument/2006/relationships/hyperlink" Target="http://flour.ap/" TargetMode="External"/><Relationship Id="rId3" Type="http://schemas.openxmlformats.org/officeDocument/2006/relationships/hyperlink" Target="http://palm.kern.ph/" TargetMode="External"/><Relationship Id="rId235" Type="http://schemas.openxmlformats.org/officeDocument/2006/relationships/hyperlink" Target="http://rye.br/" TargetMode="External"/><Relationship Id="rId277" Type="http://schemas.openxmlformats.org/officeDocument/2006/relationships/hyperlink" Target="http://dk.br/" TargetMode="External"/><Relationship Id="rId400" Type="http://schemas.openxmlformats.org/officeDocument/2006/relationships/hyperlink" Target="http://dk.br/" TargetMode="External"/><Relationship Id="rId442" Type="http://schemas.openxmlformats.org/officeDocument/2006/relationships/hyperlink" Target="http://crax.ww/" TargetMode="External"/><Relationship Id="rId484" Type="http://schemas.openxmlformats.org/officeDocument/2006/relationships/hyperlink" Target="http://flour.ap/" TargetMode="External"/><Relationship Id="rId705" Type="http://schemas.openxmlformats.org/officeDocument/2006/relationships/hyperlink" Target="http://popc.ff/" TargetMode="External"/><Relationship Id="rId137" Type="http://schemas.openxmlformats.org/officeDocument/2006/relationships/hyperlink" Target="http://salmon.pink.cn/" TargetMode="External"/><Relationship Id="rId302" Type="http://schemas.openxmlformats.org/officeDocument/2006/relationships/hyperlink" Target="http://dk.br/" TargetMode="External"/><Relationship Id="rId344" Type="http://schemas.openxmlformats.org/officeDocument/2006/relationships/hyperlink" Target="http://dk.br/" TargetMode="External"/><Relationship Id="rId691" Type="http://schemas.openxmlformats.org/officeDocument/2006/relationships/hyperlink" Target="http://popc.ff/" TargetMode="External"/><Relationship Id="rId747" Type="http://schemas.openxmlformats.org/officeDocument/2006/relationships/hyperlink" Target="http://p.bu/" TargetMode="External"/><Relationship Id="rId789" Type="http://schemas.openxmlformats.org/officeDocument/2006/relationships/hyperlink" Target="http://mayo.ff/" TargetMode="External"/><Relationship Id="rId41" Type="http://schemas.openxmlformats.org/officeDocument/2006/relationships/hyperlink" Target="http://ice.cr.ff.sf/" TargetMode="External"/><Relationship Id="rId83" Type="http://schemas.openxmlformats.org/officeDocument/2006/relationships/hyperlink" Target="http://cr.ch/" TargetMode="External"/><Relationship Id="rId179" Type="http://schemas.openxmlformats.org/officeDocument/2006/relationships/hyperlink" Target="http://wh.br/" TargetMode="External"/><Relationship Id="rId386" Type="http://schemas.openxmlformats.org/officeDocument/2006/relationships/hyperlink" Target="http://oat.br.wh/" TargetMode="External"/><Relationship Id="rId551" Type="http://schemas.openxmlformats.org/officeDocument/2006/relationships/hyperlink" Target="http://flour.ap/" TargetMode="External"/><Relationship Id="rId593" Type="http://schemas.openxmlformats.org/officeDocument/2006/relationships/hyperlink" Target="http://coox.brn.rf/" TargetMode="External"/><Relationship Id="rId607" Type="http://schemas.openxmlformats.org/officeDocument/2006/relationships/hyperlink" Target="http://coox.brn.rf/" TargetMode="External"/><Relationship Id="rId649" Type="http://schemas.openxmlformats.org/officeDocument/2006/relationships/hyperlink" Target="http://corn.syrup.lt/" TargetMode="External"/><Relationship Id="rId190" Type="http://schemas.openxmlformats.org/officeDocument/2006/relationships/hyperlink" Target="http://wh.br/" TargetMode="External"/><Relationship Id="rId204" Type="http://schemas.openxmlformats.org/officeDocument/2006/relationships/hyperlink" Target="http://corn.st/" TargetMode="External"/><Relationship Id="rId246" Type="http://schemas.openxmlformats.org/officeDocument/2006/relationships/hyperlink" Target="http://cr.wheat.br/" TargetMode="External"/><Relationship Id="rId288" Type="http://schemas.openxmlformats.org/officeDocument/2006/relationships/hyperlink" Target="http://dk.br/" TargetMode="External"/><Relationship Id="rId411" Type="http://schemas.openxmlformats.org/officeDocument/2006/relationships/hyperlink" Target="http://dk.br/" TargetMode="External"/><Relationship Id="rId453" Type="http://schemas.openxmlformats.org/officeDocument/2006/relationships/hyperlink" Target="http://crax.ww/" TargetMode="External"/><Relationship Id="rId509" Type="http://schemas.openxmlformats.org/officeDocument/2006/relationships/hyperlink" Target="http://wh.br/" TargetMode="External"/><Relationship Id="rId660" Type="http://schemas.openxmlformats.org/officeDocument/2006/relationships/hyperlink" Target="http://p.bu/" TargetMode="External"/><Relationship Id="rId106" Type="http://schemas.openxmlformats.org/officeDocument/2006/relationships/hyperlink" Target="http://chix.no/" TargetMode="External"/><Relationship Id="rId313" Type="http://schemas.openxmlformats.org/officeDocument/2006/relationships/hyperlink" Target="http://oat.bran.br/" TargetMode="External"/><Relationship Id="rId495" Type="http://schemas.openxmlformats.org/officeDocument/2006/relationships/hyperlink" Target="http://wh.br/" TargetMode="External"/><Relationship Id="rId716" Type="http://schemas.openxmlformats.org/officeDocument/2006/relationships/hyperlink" Target="http://sb.cs.ph/" TargetMode="External"/><Relationship Id="rId758" Type="http://schemas.openxmlformats.org/officeDocument/2006/relationships/hyperlink" Target="http://p.bu/" TargetMode="External"/><Relationship Id="rId10" Type="http://schemas.openxmlformats.org/officeDocument/2006/relationships/hyperlink" Target="http://cof.wht.lt/" TargetMode="External"/><Relationship Id="rId52" Type="http://schemas.openxmlformats.org/officeDocument/2006/relationships/hyperlink" Target="http://ice.cr.lt/" TargetMode="External"/><Relationship Id="rId94" Type="http://schemas.openxmlformats.org/officeDocument/2006/relationships/hyperlink" Target="http://flour.ap/" TargetMode="External"/><Relationship Id="rId148" Type="http://schemas.openxmlformats.org/officeDocument/2006/relationships/hyperlink" Target="http://corn.wg/" TargetMode="External"/><Relationship Id="rId355" Type="http://schemas.openxmlformats.org/officeDocument/2006/relationships/hyperlink" Target="http://wheat.br/" TargetMode="External"/><Relationship Id="rId397" Type="http://schemas.openxmlformats.org/officeDocument/2006/relationships/hyperlink" Target="http://oat.br.wh/" TargetMode="External"/><Relationship Id="rId520" Type="http://schemas.openxmlformats.org/officeDocument/2006/relationships/hyperlink" Target="http://flour.ap/" TargetMode="External"/><Relationship Id="rId562" Type="http://schemas.openxmlformats.org/officeDocument/2006/relationships/hyperlink" Target="http://sb.ph/" TargetMode="External"/><Relationship Id="rId618" Type="http://schemas.openxmlformats.org/officeDocument/2006/relationships/hyperlink" Target="http://corn.st/" TargetMode="External"/><Relationship Id="rId215" Type="http://schemas.openxmlformats.org/officeDocument/2006/relationships/hyperlink" Target="http://rye.br/" TargetMode="External"/><Relationship Id="rId257" Type="http://schemas.openxmlformats.org/officeDocument/2006/relationships/hyperlink" Target="http://cr.wheat.br/" TargetMode="External"/><Relationship Id="rId422" Type="http://schemas.openxmlformats.org/officeDocument/2006/relationships/hyperlink" Target="http://dk.br/" TargetMode="External"/><Relationship Id="rId464" Type="http://schemas.openxmlformats.org/officeDocument/2006/relationships/hyperlink" Target="http://flour.ww/" TargetMode="External"/><Relationship Id="rId299" Type="http://schemas.openxmlformats.org/officeDocument/2006/relationships/hyperlink" Target="http://oat.bran.br/" TargetMode="External"/><Relationship Id="rId727" Type="http://schemas.openxmlformats.org/officeDocument/2006/relationships/hyperlink" Target="http://flour.ap/" TargetMode="External"/><Relationship Id="rId63" Type="http://schemas.openxmlformats.org/officeDocument/2006/relationships/hyperlink" Target="http://ice.cr.lt/" TargetMode="External"/><Relationship Id="rId159" Type="http://schemas.openxmlformats.org/officeDocument/2006/relationships/hyperlink" Target="http://flour.ww/" TargetMode="External"/><Relationship Id="rId366" Type="http://schemas.openxmlformats.org/officeDocument/2006/relationships/hyperlink" Target="http://flour.ap/" TargetMode="External"/><Relationship Id="rId573" Type="http://schemas.openxmlformats.org/officeDocument/2006/relationships/hyperlink" Target="http://coox.brn.rf/" TargetMode="External"/><Relationship Id="rId780" Type="http://schemas.openxmlformats.org/officeDocument/2006/relationships/hyperlink" Target="http://mayo.ff/" TargetMode="External"/><Relationship Id="rId226" Type="http://schemas.openxmlformats.org/officeDocument/2006/relationships/hyperlink" Target="http://rye.br/" TargetMode="External"/><Relationship Id="rId433" Type="http://schemas.openxmlformats.org/officeDocument/2006/relationships/hyperlink" Target="http://dk.br/" TargetMode="External"/><Relationship Id="rId640" Type="http://schemas.openxmlformats.org/officeDocument/2006/relationships/hyperlink" Target="http://corn.st/" TargetMode="External"/><Relationship Id="rId738" Type="http://schemas.openxmlformats.org/officeDocument/2006/relationships/hyperlink" Target="http://s.roll.l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ndb.nal.usda.gov/ndb/search/list" TargetMode="External"/><Relationship Id="rId3" Type="http://schemas.openxmlformats.org/officeDocument/2006/relationships/hyperlink" Target="http://ice.cr/" TargetMode="External"/><Relationship Id="rId7" Type="http://schemas.openxmlformats.org/officeDocument/2006/relationships/hyperlink" Target="http://sb.ph/" TargetMode="External"/><Relationship Id="rId2" Type="http://schemas.openxmlformats.org/officeDocument/2006/relationships/hyperlink" Target="https://ndb.nal.usda.gov/ndb/search/list" TargetMode="External"/><Relationship Id="rId1" Type="http://schemas.openxmlformats.org/officeDocument/2006/relationships/hyperlink" Target="http://www.nurseshealthstudy.org/participants/questionnaires" TargetMode="External"/><Relationship Id="rId6" Type="http://schemas.openxmlformats.org/officeDocument/2006/relationships/hyperlink" Target="http://sb.cs.ph/" TargetMode="External"/><Relationship Id="rId5" Type="http://schemas.openxmlformats.org/officeDocument/2006/relationships/hyperlink" Target="http://cof.wht.lt/" TargetMode="External"/><Relationship Id="rId4" Type="http://schemas.openxmlformats.org/officeDocument/2006/relationships/hyperlink" Target="http://ice.cr.lt/" TargetMode="External"/><Relationship Id="rId9" Type="http://schemas.openxmlformats.org/officeDocument/2006/relationships/hyperlink" Target="http://ice.cr.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26"/>
  <sheetViews>
    <sheetView workbookViewId="0">
      <selection activeCell="N53" sqref="N53"/>
    </sheetView>
  </sheetViews>
  <sheetFormatPr defaultColWidth="12.5703125" defaultRowHeight="15.75" customHeight="1"/>
  <cols>
    <col min="1" max="1" width="4.140625" customWidth="1"/>
  </cols>
  <sheetData>
    <row r="1" spans="1:27" ht="12.75">
      <c r="A1" s="1"/>
      <c r="B1" s="1"/>
      <c r="C1" s="1"/>
      <c r="D1" s="1"/>
      <c r="E1" s="1"/>
      <c r="F1" s="1"/>
      <c r="G1" s="1"/>
      <c r="H1" s="1"/>
      <c r="I1" s="1"/>
      <c r="J1" s="1"/>
      <c r="K1" s="1"/>
      <c r="L1" s="1"/>
      <c r="M1" s="1"/>
      <c r="N1" s="1"/>
      <c r="O1" s="1"/>
      <c r="P1" s="1"/>
      <c r="Q1" s="1"/>
      <c r="R1" s="1"/>
      <c r="S1" s="1"/>
      <c r="T1" s="1"/>
      <c r="U1" s="1"/>
      <c r="V1" s="1"/>
      <c r="W1" s="1"/>
      <c r="X1" s="1"/>
      <c r="Y1" s="1"/>
      <c r="Z1" s="1"/>
      <c r="AA1" s="1"/>
    </row>
    <row r="2" spans="1:27" ht="12.75">
      <c r="A2" s="1"/>
      <c r="B2" s="1039" t="s">
        <v>0</v>
      </c>
      <c r="C2" s="1040"/>
      <c r="D2" s="1040"/>
      <c r="E2" s="1040"/>
      <c r="F2" s="1040"/>
      <c r="G2" s="1040"/>
      <c r="H2" s="1040"/>
      <c r="I2" s="1040"/>
      <c r="J2" s="1040"/>
      <c r="K2" s="1040"/>
      <c r="L2" s="1041"/>
      <c r="M2" s="1"/>
      <c r="N2" s="1"/>
      <c r="O2" s="1"/>
      <c r="P2" s="1"/>
      <c r="Q2" s="1"/>
      <c r="R2" s="1"/>
      <c r="S2" s="1"/>
      <c r="T2" s="1"/>
      <c r="U2" s="1"/>
      <c r="V2" s="1"/>
      <c r="W2" s="1"/>
      <c r="X2" s="1"/>
      <c r="Y2" s="1"/>
      <c r="Z2" s="1"/>
      <c r="AA2" s="1"/>
    </row>
    <row r="3" spans="1:27" ht="12.75">
      <c r="A3" s="1"/>
      <c r="B3" s="1042"/>
      <c r="C3" s="1043"/>
      <c r="D3" s="1043"/>
      <c r="E3" s="1043"/>
      <c r="F3" s="1043"/>
      <c r="G3" s="1043"/>
      <c r="H3" s="1043"/>
      <c r="I3" s="1043"/>
      <c r="J3" s="1043"/>
      <c r="K3" s="1043"/>
      <c r="L3" s="1044"/>
      <c r="M3" s="1"/>
      <c r="N3" s="1"/>
      <c r="O3" s="1"/>
      <c r="P3" s="1"/>
      <c r="Q3" s="1"/>
      <c r="R3" s="1"/>
      <c r="S3" s="1"/>
      <c r="T3" s="1"/>
      <c r="U3" s="1"/>
      <c r="V3" s="1"/>
      <c r="W3" s="1"/>
      <c r="X3" s="1"/>
      <c r="Y3" s="1"/>
      <c r="Z3" s="1"/>
      <c r="AA3" s="1"/>
    </row>
    <row r="4" spans="1:27" ht="12.75">
      <c r="A4" s="1"/>
      <c r="B4" s="1042"/>
      <c r="C4" s="1043"/>
      <c r="D4" s="1043"/>
      <c r="E4" s="1043"/>
      <c r="F4" s="1043"/>
      <c r="G4" s="1043"/>
      <c r="H4" s="1043"/>
      <c r="I4" s="1043"/>
      <c r="J4" s="1043"/>
      <c r="K4" s="1043"/>
      <c r="L4" s="1044"/>
      <c r="M4" s="1"/>
      <c r="N4" s="1"/>
      <c r="O4" s="1"/>
      <c r="P4" s="1"/>
      <c r="Q4" s="1"/>
      <c r="R4" s="1"/>
      <c r="S4" s="1"/>
      <c r="T4" s="1"/>
      <c r="U4" s="1"/>
      <c r="V4" s="1"/>
      <c r="W4" s="1"/>
      <c r="X4" s="1"/>
      <c r="Y4" s="1"/>
      <c r="Z4" s="1"/>
      <c r="AA4" s="1"/>
    </row>
    <row r="5" spans="1:27" ht="12.75">
      <c r="A5" s="1"/>
      <c r="B5" s="1042"/>
      <c r="C5" s="1043"/>
      <c r="D5" s="1043"/>
      <c r="E5" s="1043"/>
      <c r="F5" s="1043"/>
      <c r="G5" s="1043"/>
      <c r="H5" s="1043"/>
      <c r="I5" s="1043"/>
      <c r="J5" s="1043"/>
      <c r="K5" s="1043"/>
      <c r="L5" s="1044"/>
      <c r="M5" s="1"/>
      <c r="N5" s="1"/>
      <c r="O5" s="1"/>
      <c r="P5" s="1"/>
      <c r="Q5" s="1"/>
      <c r="R5" s="1"/>
      <c r="S5" s="1"/>
      <c r="T5" s="1"/>
      <c r="U5" s="1"/>
      <c r="V5" s="1"/>
      <c r="W5" s="1"/>
      <c r="X5" s="1"/>
      <c r="Y5" s="1"/>
      <c r="Z5" s="1"/>
      <c r="AA5" s="1"/>
    </row>
    <row r="6" spans="1:27" ht="12.75">
      <c r="A6" s="1"/>
      <c r="B6" s="1042"/>
      <c r="C6" s="1043"/>
      <c r="D6" s="1043"/>
      <c r="E6" s="1043"/>
      <c r="F6" s="1043"/>
      <c r="G6" s="1043"/>
      <c r="H6" s="1043"/>
      <c r="I6" s="1043"/>
      <c r="J6" s="1043"/>
      <c r="K6" s="1043"/>
      <c r="L6" s="1044"/>
      <c r="M6" s="1"/>
      <c r="N6" s="1"/>
      <c r="O6" s="1"/>
      <c r="P6" s="1"/>
      <c r="Q6" s="1"/>
      <c r="R6" s="1"/>
      <c r="S6" s="1"/>
      <c r="T6" s="1"/>
      <c r="U6" s="1"/>
      <c r="V6" s="1"/>
      <c r="W6" s="1"/>
      <c r="X6" s="1"/>
      <c r="Y6" s="1"/>
      <c r="Z6" s="1"/>
      <c r="AA6" s="1"/>
    </row>
    <row r="7" spans="1:27" ht="12.75">
      <c r="A7" s="1"/>
      <c r="B7" s="1042"/>
      <c r="C7" s="1043"/>
      <c r="D7" s="1043"/>
      <c r="E7" s="1043"/>
      <c r="F7" s="1043"/>
      <c r="G7" s="1043"/>
      <c r="H7" s="1043"/>
      <c r="I7" s="1043"/>
      <c r="J7" s="1043"/>
      <c r="K7" s="1043"/>
      <c r="L7" s="1044"/>
      <c r="M7" s="1"/>
      <c r="N7" s="1"/>
      <c r="O7" s="1"/>
      <c r="P7" s="1"/>
      <c r="Q7" s="1"/>
      <c r="R7" s="1"/>
      <c r="S7" s="1"/>
      <c r="T7" s="1"/>
      <c r="U7" s="1"/>
      <c r="V7" s="1"/>
      <c r="W7" s="1"/>
      <c r="X7" s="1"/>
      <c r="Y7" s="1"/>
      <c r="Z7" s="1"/>
      <c r="AA7" s="1"/>
    </row>
    <row r="8" spans="1:27" ht="12.75">
      <c r="A8" s="1"/>
      <c r="B8" s="1042"/>
      <c r="C8" s="1043"/>
      <c r="D8" s="1043"/>
      <c r="E8" s="1043"/>
      <c r="F8" s="1043"/>
      <c r="G8" s="1043"/>
      <c r="H8" s="1043"/>
      <c r="I8" s="1043"/>
      <c r="J8" s="1043"/>
      <c r="K8" s="1043"/>
      <c r="L8" s="1044"/>
      <c r="M8" s="1"/>
      <c r="N8" s="1"/>
      <c r="O8" s="1"/>
      <c r="P8" s="1"/>
      <c r="Q8" s="1"/>
      <c r="R8" s="1"/>
      <c r="S8" s="1"/>
      <c r="T8" s="1"/>
      <c r="U8" s="1"/>
      <c r="V8" s="1"/>
      <c r="W8" s="1"/>
      <c r="X8" s="1"/>
      <c r="Y8" s="1"/>
      <c r="Z8" s="1"/>
      <c r="AA8" s="1"/>
    </row>
    <row r="9" spans="1:27" ht="12.75">
      <c r="A9" s="1"/>
      <c r="B9" s="1042"/>
      <c r="C9" s="1043"/>
      <c r="D9" s="1043"/>
      <c r="E9" s="1043"/>
      <c r="F9" s="1043"/>
      <c r="G9" s="1043"/>
      <c r="H9" s="1043"/>
      <c r="I9" s="1043"/>
      <c r="J9" s="1043"/>
      <c r="K9" s="1043"/>
      <c r="L9" s="1044"/>
      <c r="M9" s="1"/>
      <c r="N9" s="1"/>
      <c r="O9" s="1"/>
      <c r="P9" s="1"/>
      <c r="Q9" s="1"/>
      <c r="R9" s="1"/>
      <c r="S9" s="1"/>
      <c r="T9" s="1"/>
      <c r="U9" s="1"/>
      <c r="V9" s="1"/>
      <c r="W9" s="1"/>
      <c r="X9" s="1"/>
      <c r="Y9" s="1"/>
      <c r="Z9" s="1"/>
      <c r="AA9" s="1"/>
    </row>
    <row r="10" spans="1:27" ht="12.75">
      <c r="A10" s="1"/>
      <c r="B10" s="1042"/>
      <c r="C10" s="1043"/>
      <c r="D10" s="1043"/>
      <c r="E10" s="1043"/>
      <c r="F10" s="1043"/>
      <c r="G10" s="1043"/>
      <c r="H10" s="1043"/>
      <c r="I10" s="1043"/>
      <c r="J10" s="1043"/>
      <c r="K10" s="1043"/>
      <c r="L10" s="1044"/>
      <c r="M10" s="1"/>
      <c r="N10" s="1"/>
      <c r="O10" s="1"/>
      <c r="P10" s="1"/>
      <c r="Q10" s="1"/>
      <c r="R10" s="1"/>
      <c r="S10" s="1"/>
      <c r="T10" s="1"/>
      <c r="U10" s="1"/>
      <c r="V10" s="1"/>
      <c r="W10" s="1"/>
      <c r="X10" s="1"/>
      <c r="Y10" s="1"/>
      <c r="Z10" s="1"/>
      <c r="AA10" s="1"/>
    </row>
    <row r="11" spans="1:27" ht="12.75">
      <c r="A11" s="1"/>
      <c r="B11" s="1042"/>
      <c r="C11" s="1043"/>
      <c r="D11" s="1043"/>
      <c r="E11" s="1043"/>
      <c r="F11" s="1043"/>
      <c r="G11" s="1043"/>
      <c r="H11" s="1043"/>
      <c r="I11" s="1043"/>
      <c r="J11" s="1043"/>
      <c r="K11" s="1043"/>
      <c r="L11" s="1044"/>
      <c r="M11" s="1"/>
      <c r="N11" s="1"/>
      <c r="O11" s="1"/>
      <c r="P11" s="1"/>
      <c r="Q11" s="1"/>
      <c r="R11" s="1"/>
      <c r="S11" s="1"/>
      <c r="T11" s="1"/>
      <c r="U11" s="1"/>
      <c r="V11" s="1"/>
      <c r="W11" s="1"/>
      <c r="X11" s="1"/>
      <c r="Y11" s="1"/>
      <c r="Z11" s="1"/>
      <c r="AA11" s="1"/>
    </row>
    <row r="12" spans="1:27" ht="12.75">
      <c r="A12" s="1"/>
      <c r="B12" s="1042"/>
      <c r="C12" s="1043"/>
      <c r="D12" s="1043"/>
      <c r="E12" s="1043"/>
      <c r="F12" s="1043"/>
      <c r="G12" s="1043"/>
      <c r="H12" s="1043"/>
      <c r="I12" s="1043"/>
      <c r="J12" s="1043"/>
      <c r="K12" s="1043"/>
      <c r="L12" s="1044"/>
      <c r="M12" s="1"/>
      <c r="N12" s="1"/>
      <c r="O12" s="1"/>
      <c r="P12" s="1"/>
      <c r="Q12" s="1"/>
      <c r="R12" s="1"/>
      <c r="S12" s="1"/>
      <c r="T12" s="1"/>
      <c r="U12" s="1"/>
      <c r="V12" s="1"/>
      <c r="W12" s="1"/>
      <c r="X12" s="1"/>
      <c r="Y12" s="1"/>
      <c r="Z12" s="1"/>
      <c r="AA12" s="1"/>
    </row>
    <row r="13" spans="1:27" ht="12.75">
      <c r="A13" s="1"/>
      <c r="B13" s="1042"/>
      <c r="C13" s="1043"/>
      <c r="D13" s="1043"/>
      <c r="E13" s="1043"/>
      <c r="F13" s="1043"/>
      <c r="G13" s="1043"/>
      <c r="H13" s="1043"/>
      <c r="I13" s="1043"/>
      <c r="J13" s="1043"/>
      <c r="K13" s="1043"/>
      <c r="L13" s="1044"/>
      <c r="M13" s="1"/>
      <c r="N13" s="1"/>
      <c r="O13" s="1"/>
      <c r="P13" s="1"/>
      <c r="Q13" s="1"/>
      <c r="R13" s="1"/>
      <c r="S13" s="1"/>
      <c r="T13" s="1"/>
      <c r="U13" s="1"/>
      <c r="V13" s="1"/>
      <c r="W13" s="1"/>
      <c r="X13" s="1"/>
      <c r="Y13" s="1"/>
      <c r="Z13" s="1"/>
      <c r="AA13" s="1"/>
    </row>
    <row r="14" spans="1:27" ht="12.75">
      <c r="A14" s="1"/>
      <c r="B14" s="1042"/>
      <c r="C14" s="1043"/>
      <c r="D14" s="1043"/>
      <c r="E14" s="1043"/>
      <c r="F14" s="1043"/>
      <c r="G14" s="1043"/>
      <c r="H14" s="1043"/>
      <c r="I14" s="1043"/>
      <c r="J14" s="1043"/>
      <c r="K14" s="1043"/>
      <c r="L14" s="1044"/>
      <c r="M14" s="1"/>
      <c r="N14" s="1"/>
      <c r="O14" s="1"/>
      <c r="P14" s="1"/>
      <c r="Q14" s="1"/>
      <c r="R14" s="1"/>
      <c r="S14" s="1"/>
      <c r="T14" s="1"/>
      <c r="U14" s="1"/>
      <c r="V14" s="1"/>
      <c r="W14" s="1"/>
      <c r="X14" s="1"/>
      <c r="Y14" s="1"/>
      <c r="Z14" s="1"/>
      <c r="AA14" s="1"/>
    </row>
    <row r="15" spans="1:27" ht="12.75">
      <c r="A15" s="1"/>
      <c r="B15" s="1042"/>
      <c r="C15" s="1043"/>
      <c r="D15" s="1043"/>
      <c r="E15" s="1043"/>
      <c r="F15" s="1043"/>
      <c r="G15" s="1043"/>
      <c r="H15" s="1043"/>
      <c r="I15" s="1043"/>
      <c r="J15" s="1043"/>
      <c r="K15" s="1043"/>
      <c r="L15" s="1044"/>
      <c r="M15" s="1"/>
      <c r="N15" s="1"/>
      <c r="O15" s="1"/>
      <c r="P15" s="1"/>
      <c r="Q15" s="1"/>
      <c r="R15" s="1"/>
      <c r="S15" s="1"/>
      <c r="T15" s="1"/>
      <c r="U15" s="1"/>
      <c r="V15" s="1"/>
      <c r="W15" s="1"/>
      <c r="X15" s="1"/>
      <c r="Y15" s="1"/>
      <c r="Z15" s="1"/>
      <c r="AA15" s="1"/>
    </row>
    <row r="16" spans="1:27" ht="12.75">
      <c r="A16" s="1"/>
      <c r="B16" s="1042"/>
      <c r="C16" s="1043"/>
      <c r="D16" s="1043"/>
      <c r="E16" s="1043"/>
      <c r="F16" s="1043"/>
      <c r="G16" s="1043"/>
      <c r="H16" s="1043"/>
      <c r="I16" s="1043"/>
      <c r="J16" s="1043"/>
      <c r="K16" s="1043"/>
      <c r="L16" s="1044"/>
      <c r="M16" s="1"/>
      <c r="N16" s="1"/>
      <c r="O16" s="1"/>
      <c r="P16" s="1"/>
      <c r="Q16" s="1"/>
      <c r="R16" s="1"/>
      <c r="S16" s="1"/>
      <c r="T16" s="1"/>
      <c r="U16" s="1"/>
      <c r="V16" s="1"/>
      <c r="W16" s="1"/>
      <c r="X16" s="1"/>
      <c r="Y16" s="1"/>
      <c r="Z16" s="1"/>
      <c r="AA16" s="1"/>
    </row>
    <row r="17" spans="1:27" ht="12.75">
      <c r="A17" s="1"/>
      <c r="B17" s="1042"/>
      <c r="C17" s="1043"/>
      <c r="D17" s="1043"/>
      <c r="E17" s="1043"/>
      <c r="F17" s="1043"/>
      <c r="G17" s="1043"/>
      <c r="H17" s="1043"/>
      <c r="I17" s="1043"/>
      <c r="J17" s="1043"/>
      <c r="K17" s="1043"/>
      <c r="L17" s="1044"/>
      <c r="M17" s="1"/>
      <c r="N17" s="1"/>
      <c r="O17" s="1"/>
      <c r="P17" s="1"/>
      <c r="Q17" s="1"/>
      <c r="R17" s="1"/>
      <c r="S17" s="1"/>
      <c r="T17" s="1"/>
      <c r="U17" s="1"/>
      <c r="V17" s="1"/>
      <c r="W17" s="1"/>
      <c r="X17" s="1"/>
      <c r="Y17" s="1"/>
      <c r="Z17" s="1"/>
      <c r="AA17" s="1"/>
    </row>
    <row r="18" spans="1:27" ht="12.75">
      <c r="A18" s="1"/>
      <c r="B18" s="1042"/>
      <c r="C18" s="1043"/>
      <c r="D18" s="1043"/>
      <c r="E18" s="1043"/>
      <c r="F18" s="1043"/>
      <c r="G18" s="1043"/>
      <c r="H18" s="1043"/>
      <c r="I18" s="1043"/>
      <c r="J18" s="1043"/>
      <c r="K18" s="1043"/>
      <c r="L18" s="1044"/>
      <c r="M18" s="1"/>
      <c r="N18" s="1"/>
      <c r="O18" s="1"/>
      <c r="P18" s="1"/>
      <c r="Q18" s="1"/>
      <c r="R18" s="1"/>
      <c r="S18" s="1"/>
      <c r="T18" s="1"/>
      <c r="U18" s="1"/>
      <c r="V18" s="1"/>
      <c r="W18" s="1"/>
      <c r="X18" s="1"/>
      <c r="Y18" s="1"/>
      <c r="Z18" s="1"/>
      <c r="AA18" s="1"/>
    </row>
    <row r="19" spans="1:27" ht="12.75">
      <c r="A19" s="1"/>
      <c r="B19" s="1042"/>
      <c r="C19" s="1043"/>
      <c r="D19" s="1043"/>
      <c r="E19" s="1043"/>
      <c r="F19" s="1043"/>
      <c r="G19" s="1043"/>
      <c r="H19" s="1043"/>
      <c r="I19" s="1043"/>
      <c r="J19" s="1043"/>
      <c r="K19" s="1043"/>
      <c r="L19" s="1044"/>
      <c r="M19" s="1"/>
      <c r="N19" s="1"/>
      <c r="O19" s="1"/>
      <c r="P19" s="1"/>
      <c r="Q19" s="1"/>
      <c r="R19" s="1"/>
      <c r="S19" s="1"/>
      <c r="T19" s="1"/>
      <c r="U19" s="1"/>
      <c r="V19" s="1"/>
      <c r="W19" s="1"/>
      <c r="X19" s="1"/>
      <c r="Y19" s="1"/>
      <c r="Z19" s="1"/>
      <c r="AA19" s="1"/>
    </row>
    <row r="20" spans="1:27" ht="12.75">
      <c r="A20" s="1038"/>
      <c r="B20" s="1045"/>
      <c r="C20" s="1046"/>
      <c r="D20" s="1046"/>
      <c r="E20" s="1046"/>
      <c r="F20" s="1046"/>
      <c r="G20" s="1046"/>
      <c r="H20" s="1046"/>
      <c r="I20" s="1046"/>
      <c r="J20" s="1046"/>
      <c r="K20" s="1046"/>
      <c r="L20" s="1047"/>
      <c r="M20" s="1"/>
      <c r="N20" s="1"/>
      <c r="O20" s="1"/>
      <c r="P20" s="1"/>
      <c r="Q20" s="1"/>
      <c r="R20" s="1"/>
      <c r="S20" s="1"/>
      <c r="T20" s="1"/>
      <c r="U20" s="1"/>
      <c r="V20" s="1"/>
      <c r="W20" s="1"/>
      <c r="X20" s="1"/>
      <c r="Y20" s="1"/>
      <c r="Z20" s="1"/>
      <c r="AA20" s="1"/>
    </row>
    <row r="21" spans="1:27" ht="12.75">
      <c r="A21" s="1038"/>
      <c r="B21" s="1038"/>
      <c r="C21" s="1038"/>
      <c r="D21" s="1038"/>
      <c r="E21" s="1038"/>
      <c r="F21" s="1038"/>
      <c r="G21" s="1038"/>
      <c r="H21" s="1038"/>
      <c r="I21" s="1038"/>
      <c r="J21" s="1038"/>
      <c r="K21" s="1038"/>
      <c r="L21" s="1038"/>
      <c r="M21" s="1"/>
      <c r="N21" s="1"/>
      <c r="O21" s="1"/>
      <c r="P21" s="1"/>
      <c r="Q21" s="1"/>
      <c r="R21" s="1"/>
      <c r="S21" s="1"/>
      <c r="T21" s="1"/>
      <c r="U21" s="1"/>
      <c r="V21" s="1"/>
      <c r="W21" s="1"/>
      <c r="X21" s="1"/>
      <c r="Y21" s="1"/>
      <c r="Z21" s="1"/>
      <c r="AA21" s="1"/>
    </row>
    <row r="22" spans="1:27" ht="12.75">
      <c r="A22" s="1038"/>
      <c r="B22" s="1049" t="s">
        <v>1</v>
      </c>
      <c r="C22" s="1050"/>
      <c r="D22" s="1050"/>
      <c r="E22" s="1050"/>
      <c r="F22" s="1050"/>
      <c r="G22" s="1050"/>
      <c r="H22" s="1050"/>
      <c r="I22" s="1050"/>
      <c r="J22" s="1050"/>
      <c r="K22" s="1050"/>
      <c r="L22" s="1051"/>
      <c r="M22" s="1038"/>
      <c r="N22" s="1"/>
      <c r="O22" s="1"/>
      <c r="P22" s="1"/>
      <c r="Q22" s="1"/>
      <c r="R22" s="1"/>
      <c r="S22" s="1"/>
      <c r="T22" s="1"/>
      <c r="U22" s="1"/>
      <c r="V22" s="1"/>
      <c r="W22" s="1"/>
      <c r="X22" s="1"/>
      <c r="Y22" s="1"/>
      <c r="Z22" s="1"/>
      <c r="AA22" s="1"/>
    </row>
    <row r="23" spans="1:27" ht="12.75">
      <c r="A23" s="1038"/>
      <c r="B23" s="1052"/>
      <c r="C23" s="1053"/>
      <c r="D23" s="1053"/>
      <c r="E23" s="1053"/>
      <c r="F23" s="1053"/>
      <c r="G23" s="1053"/>
      <c r="H23" s="1053"/>
      <c r="I23" s="1053"/>
      <c r="J23" s="1053"/>
      <c r="K23" s="1053"/>
      <c r="L23" s="1054"/>
      <c r="M23" s="1038"/>
      <c r="N23" s="1"/>
      <c r="O23" s="1"/>
      <c r="P23" s="1"/>
      <c r="Q23" s="1"/>
      <c r="R23" s="1"/>
      <c r="S23" s="1"/>
      <c r="T23" s="1"/>
      <c r="U23" s="1"/>
      <c r="V23" s="1"/>
      <c r="W23" s="1"/>
      <c r="X23" s="1"/>
      <c r="Y23" s="1"/>
      <c r="Z23" s="1"/>
      <c r="AA23" s="1"/>
    </row>
    <row r="24" spans="1:27" ht="12.75">
      <c r="A24" s="1038"/>
      <c r="B24" s="1052"/>
      <c r="C24" s="1053"/>
      <c r="D24" s="1053"/>
      <c r="E24" s="1053"/>
      <c r="F24" s="1053"/>
      <c r="G24" s="1053"/>
      <c r="H24" s="1053"/>
      <c r="I24" s="1053"/>
      <c r="J24" s="1053"/>
      <c r="K24" s="1053"/>
      <c r="L24" s="1054"/>
      <c r="M24" s="1038"/>
      <c r="N24" s="1"/>
      <c r="O24" s="1"/>
      <c r="P24" s="1"/>
      <c r="Q24" s="1"/>
      <c r="R24" s="1"/>
      <c r="S24" s="1"/>
      <c r="T24" s="1"/>
      <c r="U24" s="1"/>
      <c r="V24" s="1"/>
      <c r="W24" s="1"/>
      <c r="X24" s="1"/>
      <c r="Y24" s="1"/>
      <c r="Z24" s="1"/>
      <c r="AA24" s="1"/>
    </row>
    <row r="25" spans="1:27" ht="12.75">
      <c r="A25" s="1038"/>
      <c r="B25" s="1052"/>
      <c r="C25" s="1053"/>
      <c r="D25" s="1053"/>
      <c r="E25" s="1053"/>
      <c r="F25" s="1053"/>
      <c r="G25" s="1053"/>
      <c r="H25" s="1053"/>
      <c r="I25" s="1053"/>
      <c r="J25" s="1053"/>
      <c r="K25" s="1053"/>
      <c r="L25" s="1054"/>
      <c r="M25" s="1038"/>
      <c r="N25" s="1"/>
      <c r="O25" s="1"/>
      <c r="P25" s="1"/>
      <c r="Q25" s="1"/>
      <c r="R25" s="1"/>
      <c r="S25" s="1"/>
      <c r="T25" s="1"/>
      <c r="U25" s="1"/>
      <c r="V25" s="1"/>
      <c r="W25" s="1"/>
      <c r="X25" s="1"/>
      <c r="Y25" s="1"/>
      <c r="Z25" s="1"/>
      <c r="AA25" s="1"/>
    </row>
    <row r="26" spans="1:27" ht="12.75">
      <c r="A26" s="1038"/>
      <c r="B26" s="1052"/>
      <c r="C26" s="1053"/>
      <c r="D26" s="1053"/>
      <c r="E26" s="1053"/>
      <c r="F26" s="1053"/>
      <c r="G26" s="1053"/>
      <c r="H26" s="1053"/>
      <c r="I26" s="1053"/>
      <c r="J26" s="1053"/>
      <c r="K26" s="1053"/>
      <c r="L26" s="1054"/>
      <c r="M26" s="1038"/>
      <c r="N26" s="1"/>
      <c r="O26" s="1"/>
      <c r="P26" s="1"/>
      <c r="Q26" s="1"/>
      <c r="R26" s="1"/>
      <c r="S26" s="1"/>
      <c r="T26" s="1"/>
      <c r="U26" s="1"/>
      <c r="V26" s="1"/>
      <c r="W26" s="1"/>
      <c r="X26" s="1"/>
      <c r="Y26" s="1"/>
      <c r="Z26" s="1"/>
      <c r="AA26" s="1"/>
    </row>
    <row r="27" spans="1:27" ht="12.75">
      <c r="A27" s="1038"/>
      <c r="B27" s="1052"/>
      <c r="C27" s="1053"/>
      <c r="D27" s="1053"/>
      <c r="E27" s="1053"/>
      <c r="F27" s="1053"/>
      <c r="G27" s="1053"/>
      <c r="H27" s="1053"/>
      <c r="I27" s="1053"/>
      <c r="J27" s="1053"/>
      <c r="K27" s="1053"/>
      <c r="L27" s="1054"/>
      <c r="M27" s="1038"/>
      <c r="N27" s="1"/>
      <c r="O27" s="1"/>
      <c r="P27" s="1"/>
      <c r="Q27" s="1"/>
      <c r="R27" s="1"/>
      <c r="S27" s="1"/>
      <c r="T27" s="1"/>
      <c r="U27" s="1"/>
      <c r="V27" s="1"/>
      <c r="W27" s="1"/>
      <c r="X27" s="1"/>
      <c r="Y27" s="1"/>
      <c r="Z27" s="1"/>
      <c r="AA27" s="1"/>
    </row>
    <row r="28" spans="1:27" ht="12.75">
      <c r="A28" s="1038"/>
      <c r="B28" s="1052"/>
      <c r="C28" s="1053"/>
      <c r="D28" s="1053"/>
      <c r="E28" s="1053"/>
      <c r="F28" s="1053"/>
      <c r="G28" s="1053"/>
      <c r="H28" s="1053"/>
      <c r="I28" s="1053"/>
      <c r="J28" s="1053"/>
      <c r="K28" s="1053"/>
      <c r="L28" s="1054"/>
      <c r="M28" s="1038"/>
      <c r="N28" s="1"/>
      <c r="O28" s="1"/>
      <c r="P28" s="1"/>
      <c r="Q28" s="1"/>
      <c r="R28" s="1"/>
      <c r="S28" s="1"/>
      <c r="T28" s="1"/>
      <c r="U28" s="1"/>
      <c r="V28" s="1"/>
      <c r="W28" s="1"/>
      <c r="X28" s="1"/>
      <c r="Y28" s="1"/>
      <c r="Z28" s="1"/>
      <c r="AA28" s="1"/>
    </row>
    <row r="29" spans="1:27" ht="12.75">
      <c r="A29" s="1038"/>
      <c r="B29" s="1052"/>
      <c r="C29" s="1053"/>
      <c r="D29" s="1053"/>
      <c r="E29" s="1053"/>
      <c r="F29" s="1053"/>
      <c r="G29" s="1053"/>
      <c r="H29" s="1053"/>
      <c r="I29" s="1053"/>
      <c r="J29" s="1053"/>
      <c r="K29" s="1053"/>
      <c r="L29" s="1054"/>
      <c r="M29" s="1038"/>
      <c r="N29" s="1"/>
      <c r="O29" s="1"/>
      <c r="P29" s="1"/>
      <c r="Q29" s="1"/>
      <c r="R29" s="1"/>
      <c r="S29" s="1"/>
      <c r="T29" s="1"/>
      <c r="U29" s="1"/>
      <c r="V29" s="1"/>
      <c r="W29" s="1"/>
      <c r="X29" s="1"/>
      <c r="Y29" s="1"/>
      <c r="Z29" s="1"/>
      <c r="AA29" s="1"/>
    </row>
    <row r="30" spans="1:27" ht="12.75">
      <c r="A30" s="1038"/>
      <c r="B30" s="1052"/>
      <c r="C30" s="1053"/>
      <c r="D30" s="1053"/>
      <c r="E30" s="1053"/>
      <c r="F30" s="1053"/>
      <c r="G30" s="1053"/>
      <c r="H30" s="1053"/>
      <c r="I30" s="1053"/>
      <c r="J30" s="1053"/>
      <c r="K30" s="1053"/>
      <c r="L30" s="1054"/>
      <c r="M30" s="1038"/>
      <c r="N30" s="1"/>
      <c r="O30" s="1"/>
      <c r="P30" s="1"/>
      <c r="Q30" s="1"/>
      <c r="R30" s="1"/>
      <c r="S30" s="1"/>
      <c r="T30" s="1"/>
      <c r="U30" s="1"/>
      <c r="V30" s="1"/>
      <c r="W30" s="1"/>
      <c r="X30" s="1"/>
      <c r="Y30" s="1"/>
      <c r="Z30" s="1"/>
      <c r="AA30" s="1"/>
    </row>
    <row r="31" spans="1:27" ht="12.75">
      <c r="A31" s="1038"/>
      <c r="B31" s="1052"/>
      <c r="C31" s="1053"/>
      <c r="D31" s="1053"/>
      <c r="E31" s="1053"/>
      <c r="F31" s="1053"/>
      <c r="G31" s="1053"/>
      <c r="H31" s="1053"/>
      <c r="I31" s="1053"/>
      <c r="J31" s="1053"/>
      <c r="K31" s="1053"/>
      <c r="L31" s="1054"/>
      <c r="M31" s="1038"/>
      <c r="N31" s="1"/>
      <c r="O31" s="1"/>
      <c r="P31" s="1"/>
      <c r="Q31" s="1"/>
      <c r="R31" s="1"/>
      <c r="S31" s="1"/>
      <c r="T31" s="1"/>
      <c r="U31" s="1"/>
      <c r="V31" s="1"/>
      <c r="W31" s="1"/>
      <c r="X31" s="1"/>
      <c r="Y31" s="1"/>
      <c r="Z31" s="1"/>
      <c r="AA31" s="1"/>
    </row>
    <row r="32" spans="1:27" ht="12.75">
      <c r="A32" s="1038"/>
      <c r="B32" s="1052"/>
      <c r="C32" s="1053"/>
      <c r="D32" s="1053"/>
      <c r="E32" s="1053"/>
      <c r="F32" s="1053"/>
      <c r="G32" s="1053"/>
      <c r="H32" s="1053"/>
      <c r="I32" s="1053"/>
      <c r="J32" s="1053"/>
      <c r="K32" s="1053"/>
      <c r="L32" s="1054"/>
      <c r="M32" s="1038"/>
      <c r="N32" s="1"/>
      <c r="O32" s="1"/>
      <c r="P32" s="1"/>
      <c r="Q32" s="1"/>
      <c r="R32" s="1"/>
      <c r="S32" s="1"/>
      <c r="T32" s="1"/>
      <c r="U32" s="1"/>
      <c r="V32" s="1"/>
      <c r="W32" s="1"/>
      <c r="X32" s="1"/>
      <c r="Y32" s="1"/>
      <c r="Z32" s="1"/>
      <c r="AA32" s="1"/>
    </row>
    <row r="33" spans="1:27" ht="12.75">
      <c r="A33" s="1038"/>
      <c r="B33" s="1052"/>
      <c r="C33" s="1053"/>
      <c r="D33" s="1053"/>
      <c r="E33" s="1053"/>
      <c r="F33" s="1053"/>
      <c r="G33" s="1053"/>
      <c r="H33" s="1053"/>
      <c r="I33" s="1053"/>
      <c r="J33" s="1053"/>
      <c r="K33" s="1053"/>
      <c r="L33" s="1054"/>
      <c r="M33" s="1038"/>
      <c r="N33" s="1"/>
      <c r="O33" s="1"/>
      <c r="P33" s="1"/>
      <c r="Q33" s="1"/>
      <c r="R33" s="1"/>
      <c r="S33" s="1"/>
      <c r="T33" s="1"/>
      <c r="U33" s="1"/>
      <c r="V33" s="1"/>
      <c r="W33" s="1"/>
      <c r="X33" s="1"/>
      <c r="Y33" s="1"/>
      <c r="Z33" s="1"/>
      <c r="AA33" s="1"/>
    </row>
    <row r="34" spans="1:27" ht="12.75">
      <c r="A34" s="1038"/>
      <c r="B34" s="1052"/>
      <c r="C34" s="1053"/>
      <c r="D34" s="1053"/>
      <c r="E34" s="1053"/>
      <c r="F34" s="1053"/>
      <c r="G34" s="1053"/>
      <c r="H34" s="1053"/>
      <c r="I34" s="1053"/>
      <c r="J34" s="1053"/>
      <c r="K34" s="1053"/>
      <c r="L34" s="1054"/>
      <c r="M34" s="1038"/>
      <c r="N34" s="1"/>
      <c r="O34" s="1"/>
      <c r="P34" s="1"/>
      <c r="Q34" s="1"/>
      <c r="R34" s="1"/>
      <c r="S34" s="1"/>
      <c r="T34" s="1"/>
      <c r="U34" s="1"/>
      <c r="V34" s="1"/>
      <c r="W34" s="1"/>
      <c r="X34" s="1"/>
      <c r="Y34" s="1"/>
      <c r="Z34" s="1"/>
      <c r="AA34" s="1"/>
    </row>
    <row r="35" spans="1:27" ht="12.75">
      <c r="A35" s="1038"/>
      <c r="B35" s="1055"/>
      <c r="C35" s="1056"/>
      <c r="D35" s="1056"/>
      <c r="E35" s="1056"/>
      <c r="F35" s="1056"/>
      <c r="G35" s="1056"/>
      <c r="H35" s="1056"/>
      <c r="I35" s="1056"/>
      <c r="J35" s="1056"/>
      <c r="K35" s="1056"/>
      <c r="L35" s="1057"/>
      <c r="M35" s="1038"/>
      <c r="N35" s="1"/>
      <c r="O35" s="1"/>
      <c r="P35" s="1"/>
      <c r="Q35" s="1"/>
      <c r="R35" s="1"/>
      <c r="S35" s="1"/>
      <c r="T35" s="1"/>
      <c r="U35" s="1"/>
      <c r="V35" s="1"/>
      <c r="W35" s="1"/>
      <c r="X35" s="1"/>
      <c r="Y35" s="1"/>
      <c r="Z35" s="1"/>
      <c r="AA35" s="1"/>
    </row>
    <row r="36" spans="1:27" ht="12.75">
      <c r="A36" s="1"/>
      <c r="B36" s="1038"/>
      <c r="C36" s="1038"/>
      <c r="D36" s="1038"/>
      <c r="E36" s="1038"/>
      <c r="F36" s="1038"/>
      <c r="G36" s="1038"/>
      <c r="H36" s="1038"/>
      <c r="I36" s="1038"/>
      <c r="J36" s="1038"/>
      <c r="K36" s="1038"/>
      <c r="L36" s="1038"/>
      <c r="M36" s="1"/>
      <c r="N36" s="1"/>
      <c r="O36" s="1"/>
      <c r="P36" s="1"/>
      <c r="Q36" s="1"/>
      <c r="R36" s="1"/>
      <c r="S36" s="1"/>
      <c r="T36" s="1"/>
      <c r="U36" s="1"/>
      <c r="V36" s="1"/>
      <c r="W36" s="1"/>
      <c r="X36" s="1"/>
      <c r="Y36" s="1"/>
      <c r="Z36" s="1"/>
      <c r="AA36" s="1"/>
    </row>
    <row r="37" spans="1:27" ht="12.75">
      <c r="A37" s="1"/>
      <c r="B37" s="1048" t="s">
        <v>2</v>
      </c>
      <c r="C37" s="1040"/>
      <c r="D37" s="1040"/>
      <c r="E37" s="1040"/>
      <c r="F37" s="1040"/>
      <c r="G37" s="1040"/>
      <c r="H37" s="1040"/>
      <c r="I37" s="1040"/>
      <c r="J37" s="1040"/>
      <c r="K37" s="1040"/>
      <c r="L37" s="1041"/>
      <c r="M37" s="1"/>
      <c r="N37" s="1"/>
      <c r="O37" s="1"/>
      <c r="P37" s="1"/>
      <c r="Q37" s="1"/>
      <c r="R37" s="1"/>
      <c r="S37" s="1"/>
      <c r="T37" s="1"/>
      <c r="U37" s="1"/>
      <c r="V37" s="1"/>
      <c r="W37" s="1"/>
      <c r="X37" s="1"/>
      <c r="Y37" s="1"/>
      <c r="Z37" s="1"/>
      <c r="AA37" s="1"/>
    </row>
    <row r="38" spans="1:27" ht="12.75">
      <c r="A38" s="1"/>
      <c r="B38" s="1042"/>
      <c r="C38" s="1043"/>
      <c r="D38" s="1043"/>
      <c r="E38" s="1043"/>
      <c r="F38" s="1043"/>
      <c r="G38" s="1043"/>
      <c r="H38" s="1043"/>
      <c r="I38" s="1043"/>
      <c r="J38" s="1043"/>
      <c r="K38" s="1043"/>
      <c r="L38" s="1044"/>
      <c r="M38" s="1"/>
      <c r="N38" s="1"/>
      <c r="O38" s="1"/>
      <c r="P38" s="1"/>
      <c r="Q38" s="1"/>
      <c r="R38" s="1"/>
      <c r="S38" s="1"/>
      <c r="T38" s="1"/>
      <c r="U38" s="1"/>
      <c r="V38" s="1"/>
      <c r="W38" s="1"/>
      <c r="X38" s="1"/>
      <c r="Y38" s="1"/>
      <c r="Z38" s="1"/>
      <c r="AA38" s="1"/>
    </row>
    <row r="39" spans="1:27" ht="12.75">
      <c r="A39" s="1"/>
      <c r="B39" s="1042"/>
      <c r="C39" s="1043"/>
      <c r="D39" s="1043"/>
      <c r="E39" s="1043"/>
      <c r="F39" s="1043"/>
      <c r="G39" s="1043"/>
      <c r="H39" s="1043"/>
      <c r="I39" s="1043"/>
      <c r="J39" s="1043"/>
      <c r="K39" s="1043"/>
      <c r="L39" s="1044"/>
      <c r="M39" s="1"/>
      <c r="N39" s="1"/>
      <c r="O39" s="1"/>
      <c r="P39" s="1"/>
      <c r="Q39" s="1"/>
      <c r="R39" s="1"/>
      <c r="S39" s="1"/>
      <c r="T39" s="1"/>
      <c r="U39" s="1"/>
      <c r="V39" s="1"/>
      <c r="W39" s="1"/>
      <c r="X39" s="1"/>
      <c r="Y39" s="1"/>
      <c r="Z39" s="1"/>
      <c r="AA39" s="1"/>
    </row>
    <row r="40" spans="1:27" ht="12.75">
      <c r="A40" s="1"/>
      <c r="B40" s="1042"/>
      <c r="C40" s="1043"/>
      <c r="D40" s="1043"/>
      <c r="E40" s="1043"/>
      <c r="F40" s="1043"/>
      <c r="G40" s="1043"/>
      <c r="H40" s="1043"/>
      <c r="I40" s="1043"/>
      <c r="J40" s="1043"/>
      <c r="K40" s="1043"/>
      <c r="L40" s="1044"/>
      <c r="M40" s="1"/>
      <c r="N40" s="1"/>
      <c r="O40" s="1"/>
      <c r="P40" s="1"/>
      <c r="Q40" s="1"/>
      <c r="R40" s="1"/>
      <c r="S40" s="1"/>
      <c r="T40" s="1"/>
      <c r="U40" s="1"/>
      <c r="V40" s="1"/>
      <c r="W40" s="1"/>
      <c r="X40" s="1"/>
      <c r="Y40" s="1"/>
      <c r="Z40" s="1"/>
      <c r="AA40" s="1"/>
    </row>
    <row r="41" spans="1:27" ht="12.75">
      <c r="A41" s="1"/>
      <c r="B41" s="1042"/>
      <c r="C41" s="1043"/>
      <c r="D41" s="1043"/>
      <c r="E41" s="1043"/>
      <c r="F41" s="1043"/>
      <c r="G41" s="1043"/>
      <c r="H41" s="1043"/>
      <c r="I41" s="1043"/>
      <c r="J41" s="1043"/>
      <c r="K41" s="1043"/>
      <c r="L41" s="1044"/>
      <c r="M41" s="1"/>
      <c r="N41" s="1"/>
      <c r="O41" s="1"/>
      <c r="P41" s="1"/>
      <c r="Q41" s="1"/>
      <c r="R41" s="1"/>
      <c r="S41" s="1"/>
      <c r="T41" s="1"/>
      <c r="U41" s="1"/>
      <c r="V41" s="1"/>
      <c r="W41" s="1"/>
      <c r="X41" s="1"/>
      <c r="Y41" s="1"/>
      <c r="Z41" s="1"/>
      <c r="AA41" s="1"/>
    </row>
    <row r="42" spans="1:27" ht="12.75">
      <c r="A42" s="1"/>
      <c r="B42" s="1042"/>
      <c r="C42" s="1043"/>
      <c r="D42" s="1043"/>
      <c r="E42" s="1043"/>
      <c r="F42" s="1043"/>
      <c r="G42" s="1043"/>
      <c r="H42" s="1043"/>
      <c r="I42" s="1043"/>
      <c r="J42" s="1043"/>
      <c r="K42" s="1043"/>
      <c r="L42" s="1044"/>
      <c r="M42" s="1"/>
      <c r="N42" s="1"/>
      <c r="O42" s="1"/>
      <c r="P42" s="1"/>
      <c r="Q42" s="1"/>
      <c r="R42" s="1"/>
      <c r="S42" s="1"/>
      <c r="T42" s="1"/>
      <c r="U42" s="1"/>
      <c r="V42" s="1"/>
      <c r="W42" s="1"/>
      <c r="X42" s="1"/>
      <c r="Y42" s="1"/>
      <c r="Z42" s="1"/>
      <c r="AA42" s="1"/>
    </row>
    <row r="43" spans="1:27" ht="12.75">
      <c r="A43" s="1"/>
      <c r="B43" s="1042"/>
      <c r="C43" s="1043"/>
      <c r="D43" s="1043"/>
      <c r="E43" s="1043"/>
      <c r="F43" s="1043"/>
      <c r="G43" s="1043"/>
      <c r="H43" s="1043"/>
      <c r="I43" s="1043"/>
      <c r="J43" s="1043"/>
      <c r="K43" s="1043"/>
      <c r="L43" s="1044"/>
      <c r="M43" s="1"/>
      <c r="N43" s="1"/>
      <c r="O43" s="1"/>
      <c r="P43" s="1"/>
      <c r="Q43" s="1"/>
      <c r="R43" s="1"/>
      <c r="S43" s="1"/>
      <c r="T43" s="1"/>
      <c r="U43" s="1"/>
      <c r="V43" s="1"/>
      <c r="W43" s="1"/>
      <c r="X43" s="1"/>
      <c r="Y43" s="1"/>
      <c r="Z43" s="1"/>
      <c r="AA43" s="1"/>
    </row>
    <row r="44" spans="1:27" ht="12.75">
      <c r="A44" s="1"/>
      <c r="B44" s="1042"/>
      <c r="C44" s="1043"/>
      <c r="D44" s="1043"/>
      <c r="E44" s="1043"/>
      <c r="F44" s="1043"/>
      <c r="G44" s="1043"/>
      <c r="H44" s="1043"/>
      <c r="I44" s="1043"/>
      <c r="J44" s="1043"/>
      <c r="K44" s="1043"/>
      <c r="L44" s="1044"/>
      <c r="M44" s="1"/>
      <c r="N44" s="1"/>
      <c r="O44" s="1"/>
      <c r="P44" s="1"/>
      <c r="Q44" s="1"/>
      <c r="R44" s="1"/>
      <c r="S44" s="1"/>
      <c r="T44" s="1"/>
      <c r="U44" s="1"/>
      <c r="V44" s="1"/>
      <c r="W44" s="1"/>
      <c r="X44" s="1"/>
      <c r="Y44" s="1"/>
      <c r="Z44" s="1"/>
      <c r="AA44" s="1"/>
    </row>
    <row r="45" spans="1:27" ht="12.75">
      <c r="A45" s="1"/>
      <c r="B45" s="1042"/>
      <c r="C45" s="1043"/>
      <c r="D45" s="1043"/>
      <c r="E45" s="1043"/>
      <c r="F45" s="1043"/>
      <c r="G45" s="1043"/>
      <c r="H45" s="1043"/>
      <c r="I45" s="1043"/>
      <c r="J45" s="1043"/>
      <c r="K45" s="1043"/>
      <c r="L45" s="1044"/>
      <c r="M45" s="1"/>
      <c r="N45" s="1"/>
      <c r="O45" s="1"/>
      <c r="P45" s="1"/>
      <c r="Q45" s="1"/>
      <c r="R45" s="1"/>
      <c r="S45" s="1"/>
      <c r="T45" s="1"/>
      <c r="U45" s="1"/>
      <c r="V45" s="1"/>
      <c r="W45" s="1"/>
      <c r="X45" s="1"/>
      <c r="Y45" s="1"/>
      <c r="Z45" s="1"/>
      <c r="AA45" s="1"/>
    </row>
    <row r="46" spans="1:27" ht="12.75">
      <c r="A46" s="1"/>
      <c r="B46" s="1042"/>
      <c r="C46" s="1043"/>
      <c r="D46" s="1043"/>
      <c r="E46" s="1043"/>
      <c r="F46" s="1043"/>
      <c r="G46" s="1043"/>
      <c r="H46" s="1043"/>
      <c r="I46" s="1043"/>
      <c r="J46" s="1043"/>
      <c r="K46" s="1043"/>
      <c r="L46" s="1044"/>
      <c r="M46" s="1"/>
      <c r="N46" s="1"/>
      <c r="O46" s="1"/>
      <c r="P46" s="1"/>
      <c r="Q46" s="1"/>
      <c r="R46" s="1"/>
      <c r="S46" s="1"/>
      <c r="T46" s="1"/>
      <c r="U46" s="1"/>
      <c r="V46" s="1"/>
      <c r="W46" s="1"/>
      <c r="X46" s="1"/>
      <c r="Y46" s="1"/>
      <c r="Z46" s="1"/>
      <c r="AA46" s="1"/>
    </row>
    <row r="47" spans="1:27" ht="12.75">
      <c r="A47" s="1"/>
      <c r="B47" s="1042"/>
      <c r="C47" s="1043"/>
      <c r="D47" s="1043"/>
      <c r="E47" s="1043"/>
      <c r="F47" s="1043"/>
      <c r="G47" s="1043"/>
      <c r="H47" s="1043"/>
      <c r="I47" s="1043"/>
      <c r="J47" s="1043"/>
      <c r="K47" s="1043"/>
      <c r="L47" s="1044"/>
      <c r="M47" s="1"/>
      <c r="N47" s="1"/>
      <c r="O47" s="1"/>
      <c r="P47" s="1"/>
      <c r="Q47" s="1"/>
      <c r="R47" s="1"/>
      <c r="S47" s="1"/>
      <c r="T47" s="1"/>
      <c r="U47" s="1"/>
      <c r="V47" s="1"/>
      <c r="W47" s="1"/>
      <c r="X47" s="1"/>
      <c r="Y47" s="1"/>
      <c r="Z47" s="1"/>
      <c r="AA47" s="1"/>
    </row>
    <row r="48" spans="1:27" ht="12.75">
      <c r="A48" s="1"/>
      <c r="B48" s="1042"/>
      <c r="C48" s="1043"/>
      <c r="D48" s="1043"/>
      <c r="E48" s="1043"/>
      <c r="F48" s="1043"/>
      <c r="G48" s="1043"/>
      <c r="H48" s="1043"/>
      <c r="I48" s="1043"/>
      <c r="J48" s="1043"/>
      <c r="K48" s="1043"/>
      <c r="L48" s="1044"/>
      <c r="M48" s="1"/>
      <c r="N48" s="1"/>
      <c r="O48" s="1"/>
      <c r="P48" s="1"/>
      <c r="Q48" s="1"/>
      <c r="R48" s="1"/>
      <c r="S48" s="1"/>
      <c r="T48" s="1"/>
      <c r="U48" s="1"/>
      <c r="V48" s="1"/>
      <c r="W48" s="1"/>
      <c r="X48" s="1"/>
      <c r="Y48" s="1"/>
      <c r="Z48" s="1"/>
      <c r="AA48" s="1"/>
    </row>
    <row r="49" spans="1:27" ht="12.75">
      <c r="A49" s="1"/>
      <c r="B49" s="1042"/>
      <c r="C49" s="1043"/>
      <c r="D49" s="1043"/>
      <c r="E49" s="1043"/>
      <c r="F49" s="1043"/>
      <c r="G49" s="1043"/>
      <c r="H49" s="1043"/>
      <c r="I49" s="1043"/>
      <c r="J49" s="1043"/>
      <c r="K49" s="1043"/>
      <c r="L49" s="1044"/>
      <c r="M49" s="1"/>
      <c r="N49" s="1"/>
      <c r="O49" s="1"/>
      <c r="P49" s="1"/>
      <c r="Q49" s="1"/>
      <c r="R49" s="1"/>
      <c r="S49" s="1"/>
      <c r="T49" s="1"/>
      <c r="U49" s="1"/>
      <c r="V49" s="1"/>
      <c r="W49" s="1"/>
      <c r="X49" s="1"/>
      <c r="Y49" s="1"/>
      <c r="Z49" s="1"/>
      <c r="AA49" s="1"/>
    </row>
    <row r="50" spans="1:27" ht="12.75">
      <c r="A50" s="1"/>
      <c r="B50" s="1042"/>
      <c r="C50" s="1043"/>
      <c r="D50" s="1043"/>
      <c r="E50" s="1043"/>
      <c r="F50" s="1043"/>
      <c r="G50" s="1043"/>
      <c r="H50" s="1043"/>
      <c r="I50" s="1043"/>
      <c r="J50" s="1043"/>
      <c r="K50" s="1043"/>
      <c r="L50" s="1044"/>
      <c r="M50" s="1"/>
      <c r="N50" s="1"/>
      <c r="O50" s="1"/>
      <c r="P50" s="1"/>
      <c r="Q50" s="1"/>
      <c r="R50" s="1"/>
      <c r="S50" s="1"/>
      <c r="T50" s="1"/>
      <c r="U50" s="1"/>
      <c r="V50" s="1"/>
      <c r="W50" s="1"/>
      <c r="X50" s="1"/>
      <c r="Y50" s="1"/>
      <c r="Z50" s="1"/>
      <c r="AA50" s="1"/>
    </row>
    <row r="51" spans="1:27" ht="12.75">
      <c r="A51" s="1"/>
      <c r="B51" s="1042"/>
      <c r="C51" s="1043"/>
      <c r="D51" s="1043"/>
      <c r="E51" s="1043"/>
      <c r="F51" s="1043"/>
      <c r="G51" s="1043"/>
      <c r="H51" s="1043"/>
      <c r="I51" s="1043"/>
      <c r="J51" s="1043"/>
      <c r="K51" s="1043"/>
      <c r="L51" s="1044"/>
      <c r="M51" s="1"/>
      <c r="N51" s="1"/>
      <c r="O51" s="1"/>
      <c r="P51" s="1"/>
      <c r="Q51" s="1"/>
      <c r="R51" s="1"/>
      <c r="S51" s="1"/>
      <c r="T51" s="1"/>
      <c r="U51" s="1"/>
      <c r="V51" s="1"/>
      <c r="W51" s="1"/>
      <c r="X51" s="1"/>
      <c r="Y51" s="1"/>
      <c r="Z51" s="1"/>
      <c r="AA51" s="1"/>
    </row>
    <row r="52" spans="1:27" ht="12.75">
      <c r="A52" s="1"/>
      <c r="B52" s="1042"/>
      <c r="C52" s="1043"/>
      <c r="D52" s="1043"/>
      <c r="E52" s="1043"/>
      <c r="F52" s="1043"/>
      <c r="G52" s="1043"/>
      <c r="H52" s="1043"/>
      <c r="I52" s="1043"/>
      <c r="J52" s="1043"/>
      <c r="K52" s="1043"/>
      <c r="L52" s="1044"/>
      <c r="M52" s="1"/>
      <c r="N52" s="1"/>
      <c r="O52" s="1"/>
      <c r="P52" s="1"/>
      <c r="Q52" s="1"/>
      <c r="R52" s="1"/>
      <c r="S52" s="1"/>
      <c r="T52" s="1"/>
      <c r="U52" s="1"/>
      <c r="V52" s="1"/>
      <c r="W52" s="1"/>
      <c r="X52" s="1"/>
      <c r="Y52" s="1"/>
      <c r="Z52" s="1"/>
      <c r="AA52" s="1"/>
    </row>
    <row r="53" spans="1:27" ht="12.75">
      <c r="A53" s="1"/>
      <c r="B53" s="1042"/>
      <c r="C53" s="1043"/>
      <c r="D53" s="1043"/>
      <c r="E53" s="1043"/>
      <c r="F53" s="1043"/>
      <c r="G53" s="1043"/>
      <c r="H53" s="1043"/>
      <c r="I53" s="1043"/>
      <c r="J53" s="1043"/>
      <c r="K53" s="1043"/>
      <c r="L53" s="1044"/>
      <c r="M53" s="1"/>
      <c r="N53" s="1"/>
      <c r="O53" s="1"/>
      <c r="P53" s="1"/>
      <c r="Q53" s="1"/>
      <c r="R53" s="1"/>
      <c r="S53" s="1"/>
      <c r="T53" s="1"/>
      <c r="U53" s="1"/>
      <c r="V53" s="1"/>
      <c r="W53" s="1"/>
      <c r="X53" s="1"/>
      <c r="Y53" s="1"/>
      <c r="Z53" s="1"/>
      <c r="AA53" s="1"/>
    </row>
    <row r="54" spans="1:27" ht="12.75">
      <c r="A54" s="1"/>
      <c r="B54" s="1042"/>
      <c r="C54" s="1043"/>
      <c r="D54" s="1043"/>
      <c r="E54" s="1043"/>
      <c r="F54" s="1043"/>
      <c r="G54" s="1043"/>
      <c r="H54" s="1043"/>
      <c r="I54" s="1043"/>
      <c r="J54" s="1043"/>
      <c r="K54" s="1043"/>
      <c r="L54" s="1044"/>
      <c r="M54" s="1"/>
      <c r="N54" s="1"/>
      <c r="O54" s="1"/>
      <c r="P54" s="1"/>
      <c r="Q54" s="1"/>
      <c r="R54" s="1"/>
      <c r="S54" s="1"/>
      <c r="T54" s="1"/>
      <c r="U54" s="1"/>
      <c r="V54" s="1"/>
      <c r="W54" s="1"/>
      <c r="X54" s="1"/>
      <c r="Y54" s="1"/>
      <c r="Z54" s="1"/>
      <c r="AA54" s="1"/>
    </row>
    <row r="55" spans="1:27" ht="12.75">
      <c r="A55" s="1"/>
      <c r="B55" s="1042"/>
      <c r="C55" s="1043"/>
      <c r="D55" s="1043"/>
      <c r="E55" s="1043"/>
      <c r="F55" s="1043"/>
      <c r="G55" s="1043"/>
      <c r="H55" s="1043"/>
      <c r="I55" s="1043"/>
      <c r="J55" s="1043"/>
      <c r="K55" s="1043"/>
      <c r="L55" s="1044"/>
      <c r="M55" s="1"/>
      <c r="N55" s="1"/>
      <c r="O55" s="1"/>
      <c r="P55" s="1"/>
      <c r="Q55" s="1"/>
      <c r="R55" s="1"/>
      <c r="S55" s="1"/>
      <c r="T55" s="1"/>
      <c r="U55" s="1"/>
      <c r="V55" s="1"/>
      <c r="W55" s="1"/>
      <c r="X55" s="1"/>
      <c r="Y55" s="1"/>
      <c r="Z55" s="1"/>
      <c r="AA55" s="1"/>
    </row>
    <row r="56" spans="1:27" ht="12.75">
      <c r="A56" s="1"/>
      <c r="B56" s="1042"/>
      <c r="C56" s="1043"/>
      <c r="D56" s="1043"/>
      <c r="E56" s="1043"/>
      <c r="F56" s="1043"/>
      <c r="G56" s="1043"/>
      <c r="H56" s="1043"/>
      <c r="I56" s="1043"/>
      <c r="J56" s="1043"/>
      <c r="K56" s="1043"/>
      <c r="L56" s="1044"/>
      <c r="M56" s="1"/>
      <c r="N56" s="1"/>
      <c r="O56" s="1"/>
      <c r="P56" s="1"/>
      <c r="Q56" s="1"/>
      <c r="R56" s="1"/>
      <c r="S56" s="1"/>
      <c r="T56" s="1"/>
      <c r="U56" s="1"/>
      <c r="V56" s="1"/>
      <c r="W56" s="1"/>
      <c r="X56" s="1"/>
      <c r="Y56" s="1"/>
      <c r="Z56" s="1"/>
      <c r="AA56" s="1"/>
    </row>
    <row r="57" spans="1:27" ht="12.75">
      <c r="A57" s="1"/>
      <c r="B57" s="1042"/>
      <c r="C57" s="1043"/>
      <c r="D57" s="1043"/>
      <c r="E57" s="1043"/>
      <c r="F57" s="1043"/>
      <c r="G57" s="1043"/>
      <c r="H57" s="1043"/>
      <c r="I57" s="1043"/>
      <c r="J57" s="1043"/>
      <c r="K57" s="1043"/>
      <c r="L57" s="1044"/>
      <c r="M57" s="1"/>
      <c r="N57" s="1"/>
      <c r="O57" s="1"/>
      <c r="P57" s="1"/>
      <c r="Q57" s="1"/>
      <c r="R57" s="1"/>
      <c r="S57" s="1"/>
      <c r="T57" s="1"/>
      <c r="U57" s="1"/>
      <c r="V57" s="1"/>
      <c r="W57" s="1"/>
      <c r="X57" s="1"/>
      <c r="Y57" s="1"/>
      <c r="Z57" s="1"/>
      <c r="AA57" s="1"/>
    </row>
    <row r="58" spans="1:27" ht="12.75">
      <c r="A58" s="1"/>
      <c r="B58" s="1042"/>
      <c r="C58" s="1043"/>
      <c r="D58" s="1043"/>
      <c r="E58" s="1043"/>
      <c r="F58" s="1043"/>
      <c r="G58" s="1043"/>
      <c r="H58" s="1043"/>
      <c r="I58" s="1043"/>
      <c r="J58" s="1043"/>
      <c r="K58" s="1043"/>
      <c r="L58" s="1044"/>
      <c r="M58" s="1"/>
      <c r="N58" s="1"/>
      <c r="O58" s="1"/>
      <c r="P58" s="1"/>
      <c r="Q58" s="1"/>
      <c r="R58" s="1"/>
      <c r="S58" s="1"/>
      <c r="T58" s="1"/>
      <c r="U58" s="1"/>
      <c r="V58" s="1"/>
      <c r="W58" s="1"/>
      <c r="X58" s="1"/>
      <c r="Y58" s="1"/>
      <c r="Z58" s="1"/>
      <c r="AA58" s="1"/>
    </row>
    <row r="59" spans="1:27" ht="12.75">
      <c r="A59" s="1"/>
      <c r="B59" s="1042"/>
      <c r="C59" s="1043"/>
      <c r="D59" s="1043"/>
      <c r="E59" s="1043"/>
      <c r="F59" s="1043"/>
      <c r="G59" s="1043"/>
      <c r="H59" s="1043"/>
      <c r="I59" s="1043"/>
      <c r="J59" s="1043"/>
      <c r="K59" s="1043"/>
      <c r="L59" s="1044"/>
      <c r="M59" s="1"/>
      <c r="N59" s="1"/>
      <c r="O59" s="1"/>
      <c r="P59" s="1"/>
      <c r="Q59" s="1"/>
      <c r="R59" s="1"/>
      <c r="S59" s="1"/>
      <c r="T59" s="1"/>
      <c r="U59" s="1"/>
      <c r="V59" s="1"/>
      <c r="W59" s="1"/>
      <c r="X59" s="1"/>
      <c r="Y59" s="1"/>
      <c r="Z59" s="1"/>
      <c r="AA59" s="1"/>
    </row>
    <row r="60" spans="1:27" ht="12.75">
      <c r="A60" s="1"/>
      <c r="B60" s="1042"/>
      <c r="C60" s="1043"/>
      <c r="D60" s="1043"/>
      <c r="E60" s="1043"/>
      <c r="F60" s="1043"/>
      <c r="G60" s="1043"/>
      <c r="H60" s="1043"/>
      <c r="I60" s="1043"/>
      <c r="J60" s="1043"/>
      <c r="K60" s="1043"/>
      <c r="L60" s="1044"/>
      <c r="M60" s="1"/>
      <c r="N60" s="1"/>
      <c r="O60" s="1"/>
      <c r="P60" s="1"/>
      <c r="Q60" s="1"/>
      <c r="R60" s="1"/>
      <c r="S60" s="1"/>
      <c r="T60" s="1"/>
      <c r="U60" s="1"/>
      <c r="V60" s="1"/>
      <c r="W60" s="1"/>
      <c r="X60" s="1"/>
      <c r="Y60" s="1"/>
      <c r="Z60" s="1"/>
      <c r="AA60" s="1"/>
    </row>
    <row r="61" spans="1:27" ht="12.75">
      <c r="A61" s="1"/>
      <c r="B61" s="1042"/>
      <c r="C61" s="1043"/>
      <c r="D61" s="1043"/>
      <c r="E61" s="1043"/>
      <c r="F61" s="1043"/>
      <c r="G61" s="1043"/>
      <c r="H61" s="1043"/>
      <c r="I61" s="1043"/>
      <c r="J61" s="1043"/>
      <c r="K61" s="1043"/>
      <c r="L61" s="1044"/>
      <c r="M61" s="1"/>
      <c r="N61" s="1"/>
      <c r="O61" s="1"/>
      <c r="P61" s="1"/>
      <c r="Q61" s="1"/>
      <c r="R61" s="1"/>
      <c r="S61" s="1"/>
      <c r="T61" s="1"/>
      <c r="U61" s="1"/>
      <c r="V61" s="1"/>
      <c r="W61" s="1"/>
      <c r="X61" s="1"/>
      <c r="Y61" s="1"/>
      <c r="Z61" s="1"/>
      <c r="AA61" s="1"/>
    </row>
    <row r="62" spans="1:27" ht="12.75">
      <c r="A62" s="1"/>
      <c r="B62" s="1042"/>
      <c r="C62" s="1043"/>
      <c r="D62" s="1043"/>
      <c r="E62" s="1043"/>
      <c r="F62" s="1043"/>
      <c r="G62" s="1043"/>
      <c r="H62" s="1043"/>
      <c r="I62" s="1043"/>
      <c r="J62" s="1043"/>
      <c r="K62" s="1043"/>
      <c r="L62" s="1044"/>
      <c r="M62" s="1"/>
      <c r="N62" s="1"/>
      <c r="O62" s="1"/>
      <c r="P62" s="1"/>
      <c r="Q62" s="1"/>
      <c r="R62" s="1"/>
      <c r="S62" s="1"/>
      <c r="T62" s="1"/>
      <c r="U62" s="1"/>
      <c r="V62" s="1"/>
      <c r="W62" s="1"/>
      <c r="X62" s="1"/>
      <c r="Y62" s="1"/>
      <c r="Z62" s="1"/>
      <c r="AA62" s="1"/>
    </row>
    <row r="63" spans="1:27" ht="12.75">
      <c r="A63" s="1"/>
      <c r="B63" s="1042"/>
      <c r="C63" s="1043"/>
      <c r="D63" s="1043"/>
      <c r="E63" s="1043"/>
      <c r="F63" s="1043"/>
      <c r="G63" s="1043"/>
      <c r="H63" s="1043"/>
      <c r="I63" s="1043"/>
      <c r="J63" s="1043"/>
      <c r="K63" s="1043"/>
      <c r="L63" s="1044"/>
      <c r="M63" s="1"/>
      <c r="N63" s="1"/>
      <c r="O63" s="1"/>
      <c r="P63" s="1"/>
      <c r="Q63" s="1"/>
      <c r="R63" s="1"/>
      <c r="S63" s="1"/>
      <c r="T63" s="1"/>
      <c r="U63" s="1"/>
      <c r="V63" s="1"/>
      <c r="W63" s="1"/>
      <c r="X63" s="1"/>
      <c r="Y63" s="1"/>
      <c r="Z63" s="1"/>
      <c r="AA63" s="1"/>
    </row>
    <row r="64" spans="1:27" ht="12.75">
      <c r="A64" s="1"/>
      <c r="B64" s="1042"/>
      <c r="C64" s="1043"/>
      <c r="D64" s="1043"/>
      <c r="E64" s="1043"/>
      <c r="F64" s="1043"/>
      <c r="G64" s="1043"/>
      <c r="H64" s="1043"/>
      <c r="I64" s="1043"/>
      <c r="J64" s="1043"/>
      <c r="K64" s="1043"/>
      <c r="L64" s="1044"/>
      <c r="M64" s="1"/>
      <c r="N64" s="1"/>
      <c r="O64" s="1"/>
      <c r="P64" s="1"/>
      <c r="Q64" s="1"/>
      <c r="R64" s="1"/>
      <c r="S64" s="1"/>
      <c r="T64" s="1"/>
      <c r="U64" s="1"/>
      <c r="V64" s="1"/>
      <c r="W64" s="1"/>
      <c r="X64" s="1"/>
      <c r="Y64" s="1"/>
      <c r="Z64" s="1"/>
      <c r="AA64" s="1"/>
    </row>
    <row r="65" spans="1:27" ht="12.75">
      <c r="A65" s="1"/>
      <c r="B65" s="1042"/>
      <c r="C65" s="1043"/>
      <c r="D65" s="1043"/>
      <c r="E65" s="1043"/>
      <c r="F65" s="1043"/>
      <c r="G65" s="1043"/>
      <c r="H65" s="1043"/>
      <c r="I65" s="1043"/>
      <c r="J65" s="1043"/>
      <c r="K65" s="1043"/>
      <c r="L65" s="1044"/>
      <c r="M65" s="1"/>
      <c r="N65" s="1"/>
      <c r="O65" s="1"/>
      <c r="P65" s="1"/>
      <c r="Q65" s="1"/>
      <c r="R65" s="1"/>
      <c r="S65" s="1"/>
      <c r="T65" s="1"/>
      <c r="U65" s="1"/>
      <c r="V65" s="1"/>
      <c r="W65" s="1"/>
      <c r="X65" s="1"/>
      <c r="Y65" s="1"/>
      <c r="Z65" s="1"/>
      <c r="AA65" s="1"/>
    </row>
    <row r="66" spans="1:27" ht="12.75">
      <c r="A66" s="1"/>
      <c r="B66" s="1042"/>
      <c r="C66" s="1043"/>
      <c r="D66" s="1043"/>
      <c r="E66" s="1043"/>
      <c r="F66" s="1043"/>
      <c r="G66" s="1043"/>
      <c r="H66" s="1043"/>
      <c r="I66" s="1043"/>
      <c r="J66" s="1043"/>
      <c r="K66" s="1043"/>
      <c r="L66" s="1044"/>
      <c r="M66" s="1"/>
      <c r="N66" s="1"/>
      <c r="O66" s="1"/>
      <c r="P66" s="1"/>
      <c r="Q66" s="1"/>
      <c r="R66" s="1"/>
      <c r="S66" s="1"/>
      <c r="T66" s="1"/>
      <c r="U66" s="1"/>
      <c r="V66" s="1"/>
      <c r="W66" s="1"/>
      <c r="X66" s="1"/>
      <c r="Y66" s="1"/>
      <c r="Z66" s="1"/>
      <c r="AA66" s="1"/>
    </row>
    <row r="67" spans="1:27" ht="12.75">
      <c r="A67" s="1"/>
      <c r="B67" s="1042"/>
      <c r="C67" s="1043"/>
      <c r="D67" s="1043"/>
      <c r="E67" s="1043"/>
      <c r="F67" s="1043"/>
      <c r="G67" s="1043"/>
      <c r="H67" s="1043"/>
      <c r="I67" s="1043"/>
      <c r="J67" s="1043"/>
      <c r="K67" s="1043"/>
      <c r="L67" s="1044"/>
      <c r="M67" s="1"/>
      <c r="N67" s="1"/>
      <c r="O67" s="1"/>
      <c r="P67" s="1"/>
      <c r="Q67" s="1"/>
      <c r="R67" s="1"/>
      <c r="S67" s="1"/>
      <c r="T67" s="1"/>
      <c r="U67" s="1"/>
      <c r="V67" s="1"/>
      <c r="W67" s="1"/>
      <c r="X67" s="1"/>
      <c r="Y67" s="1"/>
      <c r="Z67" s="1"/>
      <c r="AA67" s="1"/>
    </row>
    <row r="68" spans="1:27" ht="12.75">
      <c r="A68" s="1"/>
      <c r="B68" s="1042"/>
      <c r="C68" s="1043"/>
      <c r="D68" s="1043"/>
      <c r="E68" s="1043"/>
      <c r="F68" s="1043"/>
      <c r="G68" s="1043"/>
      <c r="H68" s="1043"/>
      <c r="I68" s="1043"/>
      <c r="J68" s="1043"/>
      <c r="K68" s="1043"/>
      <c r="L68" s="1044"/>
      <c r="M68" s="1"/>
      <c r="N68" s="1"/>
      <c r="O68" s="1"/>
      <c r="P68" s="1"/>
      <c r="Q68" s="1"/>
      <c r="R68" s="1"/>
      <c r="S68" s="1"/>
      <c r="T68" s="1"/>
      <c r="U68" s="1"/>
      <c r="V68" s="1"/>
      <c r="W68" s="1"/>
      <c r="X68" s="1"/>
      <c r="Y68" s="1"/>
      <c r="Z68" s="1"/>
      <c r="AA68" s="1"/>
    </row>
    <row r="69" spans="1:27" ht="12.75">
      <c r="A69" s="1"/>
      <c r="B69" s="1042"/>
      <c r="C69" s="1043"/>
      <c r="D69" s="1043"/>
      <c r="E69" s="1043"/>
      <c r="F69" s="1043"/>
      <c r="G69" s="1043"/>
      <c r="H69" s="1043"/>
      <c r="I69" s="1043"/>
      <c r="J69" s="1043"/>
      <c r="K69" s="1043"/>
      <c r="L69" s="1044"/>
      <c r="M69" s="1"/>
      <c r="N69" s="1"/>
      <c r="O69" s="1"/>
      <c r="P69" s="1"/>
      <c r="Q69" s="1"/>
      <c r="R69" s="1"/>
      <c r="S69" s="1"/>
      <c r="T69" s="1"/>
      <c r="U69" s="1"/>
      <c r="V69" s="1"/>
      <c r="W69" s="1"/>
      <c r="X69" s="1"/>
      <c r="Y69" s="1"/>
      <c r="Z69" s="1"/>
      <c r="AA69" s="1"/>
    </row>
    <row r="70" spans="1:27" ht="12.75">
      <c r="A70" s="1"/>
      <c r="B70" s="1042"/>
      <c r="C70" s="1043"/>
      <c r="D70" s="1043"/>
      <c r="E70" s="1043"/>
      <c r="F70" s="1043"/>
      <c r="G70" s="1043"/>
      <c r="H70" s="1043"/>
      <c r="I70" s="1043"/>
      <c r="J70" s="1043"/>
      <c r="K70" s="1043"/>
      <c r="L70" s="1044"/>
      <c r="M70" s="1"/>
      <c r="N70" s="1"/>
      <c r="O70" s="1"/>
      <c r="P70" s="1"/>
      <c r="Q70" s="1"/>
      <c r="R70" s="1"/>
      <c r="S70" s="1"/>
      <c r="T70" s="1"/>
      <c r="U70" s="1"/>
      <c r="V70" s="1"/>
      <c r="W70" s="1"/>
      <c r="X70" s="1"/>
      <c r="Y70" s="1"/>
      <c r="Z70" s="1"/>
      <c r="AA70" s="1"/>
    </row>
    <row r="71" spans="1:27" ht="12.75">
      <c r="A71" s="1"/>
      <c r="B71" s="1042"/>
      <c r="C71" s="1043"/>
      <c r="D71" s="1043"/>
      <c r="E71" s="1043"/>
      <c r="F71" s="1043"/>
      <c r="G71" s="1043"/>
      <c r="H71" s="1043"/>
      <c r="I71" s="1043"/>
      <c r="J71" s="1043"/>
      <c r="K71" s="1043"/>
      <c r="L71" s="1044"/>
      <c r="M71" s="1"/>
      <c r="N71" s="1"/>
      <c r="O71" s="1"/>
      <c r="P71" s="1"/>
      <c r="Q71" s="1"/>
      <c r="R71" s="1"/>
      <c r="S71" s="1"/>
      <c r="T71" s="1"/>
      <c r="U71" s="1"/>
      <c r="V71" s="1"/>
      <c r="W71" s="1"/>
      <c r="X71" s="1"/>
      <c r="Y71" s="1"/>
      <c r="Z71" s="1"/>
      <c r="AA71" s="1"/>
    </row>
    <row r="72" spans="1:27" ht="12.75">
      <c r="A72" s="1"/>
      <c r="B72" s="1042"/>
      <c r="C72" s="1043"/>
      <c r="D72" s="1043"/>
      <c r="E72" s="1043"/>
      <c r="F72" s="1043"/>
      <c r="G72" s="1043"/>
      <c r="H72" s="1043"/>
      <c r="I72" s="1043"/>
      <c r="J72" s="1043"/>
      <c r="K72" s="1043"/>
      <c r="L72" s="1044"/>
      <c r="M72" s="1"/>
      <c r="N72" s="1"/>
      <c r="O72" s="1"/>
      <c r="P72" s="1"/>
      <c r="Q72" s="1"/>
      <c r="R72" s="1"/>
      <c r="S72" s="1"/>
      <c r="T72" s="1"/>
      <c r="U72" s="1"/>
      <c r="V72" s="1"/>
      <c r="W72" s="1"/>
      <c r="X72" s="1"/>
      <c r="Y72" s="1"/>
      <c r="Z72" s="1"/>
      <c r="AA72" s="1"/>
    </row>
    <row r="73" spans="1:27" ht="12.75">
      <c r="A73" s="1"/>
      <c r="B73" s="1042"/>
      <c r="C73" s="1043"/>
      <c r="D73" s="1043"/>
      <c r="E73" s="1043"/>
      <c r="F73" s="1043"/>
      <c r="G73" s="1043"/>
      <c r="H73" s="1043"/>
      <c r="I73" s="1043"/>
      <c r="J73" s="1043"/>
      <c r="K73" s="1043"/>
      <c r="L73" s="1044"/>
      <c r="M73" s="1"/>
      <c r="N73" s="1"/>
      <c r="O73" s="1"/>
      <c r="P73" s="1"/>
      <c r="Q73" s="1"/>
      <c r="R73" s="1"/>
      <c r="S73" s="1"/>
      <c r="T73" s="1"/>
      <c r="U73" s="1"/>
      <c r="V73" s="1"/>
      <c r="W73" s="1"/>
      <c r="X73" s="1"/>
      <c r="Y73" s="1"/>
      <c r="Z73" s="1"/>
      <c r="AA73" s="1"/>
    </row>
    <row r="74" spans="1:27" ht="12.75">
      <c r="A74" s="1"/>
      <c r="B74" s="1042"/>
      <c r="C74" s="1043"/>
      <c r="D74" s="1043"/>
      <c r="E74" s="1043"/>
      <c r="F74" s="1043"/>
      <c r="G74" s="1043"/>
      <c r="H74" s="1043"/>
      <c r="I74" s="1043"/>
      <c r="J74" s="1043"/>
      <c r="K74" s="1043"/>
      <c r="L74" s="1044"/>
      <c r="M74" s="1"/>
      <c r="N74" s="1"/>
      <c r="O74" s="1"/>
      <c r="P74" s="1"/>
      <c r="Q74" s="1"/>
      <c r="R74" s="1"/>
      <c r="S74" s="1"/>
      <c r="T74" s="1"/>
      <c r="U74" s="1"/>
      <c r="V74" s="1"/>
      <c r="W74" s="1"/>
      <c r="X74" s="1"/>
      <c r="Y74" s="1"/>
      <c r="Z74" s="1"/>
      <c r="AA74" s="1"/>
    </row>
    <row r="75" spans="1:27" ht="12.75">
      <c r="A75" s="1"/>
      <c r="B75" s="1042"/>
      <c r="C75" s="1043"/>
      <c r="D75" s="1043"/>
      <c r="E75" s="1043"/>
      <c r="F75" s="1043"/>
      <c r="G75" s="1043"/>
      <c r="H75" s="1043"/>
      <c r="I75" s="1043"/>
      <c r="J75" s="1043"/>
      <c r="K75" s="1043"/>
      <c r="L75" s="1044"/>
      <c r="M75" s="1"/>
      <c r="N75" s="1"/>
      <c r="O75" s="1"/>
      <c r="P75" s="1"/>
      <c r="Q75" s="1"/>
      <c r="R75" s="1"/>
      <c r="S75" s="1"/>
      <c r="T75" s="1"/>
      <c r="U75" s="1"/>
      <c r="V75" s="1"/>
      <c r="W75" s="1"/>
      <c r="X75" s="1"/>
      <c r="Y75" s="1"/>
      <c r="Z75" s="1"/>
      <c r="AA75" s="1"/>
    </row>
    <row r="76" spans="1:27" ht="12.75">
      <c r="A76" s="1"/>
      <c r="B76" s="1042"/>
      <c r="C76" s="1043"/>
      <c r="D76" s="1043"/>
      <c r="E76" s="1043"/>
      <c r="F76" s="1043"/>
      <c r="G76" s="1043"/>
      <c r="H76" s="1043"/>
      <c r="I76" s="1043"/>
      <c r="J76" s="1043"/>
      <c r="K76" s="1043"/>
      <c r="L76" s="1044"/>
      <c r="M76" s="1"/>
      <c r="N76" s="1"/>
      <c r="O76" s="1"/>
      <c r="P76" s="1"/>
      <c r="Q76" s="1"/>
      <c r="R76" s="1"/>
      <c r="S76" s="1"/>
      <c r="T76" s="1"/>
      <c r="U76" s="1"/>
      <c r="V76" s="1"/>
      <c r="W76" s="1"/>
      <c r="X76" s="1"/>
      <c r="Y76" s="1"/>
      <c r="Z76" s="1"/>
      <c r="AA76" s="1"/>
    </row>
    <row r="77" spans="1:27" ht="12.75">
      <c r="A77" s="1"/>
      <c r="B77" s="1042"/>
      <c r="C77" s="1043"/>
      <c r="D77" s="1043"/>
      <c r="E77" s="1043"/>
      <c r="F77" s="1043"/>
      <c r="G77" s="1043"/>
      <c r="H77" s="1043"/>
      <c r="I77" s="1043"/>
      <c r="J77" s="1043"/>
      <c r="K77" s="1043"/>
      <c r="L77" s="1044"/>
      <c r="M77" s="1"/>
      <c r="N77" s="1"/>
      <c r="O77" s="1"/>
      <c r="P77" s="1"/>
      <c r="Q77" s="1"/>
      <c r="R77" s="1"/>
      <c r="S77" s="1"/>
      <c r="T77" s="1"/>
      <c r="U77" s="1"/>
      <c r="V77" s="1"/>
      <c r="W77" s="1"/>
      <c r="X77" s="1"/>
      <c r="Y77" s="1"/>
      <c r="Z77" s="1"/>
      <c r="AA77" s="1"/>
    </row>
    <row r="78" spans="1:27" ht="12.75">
      <c r="A78" s="1"/>
      <c r="B78" s="1042"/>
      <c r="C78" s="1043"/>
      <c r="D78" s="1043"/>
      <c r="E78" s="1043"/>
      <c r="F78" s="1043"/>
      <c r="G78" s="1043"/>
      <c r="H78" s="1043"/>
      <c r="I78" s="1043"/>
      <c r="J78" s="1043"/>
      <c r="K78" s="1043"/>
      <c r="L78" s="1044"/>
      <c r="M78" s="1"/>
      <c r="N78" s="1"/>
      <c r="O78" s="1"/>
      <c r="P78" s="1"/>
      <c r="Q78" s="1"/>
      <c r="R78" s="1"/>
      <c r="S78" s="1"/>
      <c r="T78" s="1"/>
      <c r="U78" s="1"/>
      <c r="V78" s="1"/>
      <c r="W78" s="1"/>
      <c r="X78" s="1"/>
      <c r="Y78" s="1"/>
      <c r="Z78" s="1"/>
      <c r="AA78" s="1"/>
    </row>
    <row r="79" spans="1:27" ht="12.75">
      <c r="A79" s="1"/>
      <c r="B79" s="1042"/>
      <c r="C79" s="1043"/>
      <c r="D79" s="1043"/>
      <c r="E79" s="1043"/>
      <c r="F79" s="1043"/>
      <c r="G79" s="1043"/>
      <c r="H79" s="1043"/>
      <c r="I79" s="1043"/>
      <c r="J79" s="1043"/>
      <c r="K79" s="1043"/>
      <c r="L79" s="1044"/>
      <c r="M79" s="1"/>
      <c r="N79" s="1"/>
      <c r="O79" s="1"/>
      <c r="P79" s="1"/>
      <c r="Q79" s="1"/>
      <c r="R79" s="1"/>
      <c r="S79" s="1"/>
      <c r="T79" s="1"/>
      <c r="U79" s="1"/>
      <c r="V79" s="1"/>
      <c r="W79" s="1"/>
      <c r="X79" s="1"/>
      <c r="Y79" s="1"/>
      <c r="Z79" s="1"/>
      <c r="AA79" s="1"/>
    </row>
    <row r="80" spans="1:27" ht="12.75">
      <c r="A80" s="1"/>
      <c r="B80" s="1042"/>
      <c r="C80" s="1043"/>
      <c r="D80" s="1043"/>
      <c r="E80" s="1043"/>
      <c r="F80" s="1043"/>
      <c r="G80" s="1043"/>
      <c r="H80" s="1043"/>
      <c r="I80" s="1043"/>
      <c r="J80" s="1043"/>
      <c r="K80" s="1043"/>
      <c r="L80" s="1044"/>
      <c r="M80" s="1"/>
      <c r="N80" s="1"/>
      <c r="O80" s="1"/>
      <c r="P80" s="1"/>
      <c r="Q80" s="1"/>
      <c r="R80" s="1"/>
      <c r="S80" s="1"/>
      <c r="T80" s="1"/>
      <c r="U80" s="1"/>
      <c r="V80" s="1"/>
      <c r="W80" s="1"/>
      <c r="X80" s="1"/>
      <c r="Y80" s="1"/>
      <c r="Z80" s="1"/>
      <c r="AA80" s="1"/>
    </row>
    <row r="81" spans="1:27" ht="12.75">
      <c r="A81" s="1"/>
      <c r="B81" s="1042"/>
      <c r="C81" s="1043"/>
      <c r="D81" s="1043"/>
      <c r="E81" s="1043"/>
      <c r="F81" s="1043"/>
      <c r="G81" s="1043"/>
      <c r="H81" s="1043"/>
      <c r="I81" s="1043"/>
      <c r="J81" s="1043"/>
      <c r="K81" s="1043"/>
      <c r="L81" s="1044"/>
      <c r="M81" s="1"/>
      <c r="N81" s="1"/>
      <c r="O81" s="1"/>
      <c r="P81" s="1"/>
      <c r="Q81" s="1"/>
      <c r="R81" s="1"/>
      <c r="S81" s="1"/>
      <c r="T81" s="1"/>
      <c r="U81" s="1"/>
      <c r="V81" s="1"/>
      <c r="W81" s="1"/>
      <c r="X81" s="1"/>
      <c r="Y81" s="1"/>
      <c r="Z81" s="1"/>
      <c r="AA81" s="1"/>
    </row>
    <row r="82" spans="1:27" ht="12.75">
      <c r="A82" s="1"/>
      <c r="B82" s="1042"/>
      <c r="C82" s="1043"/>
      <c r="D82" s="1043"/>
      <c r="E82" s="1043"/>
      <c r="F82" s="1043"/>
      <c r="G82" s="1043"/>
      <c r="H82" s="1043"/>
      <c r="I82" s="1043"/>
      <c r="J82" s="1043"/>
      <c r="K82" s="1043"/>
      <c r="L82" s="1044"/>
      <c r="M82" s="1"/>
      <c r="N82" s="1"/>
      <c r="O82" s="1"/>
      <c r="P82" s="1"/>
      <c r="Q82" s="1"/>
      <c r="R82" s="1"/>
      <c r="S82" s="1"/>
      <c r="T82" s="1"/>
      <c r="U82" s="1"/>
      <c r="V82" s="1"/>
      <c r="W82" s="1"/>
      <c r="X82" s="1"/>
      <c r="Y82" s="1"/>
      <c r="Z82" s="1"/>
      <c r="AA82" s="1"/>
    </row>
    <row r="83" spans="1:27" ht="12.75">
      <c r="A83" s="1"/>
      <c r="B83" s="1042"/>
      <c r="C83" s="1043"/>
      <c r="D83" s="1043"/>
      <c r="E83" s="1043"/>
      <c r="F83" s="1043"/>
      <c r="G83" s="1043"/>
      <c r="H83" s="1043"/>
      <c r="I83" s="1043"/>
      <c r="J83" s="1043"/>
      <c r="K83" s="1043"/>
      <c r="L83" s="1044"/>
      <c r="M83" s="1"/>
      <c r="N83" s="1"/>
      <c r="O83" s="1"/>
      <c r="P83" s="1"/>
      <c r="Q83" s="1"/>
      <c r="R83" s="1"/>
      <c r="S83" s="1"/>
      <c r="T83" s="1"/>
      <c r="U83" s="1"/>
      <c r="V83" s="1"/>
      <c r="W83" s="1"/>
      <c r="X83" s="1"/>
      <c r="Y83" s="1"/>
      <c r="Z83" s="1"/>
      <c r="AA83" s="1"/>
    </row>
    <row r="84" spans="1:27" ht="12.75">
      <c r="A84" s="1"/>
      <c r="B84" s="1045"/>
      <c r="C84" s="1046"/>
      <c r="D84" s="1046"/>
      <c r="E84" s="1046"/>
      <c r="F84" s="1046"/>
      <c r="G84" s="1046"/>
      <c r="H84" s="1046"/>
      <c r="I84" s="1046"/>
      <c r="J84" s="1046"/>
      <c r="K84" s="1046"/>
      <c r="L84" s="1047"/>
      <c r="M84" s="1"/>
      <c r="N84" s="1"/>
      <c r="O84" s="1"/>
      <c r="P84" s="1"/>
      <c r="Q84" s="1"/>
      <c r="R84" s="1"/>
      <c r="S84" s="1"/>
      <c r="T84" s="1"/>
      <c r="U84" s="1"/>
      <c r="V84" s="1"/>
      <c r="W84" s="1"/>
      <c r="X84" s="1"/>
      <c r="Y84" s="1"/>
      <c r="Z84" s="1"/>
      <c r="AA84" s="1"/>
    </row>
    <row r="85" spans="1:27" ht="12.7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7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7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7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7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7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7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7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7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7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7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7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7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7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7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7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7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7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7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7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7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7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7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7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7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7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7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7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7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7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7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7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7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7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7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7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7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7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7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7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7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7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7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7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7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7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7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7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7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7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7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7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7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7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7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7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7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7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7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7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7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7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7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7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7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7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7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7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7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7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7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7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7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7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7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7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7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7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7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7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7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7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7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7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7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7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7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7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7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7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7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7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7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7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7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7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7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7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7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7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7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7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7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7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7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7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7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7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7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7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7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7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7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7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7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7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7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7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7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7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7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7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7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7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7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7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7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7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7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7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7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7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7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7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7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7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7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7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7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7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7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7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7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7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7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7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7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7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7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7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7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7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7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7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7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7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7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7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7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7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7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7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7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7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7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7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7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7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7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7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7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7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7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7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7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7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7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7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7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7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7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7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7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7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7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7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7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7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7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7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7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7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7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7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7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7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7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7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7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7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7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7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7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7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7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7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7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7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7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7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7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7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7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7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7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7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7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7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7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7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7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7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7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7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7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7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7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7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7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7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7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7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7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7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7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7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7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7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7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7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7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7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7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7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7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7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7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7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7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7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7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7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7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7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7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7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7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7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7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7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7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7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7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7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7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7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7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7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7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7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7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7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7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7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7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7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7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7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7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7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7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7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row r="1017" spans="1:27" ht="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row>
    <row r="1018" spans="1:27" ht="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row>
    <row r="1019" spans="1:27" ht="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row>
    <row r="1020" spans="1:27" ht="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row>
    <row r="1021" spans="1:27" ht="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row>
    <row r="1022" spans="1:27" ht="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row>
    <row r="1023" spans="1:27" ht="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row>
    <row r="1024" spans="1:27" ht="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row>
    <row r="1025" spans="1:27" ht="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row>
    <row r="1026" spans="1:27" ht="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row>
  </sheetData>
  <mergeCells count="3">
    <mergeCell ref="B2:L20"/>
    <mergeCell ref="B37:L84"/>
    <mergeCell ref="B22:L35"/>
  </mergeCells>
  <pageMargins left="0" right="0" top="0" bottom="0" header="0" footer="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W1065"/>
  <sheetViews>
    <sheetView workbookViewId="0">
      <pane xSplit="1" ySplit="1" topLeftCell="J2" activePane="bottomRight" state="frozen"/>
      <selection pane="topRight" activeCell="B1" sqref="B1"/>
      <selection pane="bottomLeft" activeCell="A2" sqref="A2"/>
      <selection pane="bottomRight" activeCell="J1" sqref="J1"/>
    </sheetView>
  </sheetViews>
  <sheetFormatPr defaultColWidth="12.5703125" defaultRowHeight="15.75" customHeight="1"/>
  <cols>
    <col min="1" max="1" width="21.5703125" customWidth="1"/>
    <col min="2" max="2" width="12.28515625" customWidth="1"/>
    <col min="6" max="6" width="10.85546875" customWidth="1"/>
    <col min="10" max="10" width="17.7109375" customWidth="1"/>
  </cols>
  <sheetData>
    <row r="1" spans="1:16" ht="54" customHeight="1">
      <c r="A1" s="6" t="s">
        <v>3</v>
      </c>
      <c r="B1" s="6" t="s">
        <v>4</v>
      </c>
      <c r="C1" s="7" t="s">
        <v>5</v>
      </c>
      <c r="D1" s="7" t="s">
        <v>6</v>
      </c>
      <c r="E1" s="7" t="s">
        <v>7</v>
      </c>
      <c r="F1" s="7" t="s">
        <v>8</v>
      </c>
      <c r="G1" s="8" t="s">
        <v>9</v>
      </c>
      <c r="H1" s="8" t="s">
        <v>10</v>
      </c>
      <c r="I1" s="8" t="s">
        <v>11</v>
      </c>
      <c r="J1" s="8" t="s">
        <v>12</v>
      </c>
      <c r="K1" s="9"/>
    </row>
    <row r="2" spans="1:16" ht="12.75">
      <c r="A2" s="14" t="s">
        <v>13</v>
      </c>
      <c r="B2" s="10" t="s">
        <v>14</v>
      </c>
      <c r="C2" s="17" t="s">
        <v>15</v>
      </c>
      <c r="D2" s="17" t="s">
        <v>13</v>
      </c>
      <c r="E2" s="11" t="s">
        <v>16</v>
      </c>
      <c r="F2" s="17"/>
      <c r="G2" s="12">
        <v>7.4013793103448278E-4</v>
      </c>
      <c r="H2" s="12">
        <v>3.9903448275862069E-3</v>
      </c>
      <c r="I2" s="12">
        <v>2.4137931034482759E-4</v>
      </c>
      <c r="J2" s="12">
        <v>3.6010127048275863E-4</v>
      </c>
      <c r="K2" s="13"/>
      <c r="L2" s="14"/>
    </row>
    <row r="3" spans="1:16" ht="12.75">
      <c r="A3" s="14" t="s">
        <v>17</v>
      </c>
      <c r="B3" s="14" t="s">
        <v>14</v>
      </c>
      <c r="C3" s="17" t="s">
        <v>18</v>
      </c>
      <c r="D3" s="17" t="s">
        <v>19</v>
      </c>
      <c r="E3" s="17" t="s">
        <v>20</v>
      </c>
      <c r="F3" s="17"/>
      <c r="G3" s="12">
        <v>2.0863187909805599E-3</v>
      </c>
      <c r="H3" s="12">
        <v>1.5149371069182389E-2</v>
      </c>
      <c r="I3" s="12">
        <v>3.0135276985835671E-4</v>
      </c>
      <c r="J3" s="12">
        <v>3.5347185290550941E-4</v>
      </c>
      <c r="K3" s="13"/>
      <c r="L3" s="14"/>
    </row>
    <row r="4" spans="1:16" ht="12.75">
      <c r="A4" s="14" t="s">
        <v>19</v>
      </c>
      <c r="B4" s="14" t="s">
        <v>14</v>
      </c>
      <c r="C4" s="17" t="s">
        <v>18</v>
      </c>
      <c r="D4" s="17" t="s">
        <v>19</v>
      </c>
      <c r="E4" s="17" t="s">
        <v>21</v>
      </c>
      <c r="F4" s="17"/>
      <c r="G4" s="12">
        <v>3.0935071728332439E-3</v>
      </c>
      <c r="H4" s="12">
        <v>2.2462860550856643E-2</v>
      </c>
      <c r="I4" s="12">
        <v>4.4683341737618407E-4</v>
      </c>
      <c r="J4" s="12">
        <v>3.0935071729999999E-3</v>
      </c>
      <c r="K4" s="13"/>
      <c r="L4" s="14"/>
    </row>
    <row r="5" spans="1:16" ht="12.75">
      <c r="A5" s="10" t="s">
        <v>22</v>
      </c>
      <c r="B5" s="10" t="s">
        <v>14</v>
      </c>
      <c r="C5" s="17" t="s">
        <v>23</v>
      </c>
      <c r="D5" s="15" t="s">
        <v>24</v>
      </c>
      <c r="E5" s="17" t="s">
        <v>25</v>
      </c>
      <c r="F5" s="17"/>
      <c r="G5" s="12">
        <v>8.2470000000000004E-4</v>
      </c>
      <c r="H5" s="12">
        <v>6.7374066666666659E-3</v>
      </c>
      <c r="I5" s="12">
        <v>2.2764227642276422E-5</v>
      </c>
      <c r="J5" s="12">
        <v>8.9618699186991881E-5</v>
      </c>
      <c r="K5" s="13"/>
      <c r="L5" s="14"/>
    </row>
    <row r="6" spans="1:16" ht="12.75">
      <c r="A6" s="14" t="s">
        <v>26</v>
      </c>
      <c r="B6" s="14" t="s">
        <v>14</v>
      </c>
      <c r="C6" s="17" t="s">
        <v>27</v>
      </c>
      <c r="D6" s="17" t="s">
        <v>28</v>
      </c>
      <c r="E6" s="17" t="s">
        <v>29</v>
      </c>
      <c r="F6" s="17"/>
      <c r="G6" s="12">
        <v>3.9296258940033015E-4</v>
      </c>
      <c r="H6" s="12">
        <v>7.1519191270860089E-3</v>
      </c>
      <c r="I6" s="12">
        <v>9.0111690160025949E-6</v>
      </c>
      <c r="J6" s="12">
        <v>1.2844553836475908E-4</v>
      </c>
      <c r="K6" s="13"/>
      <c r="L6" s="14"/>
    </row>
    <row r="7" spans="1:16" ht="12.75">
      <c r="A7" s="14" t="s">
        <v>30</v>
      </c>
      <c r="B7" s="14" t="s">
        <v>14</v>
      </c>
      <c r="C7" s="17" t="s">
        <v>27</v>
      </c>
      <c r="D7" s="17" t="s">
        <v>28</v>
      </c>
      <c r="E7" s="17" t="s">
        <v>29</v>
      </c>
      <c r="F7" s="17"/>
      <c r="G7" s="12">
        <v>2.4451005562687207E-3</v>
      </c>
      <c r="H7" s="12">
        <v>4.4500830124090722E-2</v>
      </c>
      <c r="I7" s="12">
        <v>5.6069496099571696E-5</v>
      </c>
      <c r="J7" s="12">
        <v>7.9921668315850096E-4</v>
      </c>
      <c r="K7" s="13"/>
      <c r="L7" s="14"/>
    </row>
    <row r="8" spans="1:16" ht="12.75">
      <c r="A8" s="14" t="s">
        <v>31</v>
      </c>
      <c r="B8" s="14" t="s">
        <v>14</v>
      </c>
      <c r="C8" s="17" t="s">
        <v>27</v>
      </c>
      <c r="D8" s="17" t="s">
        <v>28</v>
      </c>
      <c r="E8" s="17" t="s">
        <v>29</v>
      </c>
      <c r="F8" s="17"/>
      <c r="G8" s="12">
        <v>3.9296258940033015E-4</v>
      </c>
      <c r="H8" s="12">
        <v>7.1519191270860089E-3</v>
      </c>
      <c r="I8" s="12">
        <v>9.0111690160025949E-6</v>
      </c>
      <c r="J8" s="12">
        <v>1.2844553836475908E-4</v>
      </c>
      <c r="K8" s="13"/>
      <c r="L8" s="14"/>
    </row>
    <row r="9" spans="1:16" ht="12.75">
      <c r="A9" s="10" t="s">
        <v>32</v>
      </c>
      <c r="B9" s="10" t="s">
        <v>14</v>
      </c>
      <c r="C9" s="17" t="s">
        <v>15</v>
      </c>
      <c r="D9" s="15" t="s">
        <v>33</v>
      </c>
      <c r="E9" s="17" t="s">
        <v>25</v>
      </c>
      <c r="F9" s="17"/>
      <c r="G9" s="12">
        <v>3.8146972123113249E-3</v>
      </c>
      <c r="H9" s="12">
        <v>1.710282858599476E-2</v>
      </c>
      <c r="I9" s="12">
        <v>5.0222393723691188E-4</v>
      </c>
      <c r="J9" s="12">
        <v>6.5940142870550104E-3</v>
      </c>
      <c r="K9" s="13"/>
      <c r="O9" s="14"/>
    </row>
    <row r="10" spans="1:16" ht="12.75">
      <c r="A10" s="10" t="s">
        <v>34</v>
      </c>
      <c r="B10" s="10" t="s">
        <v>14</v>
      </c>
      <c r="C10" s="17" t="s">
        <v>15</v>
      </c>
      <c r="D10" s="15" t="s">
        <v>35</v>
      </c>
      <c r="E10" s="17" t="s">
        <v>25</v>
      </c>
      <c r="F10" s="17"/>
      <c r="G10" s="12">
        <v>1.2649297968236144E-3</v>
      </c>
      <c r="H10" s="12">
        <v>6.2511974168971618E-3</v>
      </c>
      <c r="I10" s="12">
        <v>1.1767982990863112E-4</v>
      </c>
      <c r="J10" s="12">
        <v>4.4131428444507676E-4</v>
      </c>
      <c r="K10" s="13"/>
      <c r="L10" s="14"/>
      <c r="M10" s="14"/>
      <c r="N10" s="14"/>
      <c r="O10" s="14"/>
      <c r="P10" s="14"/>
    </row>
    <row r="11" spans="1:16" ht="12.75">
      <c r="A11" s="10" t="s">
        <v>36</v>
      </c>
      <c r="B11" s="10" t="s">
        <v>14</v>
      </c>
      <c r="C11" s="17" t="s">
        <v>15</v>
      </c>
      <c r="D11" s="17"/>
      <c r="E11" s="11" t="s">
        <v>37</v>
      </c>
      <c r="F11" s="17"/>
      <c r="G11" s="12">
        <v>2.4184492523326444E-3</v>
      </c>
      <c r="H11" s="12">
        <v>3.5176357141887118E-2</v>
      </c>
      <c r="I11" s="12">
        <v>1.8888888888888888E-4</v>
      </c>
      <c r="J11" s="12">
        <v>8.5327130333333323E-4</v>
      </c>
      <c r="K11" s="13"/>
      <c r="L11" s="14"/>
    </row>
    <row r="12" spans="1:16" ht="12.75">
      <c r="A12" s="14" t="s">
        <v>38</v>
      </c>
      <c r="B12" s="14" t="s">
        <v>14</v>
      </c>
      <c r="C12" s="17" t="s">
        <v>15</v>
      </c>
      <c r="D12" s="17" t="s">
        <v>39</v>
      </c>
      <c r="E12" s="17" t="s">
        <v>40</v>
      </c>
      <c r="F12" s="17"/>
      <c r="G12" s="12">
        <v>1.6939344187576338E-2</v>
      </c>
      <c r="H12" s="12">
        <v>0.12747220842521731</v>
      </c>
      <c r="I12" s="12">
        <v>6.4159613314729389E-4</v>
      </c>
      <c r="J12" s="12">
        <v>1.9596661512744689E-4</v>
      </c>
      <c r="K12" s="13"/>
      <c r="L12" s="14"/>
    </row>
    <row r="13" spans="1:16" ht="12.75">
      <c r="A13" s="14" t="s">
        <v>41</v>
      </c>
      <c r="B13" s="14" t="s">
        <v>14</v>
      </c>
      <c r="C13" s="17"/>
      <c r="D13" s="17"/>
      <c r="E13" s="17" t="s">
        <v>42</v>
      </c>
      <c r="F13" s="17"/>
      <c r="G13" s="12">
        <v>1.6135489016096731E-2</v>
      </c>
      <c r="H13" s="12">
        <v>0.11716450599224061</v>
      </c>
      <c r="I13" s="12">
        <v>2.3306478040234853E-3</v>
      </c>
      <c r="J13" s="12">
        <v>2.7337342810278844E-3</v>
      </c>
      <c r="K13" s="13"/>
      <c r="L13" s="14"/>
    </row>
    <row r="14" spans="1:16" ht="12.75">
      <c r="A14" s="14" t="s">
        <v>43</v>
      </c>
      <c r="B14" s="14" t="s">
        <v>14</v>
      </c>
      <c r="C14" s="17" t="s">
        <v>15</v>
      </c>
      <c r="D14" s="17" t="s">
        <v>44</v>
      </c>
      <c r="E14" s="17" t="s">
        <v>45</v>
      </c>
      <c r="F14" s="17"/>
      <c r="G14" s="12">
        <v>1.9306129458663359E-3</v>
      </c>
      <c r="H14" s="12">
        <v>3.9248033695195798E-2</v>
      </c>
      <c r="I14" s="12">
        <v>2.2000000000000001E-4</v>
      </c>
      <c r="J14" s="12">
        <v>2.1384856875782642E-3</v>
      </c>
      <c r="K14" s="13"/>
      <c r="L14" s="14"/>
    </row>
    <row r="15" spans="1:16" ht="12.75">
      <c r="A15" s="14" t="s">
        <v>46</v>
      </c>
      <c r="B15" s="14" t="s">
        <v>14</v>
      </c>
      <c r="C15" s="17" t="s">
        <v>15</v>
      </c>
      <c r="D15" s="17"/>
      <c r="E15" s="16" t="s">
        <v>45</v>
      </c>
      <c r="F15" s="16"/>
      <c r="G15" s="12">
        <v>1.9306129458663359E-3</v>
      </c>
      <c r="H15" s="12">
        <v>3.9248033695195798E-2</v>
      </c>
      <c r="I15" s="12">
        <v>2.2000000000000001E-4</v>
      </c>
      <c r="J15" s="12">
        <v>2.1384856875782642E-3</v>
      </c>
      <c r="K15" s="13"/>
      <c r="L15" s="14"/>
    </row>
    <row r="16" spans="1:16" ht="16.5" customHeight="1">
      <c r="A16" s="14" t="s">
        <v>47</v>
      </c>
      <c r="B16" s="14" t="s">
        <v>14</v>
      </c>
      <c r="C16" s="17" t="s">
        <v>15</v>
      </c>
      <c r="D16" s="17" t="s">
        <v>44</v>
      </c>
      <c r="E16" s="17" t="s">
        <v>45</v>
      </c>
      <c r="F16" s="17"/>
      <c r="G16" s="12">
        <v>1.9306129458663359E-3</v>
      </c>
      <c r="H16" s="12">
        <v>3.9248033695195798E-2</v>
      </c>
      <c r="I16" s="618">
        <v>2.2000000000000001E-4</v>
      </c>
      <c r="J16" s="12">
        <v>2.1384856875782642E-3</v>
      </c>
      <c r="K16" s="13"/>
      <c r="L16" s="14"/>
    </row>
    <row r="17" spans="1:12" ht="12.75">
      <c r="A17" s="14" t="s">
        <v>48</v>
      </c>
      <c r="B17" s="10" t="s">
        <v>14</v>
      </c>
      <c r="C17" s="17" t="s">
        <v>15</v>
      </c>
      <c r="D17" s="17" t="s">
        <v>49</v>
      </c>
      <c r="E17" s="17" t="s">
        <v>25</v>
      </c>
      <c r="F17" s="17"/>
      <c r="G17" s="12">
        <v>3.7044615384615384E-3</v>
      </c>
      <c r="H17" s="12">
        <v>0.11525538461538461</v>
      </c>
      <c r="I17" s="12">
        <v>1.3846153846153847E-5</v>
      </c>
      <c r="J17" s="12">
        <v>1.3566892307692306E-4</v>
      </c>
      <c r="K17" s="13"/>
      <c r="L17" s="14"/>
    </row>
    <row r="18" spans="1:12" ht="12.75">
      <c r="A18" s="14" t="s">
        <v>50</v>
      </c>
      <c r="B18" s="10" t="s">
        <v>14</v>
      </c>
      <c r="C18" s="17" t="s">
        <v>15</v>
      </c>
      <c r="D18" s="17" t="s">
        <v>51</v>
      </c>
      <c r="E18" s="17" t="s">
        <v>52</v>
      </c>
      <c r="F18" s="17"/>
      <c r="G18" s="12">
        <v>7.8192986778290174E-4</v>
      </c>
      <c r="H18" s="12">
        <v>1.0586602592799924E-2</v>
      </c>
      <c r="I18" s="618">
        <v>3.4138107416879792E-4</v>
      </c>
      <c r="J18" s="12">
        <v>1.6500695191567171E-4</v>
      </c>
      <c r="K18" s="13"/>
      <c r="L18" s="14"/>
    </row>
    <row r="19" spans="1:12" ht="12.75">
      <c r="A19" s="10" t="s">
        <v>53</v>
      </c>
      <c r="B19" s="10" t="s">
        <v>14</v>
      </c>
      <c r="C19" s="17" t="s">
        <v>15</v>
      </c>
      <c r="D19" s="15" t="s">
        <v>53</v>
      </c>
      <c r="E19" s="17" t="s">
        <v>25</v>
      </c>
      <c r="F19" s="17"/>
      <c r="G19" s="12">
        <v>2.5104287393882085E-3</v>
      </c>
      <c r="H19" s="12">
        <v>0.12077642340358601</v>
      </c>
      <c r="I19" s="12">
        <v>1.1761358644033755E-3</v>
      </c>
      <c r="J19" s="12">
        <v>1.1442664359861592E-3</v>
      </c>
      <c r="K19" s="13"/>
      <c r="L19" s="14"/>
    </row>
    <row r="20" spans="1:12" ht="12.75">
      <c r="A20" s="14" t="s">
        <v>54</v>
      </c>
      <c r="B20" s="14" t="s">
        <v>14</v>
      </c>
      <c r="C20" s="17" t="s">
        <v>55</v>
      </c>
      <c r="D20" s="17" t="s">
        <v>56</v>
      </c>
      <c r="E20" s="17" t="s">
        <v>57</v>
      </c>
      <c r="F20" s="17"/>
      <c r="G20" s="12">
        <v>5.408949017510318E-4</v>
      </c>
      <c r="H20" s="12">
        <v>2.9059467320077442E-2</v>
      </c>
      <c r="I20" s="12">
        <v>1.7188466484573448E-5</v>
      </c>
      <c r="J20" s="12">
        <v>1.4199239909412813E-4</v>
      </c>
      <c r="K20" s="13"/>
      <c r="L20" s="14"/>
    </row>
    <row r="21" spans="1:12" ht="12.75">
      <c r="A21" s="14" t="s">
        <v>58</v>
      </c>
      <c r="B21" s="14" t="s">
        <v>14</v>
      </c>
      <c r="C21" s="17"/>
      <c r="D21" s="17" t="s">
        <v>59</v>
      </c>
      <c r="E21" s="17" t="s">
        <v>60</v>
      </c>
      <c r="F21" s="17"/>
      <c r="G21" s="12">
        <v>0</v>
      </c>
      <c r="H21" s="12">
        <v>0</v>
      </c>
      <c r="I21" s="12">
        <v>0</v>
      </c>
      <c r="J21" s="12">
        <v>0</v>
      </c>
      <c r="K21" s="13"/>
      <c r="L21" s="14"/>
    </row>
    <row r="22" spans="1:12" ht="12.75">
      <c r="A22" s="14" t="s">
        <v>61</v>
      </c>
      <c r="B22" s="14" t="s">
        <v>14</v>
      </c>
      <c r="C22" s="17"/>
      <c r="D22" s="17" t="s">
        <v>59</v>
      </c>
      <c r="E22" s="17" t="s">
        <v>62</v>
      </c>
      <c r="F22" s="17"/>
      <c r="G22" s="12">
        <v>0</v>
      </c>
      <c r="H22" s="12">
        <v>0</v>
      </c>
      <c r="I22" s="12">
        <v>0</v>
      </c>
      <c r="J22" s="12">
        <v>0</v>
      </c>
      <c r="K22" s="13"/>
      <c r="L22" s="14"/>
    </row>
    <row r="23" spans="1:12" ht="12.75">
      <c r="A23" s="14" t="s">
        <v>63</v>
      </c>
      <c r="B23" s="14" t="s">
        <v>14</v>
      </c>
      <c r="C23" s="17" t="s">
        <v>55</v>
      </c>
      <c r="D23" s="17" t="s">
        <v>64</v>
      </c>
      <c r="E23" s="17" t="s">
        <v>65</v>
      </c>
      <c r="F23" s="17"/>
      <c r="G23" s="12">
        <v>5.408949017510318E-4</v>
      </c>
      <c r="H23" s="12">
        <v>2.9059467320077442E-2</v>
      </c>
      <c r="I23" s="12">
        <v>1.7188466484573448E-5</v>
      </c>
      <c r="J23" s="12">
        <v>1.4199239909412813E-4</v>
      </c>
      <c r="K23" s="13"/>
      <c r="L23" s="14"/>
    </row>
    <row r="24" spans="1:12" ht="12.75">
      <c r="A24" s="14" t="s">
        <v>66</v>
      </c>
      <c r="B24" s="14" t="s">
        <v>14</v>
      </c>
      <c r="C24" s="17" t="s">
        <v>67</v>
      </c>
      <c r="D24" s="17" t="s">
        <v>66</v>
      </c>
      <c r="E24" s="17" t="s">
        <v>68</v>
      </c>
      <c r="F24" s="17"/>
      <c r="G24" s="12">
        <v>5.5830754650352915E-5</v>
      </c>
      <c r="H24" s="12">
        <v>1.5310196905766523E-3</v>
      </c>
      <c r="I24" s="12">
        <v>7.5780590717299575E-6</v>
      </c>
      <c r="J24" s="12">
        <v>3.6275960326593231E-5</v>
      </c>
      <c r="K24" s="13"/>
      <c r="L24" s="14"/>
    </row>
    <row r="25" spans="1:12" ht="12.75">
      <c r="A25" s="14" t="s">
        <v>69</v>
      </c>
      <c r="B25" s="14" t="s">
        <v>14</v>
      </c>
      <c r="C25" s="17" t="s">
        <v>67</v>
      </c>
      <c r="D25" s="17" t="s">
        <v>66</v>
      </c>
      <c r="E25" s="17" t="s">
        <v>25</v>
      </c>
      <c r="F25" s="17"/>
      <c r="G25" s="12">
        <v>5.5830754650352915E-5</v>
      </c>
      <c r="H25" s="12">
        <v>1.5310196905766523E-3</v>
      </c>
      <c r="I25" s="12">
        <v>7.5780590717299575E-6</v>
      </c>
      <c r="J25" s="12">
        <v>3.6275960326593231E-5</v>
      </c>
      <c r="K25" s="13"/>
      <c r="L25" s="14"/>
    </row>
    <row r="26" spans="1:12" ht="12.75">
      <c r="A26" s="14" t="s">
        <v>70</v>
      </c>
      <c r="B26" s="14" t="s">
        <v>14</v>
      </c>
      <c r="C26" s="17" t="s">
        <v>18</v>
      </c>
      <c r="D26" s="17" t="s">
        <v>18</v>
      </c>
      <c r="E26" s="17" t="s">
        <v>71</v>
      </c>
      <c r="F26" s="17"/>
      <c r="G26" s="12">
        <v>7.1317551258113035E-4</v>
      </c>
      <c r="H26" s="12">
        <v>1.4658570748517077E-2</v>
      </c>
      <c r="I26" s="12">
        <v>9.34931506849315E-5</v>
      </c>
      <c r="J26" s="12">
        <v>3.5988659817351594E-4</v>
      </c>
      <c r="K26" s="13"/>
    </row>
    <row r="27" spans="1:12" ht="12.75">
      <c r="A27" s="14" t="s">
        <v>72</v>
      </c>
      <c r="B27" s="10" t="s">
        <v>14</v>
      </c>
      <c r="C27" s="17"/>
      <c r="D27" s="17"/>
      <c r="E27" s="17"/>
      <c r="F27" s="619">
        <v>43866</v>
      </c>
      <c r="G27" s="12">
        <v>0</v>
      </c>
      <c r="H27" s="12">
        <v>0</v>
      </c>
      <c r="I27" s="12">
        <v>0</v>
      </c>
      <c r="J27" s="12">
        <v>0</v>
      </c>
      <c r="K27" s="13"/>
      <c r="L27" s="14"/>
    </row>
    <row r="28" spans="1:12" ht="12.75">
      <c r="A28" s="14" t="s">
        <v>73</v>
      </c>
      <c r="B28" s="14" t="s">
        <v>14</v>
      </c>
      <c r="C28" s="17" t="s">
        <v>15</v>
      </c>
      <c r="D28" s="17" t="s">
        <v>74</v>
      </c>
      <c r="E28" s="17" t="s">
        <v>75</v>
      </c>
      <c r="F28" s="17"/>
      <c r="G28" s="12">
        <v>1.5676635966133333E-3</v>
      </c>
      <c r="H28" s="12">
        <v>7.7472873595999994E-3</v>
      </c>
      <c r="I28" s="12">
        <v>1.4584397163120569E-4</v>
      </c>
      <c r="J28" s="12">
        <v>7.7344115366430246E-4</v>
      </c>
      <c r="K28" s="13"/>
      <c r="L28" s="14"/>
    </row>
    <row r="29" spans="1:12" ht="12.75">
      <c r="A29" s="14" t="s">
        <v>76</v>
      </c>
      <c r="B29" s="14" t="s">
        <v>14</v>
      </c>
      <c r="C29" s="17" t="s">
        <v>15</v>
      </c>
      <c r="D29" s="17" t="s">
        <v>74</v>
      </c>
      <c r="E29" s="17" t="s">
        <v>75</v>
      </c>
      <c r="F29" s="17"/>
      <c r="G29" s="12">
        <v>1.7747135055999998E-3</v>
      </c>
      <c r="H29" s="12">
        <v>8.7705139919999984E-3</v>
      </c>
      <c r="I29" s="12">
        <v>1.651063829787234E-4</v>
      </c>
      <c r="J29" s="12">
        <v>6.7545804255319153E-4</v>
      </c>
      <c r="K29" s="13"/>
      <c r="L29" s="14"/>
    </row>
    <row r="30" spans="1:12" ht="12.75">
      <c r="A30" s="14" t="s">
        <v>77</v>
      </c>
      <c r="B30" s="14" t="s">
        <v>78</v>
      </c>
      <c r="C30" s="17" t="s">
        <v>78</v>
      </c>
      <c r="D30" s="17" t="s">
        <v>18</v>
      </c>
      <c r="E30" s="17" t="s">
        <v>18</v>
      </c>
      <c r="F30" s="17"/>
      <c r="G30" s="12">
        <v>0</v>
      </c>
      <c r="H30" s="12">
        <v>0</v>
      </c>
      <c r="I30" s="12">
        <v>0</v>
      </c>
      <c r="J30" s="12">
        <v>0</v>
      </c>
      <c r="K30" s="13"/>
    </row>
    <row r="31" spans="1:12" ht="12.75">
      <c r="A31" s="14" t="s">
        <v>79</v>
      </c>
      <c r="B31" s="14" t="s">
        <v>78</v>
      </c>
      <c r="C31" s="17" t="s">
        <v>18</v>
      </c>
      <c r="D31" s="17" t="s">
        <v>18</v>
      </c>
      <c r="E31" s="17" t="s">
        <v>25</v>
      </c>
      <c r="F31" s="17"/>
      <c r="G31" s="12">
        <v>1.3100000000000001E-2</v>
      </c>
      <c r="H31" s="12">
        <v>0.27117000000000002</v>
      </c>
      <c r="I31" s="12">
        <v>4.1E-5</v>
      </c>
      <c r="J31" s="12">
        <v>1.8699999999999999E-3</v>
      </c>
      <c r="K31" s="13"/>
      <c r="L31" s="14"/>
    </row>
    <row r="32" spans="1:12" ht="12.75">
      <c r="A32" s="14" t="s">
        <v>80</v>
      </c>
      <c r="B32" s="14" t="s">
        <v>78</v>
      </c>
      <c r="C32" s="17" t="s">
        <v>78</v>
      </c>
      <c r="D32" s="17" t="s">
        <v>18</v>
      </c>
      <c r="E32" s="17" t="s">
        <v>18</v>
      </c>
      <c r="F32" s="17"/>
      <c r="G32" s="12">
        <v>0</v>
      </c>
      <c r="H32" s="12">
        <v>0</v>
      </c>
      <c r="I32" s="12">
        <v>0</v>
      </c>
      <c r="J32" s="12">
        <v>0</v>
      </c>
      <c r="K32" s="13"/>
      <c r="L32" s="14"/>
    </row>
    <row r="33" spans="1:12" ht="12.75">
      <c r="A33" s="14" t="s">
        <v>81</v>
      </c>
      <c r="B33" s="14" t="s">
        <v>78</v>
      </c>
      <c r="C33" s="17" t="s">
        <v>18</v>
      </c>
      <c r="D33" s="17" t="s">
        <v>18</v>
      </c>
      <c r="E33" s="17" t="s">
        <v>25</v>
      </c>
      <c r="F33" s="17"/>
      <c r="G33" s="12">
        <v>1.9912385503783353E-2</v>
      </c>
      <c r="H33" s="12">
        <v>5.6949422540820388E-2</v>
      </c>
      <c r="I33" s="12">
        <v>3.8829151732377542E-3</v>
      </c>
      <c r="J33" s="12">
        <v>5.6321186778176026E-3</v>
      </c>
      <c r="K33" s="13"/>
      <c r="L33" s="14"/>
    </row>
    <row r="34" spans="1:12" ht="12.75">
      <c r="A34" s="14" t="s">
        <v>82</v>
      </c>
      <c r="B34" s="14" t="s">
        <v>78</v>
      </c>
      <c r="C34" s="17" t="s">
        <v>78</v>
      </c>
      <c r="D34" s="17" t="s">
        <v>18</v>
      </c>
      <c r="E34" s="17" t="s">
        <v>18</v>
      </c>
      <c r="F34" s="17"/>
      <c r="G34" s="12">
        <v>0</v>
      </c>
      <c r="H34" s="12">
        <v>0</v>
      </c>
      <c r="I34" s="12">
        <v>0</v>
      </c>
      <c r="J34" s="12">
        <v>0</v>
      </c>
      <c r="K34" s="13"/>
    </row>
    <row r="35" spans="1:12" ht="12.75">
      <c r="A35" s="14" t="s">
        <v>83</v>
      </c>
      <c r="B35" s="14" t="s">
        <v>78</v>
      </c>
      <c r="C35" s="17" t="s">
        <v>18</v>
      </c>
      <c r="D35" s="17" t="s">
        <v>18</v>
      </c>
      <c r="E35" s="17" t="s">
        <v>84</v>
      </c>
      <c r="F35" s="17"/>
      <c r="G35" s="12">
        <v>0</v>
      </c>
      <c r="H35" s="12">
        <v>0</v>
      </c>
      <c r="I35" s="12">
        <v>0</v>
      </c>
      <c r="J35" s="12">
        <v>0</v>
      </c>
      <c r="K35" s="13"/>
      <c r="L35" s="14"/>
    </row>
    <row r="36" spans="1:12" ht="12.75">
      <c r="A36" s="14" t="s">
        <v>85</v>
      </c>
      <c r="B36" s="14" t="s">
        <v>78</v>
      </c>
      <c r="C36" s="17" t="s">
        <v>55</v>
      </c>
      <c r="D36" s="17" t="s">
        <v>18</v>
      </c>
      <c r="E36" s="17" t="s">
        <v>25</v>
      </c>
      <c r="F36" s="17"/>
      <c r="G36" s="12">
        <v>2.0262392565709405E-4</v>
      </c>
      <c r="H36" s="12">
        <v>1.0885928720785719E-2</v>
      </c>
      <c r="I36" s="12">
        <v>6.2837933649623454E-6</v>
      </c>
      <c r="J36" s="12">
        <v>4.6142098112569087E-5</v>
      </c>
      <c r="K36" s="13"/>
    </row>
    <row r="37" spans="1:12" ht="12.75">
      <c r="A37" s="14" t="s">
        <v>86</v>
      </c>
      <c r="B37" s="14" t="s">
        <v>78</v>
      </c>
      <c r="C37" s="17" t="s">
        <v>18</v>
      </c>
      <c r="D37" s="17" t="s">
        <v>18</v>
      </c>
      <c r="E37" s="17" t="s">
        <v>87</v>
      </c>
      <c r="F37" s="17"/>
      <c r="G37" s="12">
        <v>0</v>
      </c>
      <c r="H37" s="12">
        <v>0</v>
      </c>
      <c r="I37" s="12">
        <v>0</v>
      </c>
      <c r="J37" s="12">
        <v>0</v>
      </c>
      <c r="K37" s="13"/>
      <c r="L37" s="14"/>
    </row>
    <row r="38" spans="1:12" ht="12.75">
      <c r="A38" s="14" t="s">
        <v>88</v>
      </c>
      <c r="B38" s="10" t="s">
        <v>89</v>
      </c>
      <c r="C38" s="17" t="s">
        <v>90</v>
      </c>
      <c r="D38" s="17" t="s">
        <v>88</v>
      </c>
      <c r="E38" s="17" t="s">
        <v>91</v>
      </c>
      <c r="F38" s="17"/>
      <c r="G38" s="12">
        <v>5.5280749052132698E-2</v>
      </c>
      <c r="H38" s="12">
        <v>0.16253532298578199</v>
      </c>
      <c r="I38" s="12">
        <v>1.0836239353080568E-3</v>
      </c>
      <c r="J38" s="12">
        <v>1.0196349526066351E-2</v>
      </c>
      <c r="K38" s="18"/>
      <c r="L38" s="14"/>
    </row>
    <row r="39" spans="1:12" ht="12.75">
      <c r="A39" s="14" t="s">
        <v>92</v>
      </c>
      <c r="B39" s="10" t="s">
        <v>89</v>
      </c>
      <c r="C39" s="17" t="s">
        <v>90</v>
      </c>
      <c r="D39" s="17" t="s">
        <v>92</v>
      </c>
      <c r="E39" s="17" t="s">
        <v>93</v>
      </c>
      <c r="F39" s="17"/>
      <c r="G39" s="12">
        <v>4.7583080568720385E-3</v>
      </c>
      <c r="H39" s="12">
        <v>1.399027962085308E-2</v>
      </c>
      <c r="I39" s="12">
        <v>9.3273274881516596E-5</v>
      </c>
      <c r="J39" s="12">
        <v>8.7765402843601901E-4</v>
      </c>
      <c r="K39" s="18"/>
      <c r="L39" s="14"/>
    </row>
    <row r="40" spans="1:12" ht="12.75">
      <c r="A40" s="14" t="s">
        <v>94</v>
      </c>
      <c r="B40" s="14" t="s">
        <v>89</v>
      </c>
      <c r="C40" s="17" t="s">
        <v>90</v>
      </c>
      <c r="D40" s="17" t="s">
        <v>94</v>
      </c>
      <c r="E40" s="17" t="s">
        <v>95</v>
      </c>
      <c r="F40" s="17"/>
      <c r="G40" s="12">
        <v>4.8143999999999999E-2</v>
      </c>
      <c r="H40" s="12">
        <v>0.14155200000000001</v>
      </c>
      <c r="I40" s="12">
        <v>9.4372800000000001E-4</v>
      </c>
      <c r="J40" s="12">
        <v>8.8800000000000007E-3</v>
      </c>
      <c r="K40" s="18"/>
      <c r="L40" s="14"/>
    </row>
    <row r="41" spans="1:12" ht="12.75">
      <c r="A41" s="14" t="s">
        <v>96</v>
      </c>
      <c r="B41" s="14" t="s">
        <v>89</v>
      </c>
      <c r="C41" s="17" t="s">
        <v>90</v>
      </c>
      <c r="D41" s="17" t="s">
        <v>96</v>
      </c>
      <c r="E41" s="19" t="s">
        <v>97</v>
      </c>
      <c r="F41" s="19"/>
      <c r="G41" s="12">
        <v>4.2126000000000004E-2</v>
      </c>
      <c r="H41" s="12">
        <v>0.123858</v>
      </c>
      <c r="I41" s="12">
        <v>8.2576200000000007E-4</v>
      </c>
      <c r="J41" s="12">
        <v>7.77E-3</v>
      </c>
      <c r="K41" s="18"/>
      <c r="L41" s="14"/>
    </row>
    <row r="42" spans="1:12" ht="12.75">
      <c r="A42" s="14" t="s">
        <v>98</v>
      </c>
      <c r="B42" s="14" t="s">
        <v>89</v>
      </c>
      <c r="C42" s="17" t="s">
        <v>90</v>
      </c>
      <c r="D42" s="17" t="s">
        <v>98</v>
      </c>
      <c r="E42" s="17" t="s">
        <v>99</v>
      </c>
      <c r="F42" s="17"/>
      <c r="G42" s="12">
        <v>2.1063000000000002E-2</v>
      </c>
      <c r="H42" s="12">
        <v>6.1928999999999998E-2</v>
      </c>
      <c r="I42" s="12">
        <v>4.1288100000000003E-4</v>
      </c>
      <c r="J42" s="12">
        <v>3.885E-3</v>
      </c>
      <c r="K42" s="18"/>
      <c r="L42" s="14"/>
    </row>
    <row r="43" spans="1:12" ht="12.75">
      <c r="A43" s="14" t="s">
        <v>100</v>
      </c>
      <c r="B43" s="14" t="s">
        <v>89</v>
      </c>
      <c r="C43" s="17" t="s">
        <v>90</v>
      </c>
      <c r="D43" s="17" t="s">
        <v>101</v>
      </c>
      <c r="E43" s="19" t="s">
        <v>102</v>
      </c>
      <c r="F43" s="19"/>
      <c r="G43" s="12">
        <v>9.8563298630136974E-3</v>
      </c>
      <c r="H43" s="12">
        <v>2.8979378630136984E-2</v>
      </c>
      <c r="I43" s="12">
        <v>1.9320568438356163E-4</v>
      </c>
      <c r="J43" s="12">
        <v>1.8179671232876713E-3</v>
      </c>
      <c r="K43" s="18"/>
      <c r="L43" s="14"/>
    </row>
    <row r="44" spans="1:12" ht="12.75">
      <c r="A44" s="14" t="s">
        <v>103</v>
      </c>
      <c r="B44" s="14" t="s">
        <v>89</v>
      </c>
      <c r="C44" s="17" t="s">
        <v>90</v>
      </c>
      <c r="D44" s="17" t="s">
        <v>103</v>
      </c>
      <c r="E44" s="19" t="s">
        <v>104</v>
      </c>
      <c r="F44" s="19"/>
      <c r="G44" s="12">
        <v>2.9198708530805688E-2</v>
      </c>
      <c r="H44" s="12">
        <v>8.5849443127962083E-2</v>
      </c>
      <c r="I44" s="12">
        <v>5.7235873222748809E-4</v>
      </c>
      <c r="J44" s="12">
        <v>5.3856042654028434E-3</v>
      </c>
      <c r="K44" s="18"/>
      <c r="L44" s="14"/>
    </row>
    <row r="45" spans="1:12" ht="12.75">
      <c r="A45" s="14" t="s">
        <v>105</v>
      </c>
      <c r="B45" s="10" t="s">
        <v>89</v>
      </c>
      <c r="C45" s="17" t="s">
        <v>90</v>
      </c>
      <c r="D45" s="17" t="s">
        <v>106</v>
      </c>
      <c r="E45" s="17" t="s">
        <v>107</v>
      </c>
      <c r="F45" s="17"/>
      <c r="G45" s="12">
        <v>2.2755265402843606E-2</v>
      </c>
      <c r="H45" s="12">
        <v>6.690456398104265E-2</v>
      </c>
      <c r="I45" s="12">
        <v>4.4605311374407592E-4</v>
      </c>
      <c r="J45" s="12">
        <v>4.197132701421801E-3</v>
      </c>
      <c r="K45" s="18"/>
      <c r="L45" s="14"/>
    </row>
    <row r="46" spans="1:12" ht="12.75">
      <c r="A46" s="14" t="s">
        <v>108</v>
      </c>
      <c r="B46" s="14" t="s">
        <v>89</v>
      </c>
      <c r="C46" s="17" t="s">
        <v>90</v>
      </c>
      <c r="D46" s="17" t="s">
        <v>109</v>
      </c>
      <c r="E46" s="17" t="s">
        <v>110</v>
      </c>
      <c r="F46" s="17"/>
      <c r="G46" s="12">
        <v>1.5483515402843602E-2</v>
      </c>
      <c r="H46" s="12">
        <v>4.5524313981042654E-2</v>
      </c>
      <c r="I46" s="12">
        <v>3.0351086374407588E-4</v>
      </c>
      <c r="J46" s="12">
        <v>2.8558827014218014E-3</v>
      </c>
      <c r="K46" s="18"/>
      <c r="L46" s="14"/>
    </row>
    <row r="47" spans="1:12" ht="12.75">
      <c r="A47" s="14" t="s">
        <v>111</v>
      </c>
      <c r="B47" s="10" t="s">
        <v>89</v>
      </c>
      <c r="C47" s="17" t="s">
        <v>90</v>
      </c>
      <c r="D47" s="17" t="s">
        <v>112</v>
      </c>
      <c r="E47" s="17" t="s">
        <v>113</v>
      </c>
      <c r="F47" s="17"/>
      <c r="G47" s="12">
        <v>1.7908303554502368E-2</v>
      </c>
      <c r="H47" s="12">
        <v>5.2653626303317533E-2</v>
      </c>
      <c r="I47" s="12">
        <v>3.5104203009478677E-4</v>
      </c>
      <c r="J47" s="12">
        <v>3.3031267772511848E-3</v>
      </c>
      <c r="K47" s="18"/>
      <c r="L47" s="14"/>
    </row>
    <row r="48" spans="1:12" ht="12.75">
      <c r="A48" s="14" t="s">
        <v>114</v>
      </c>
      <c r="B48" s="10" t="s">
        <v>89</v>
      </c>
      <c r="C48" s="17" t="s">
        <v>90</v>
      </c>
      <c r="D48" s="17" t="s">
        <v>115</v>
      </c>
      <c r="E48" s="15" t="s">
        <v>116</v>
      </c>
      <c r="F48" s="15"/>
      <c r="G48" s="12">
        <v>4.9087580568720375E-3</v>
      </c>
      <c r="H48" s="12">
        <v>1.4432629620853081E-2</v>
      </c>
      <c r="I48" s="12">
        <v>9.6222424881516595E-5</v>
      </c>
      <c r="J48" s="12">
        <v>9.0540402843601901E-4</v>
      </c>
      <c r="K48" s="18"/>
      <c r="L48" s="14"/>
    </row>
    <row r="49" spans="1:14" ht="12.75">
      <c r="A49" s="14" t="s">
        <v>117</v>
      </c>
      <c r="B49" s="10" t="s">
        <v>89</v>
      </c>
      <c r="C49" s="17" t="s">
        <v>90</v>
      </c>
      <c r="D49" s="17" t="s">
        <v>118</v>
      </c>
      <c r="E49" s="15" t="s">
        <v>119</v>
      </c>
      <c r="F49" s="15"/>
      <c r="G49" s="12">
        <v>5.2598080568720387E-3</v>
      </c>
      <c r="H49" s="12">
        <v>1.5464779620853082E-2</v>
      </c>
      <c r="I49" s="12">
        <v>1.0310377488151661E-4</v>
      </c>
      <c r="J49" s="12">
        <v>9.7015402843601893E-4</v>
      </c>
      <c r="K49" s="18"/>
      <c r="L49" s="14"/>
    </row>
    <row r="50" spans="1:14" ht="12.75">
      <c r="A50" s="14" t="s">
        <v>120</v>
      </c>
      <c r="B50" s="10" t="s">
        <v>89</v>
      </c>
      <c r="C50" s="17" t="s">
        <v>90</v>
      </c>
      <c r="D50" s="17" t="s">
        <v>121</v>
      </c>
      <c r="E50" s="17" t="s">
        <v>122</v>
      </c>
      <c r="F50" s="17"/>
      <c r="G50" s="12">
        <v>4.1127278199052132E-2</v>
      </c>
      <c r="H50" s="12">
        <v>0.12092157867298578</v>
      </c>
      <c r="I50" s="12">
        <v>8.0618486208530824E-4</v>
      </c>
      <c r="J50" s="12">
        <v>7.5857890995260661E-3</v>
      </c>
      <c r="K50" s="18"/>
      <c r="L50" s="14"/>
    </row>
    <row r="51" spans="1:14" ht="12.75">
      <c r="A51" s="14" t="s">
        <v>123</v>
      </c>
      <c r="B51" s="10" t="s">
        <v>89</v>
      </c>
      <c r="C51" s="17" t="s">
        <v>90</v>
      </c>
      <c r="D51" s="17" t="s">
        <v>124</v>
      </c>
      <c r="E51" s="15" t="s">
        <v>125</v>
      </c>
      <c r="F51" s="15"/>
      <c r="G51" s="12">
        <v>3.9416473933649287E-3</v>
      </c>
      <c r="H51" s="12">
        <v>1.1589150710900475E-2</v>
      </c>
      <c r="I51" s="12">
        <v>7.7264934597156404E-5</v>
      </c>
      <c r="J51" s="12">
        <v>7.2702369668246447E-4</v>
      </c>
      <c r="K51" s="18"/>
      <c r="L51" s="14"/>
    </row>
    <row r="52" spans="1:14" ht="12.75">
      <c r="A52" s="14" t="s">
        <v>126</v>
      </c>
      <c r="B52" s="10" t="s">
        <v>89</v>
      </c>
      <c r="C52" s="17" t="s">
        <v>90</v>
      </c>
      <c r="D52" s="17" t="s">
        <v>126</v>
      </c>
      <c r="E52" s="17" t="s">
        <v>127</v>
      </c>
      <c r="F52" s="17"/>
      <c r="G52" s="12">
        <v>6.0179999999999999E-3</v>
      </c>
      <c r="H52" s="20">
        <v>1.7694000000000001E-2</v>
      </c>
      <c r="I52" s="12">
        <v>1.17966E-4</v>
      </c>
      <c r="J52" s="12">
        <v>1.1100000000000001E-3</v>
      </c>
      <c r="K52" s="18"/>
      <c r="L52" s="14"/>
    </row>
    <row r="53" spans="1:14" ht="12.75">
      <c r="A53" s="14" t="s">
        <v>128</v>
      </c>
      <c r="B53" s="10" t="s">
        <v>89</v>
      </c>
      <c r="C53" s="17" t="s">
        <v>90</v>
      </c>
      <c r="D53" s="17" t="s">
        <v>128</v>
      </c>
      <c r="E53" s="17" t="s">
        <v>129</v>
      </c>
      <c r="F53" s="17"/>
      <c r="G53" s="12">
        <v>1.42078990521327E-2</v>
      </c>
      <c r="H53" s="12">
        <v>4.1773772985781985E-2</v>
      </c>
      <c r="I53" s="12">
        <v>2.785059853080569E-4</v>
      </c>
      <c r="J53" s="12">
        <v>2.6205995260663506E-3</v>
      </c>
      <c r="K53" s="18"/>
      <c r="L53" s="14"/>
    </row>
    <row r="54" spans="1:14" ht="12.75">
      <c r="A54" s="14" t="s">
        <v>130</v>
      </c>
      <c r="B54" s="10" t="s">
        <v>89</v>
      </c>
      <c r="C54" s="17" t="s">
        <v>90</v>
      </c>
      <c r="D54" s="17" t="s">
        <v>131</v>
      </c>
      <c r="E54" s="17" t="s">
        <v>132</v>
      </c>
      <c r="F54" s="17"/>
      <c r="G54" s="12">
        <v>4.0401172748815169E-2</v>
      </c>
      <c r="H54" s="12">
        <v>0.11878669834123222</v>
      </c>
      <c r="I54" s="12">
        <v>7.919516026066351E-4</v>
      </c>
      <c r="J54" s="12">
        <v>7.4518613744075819E-3</v>
      </c>
      <c r="K54" s="18"/>
      <c r="L54" s="14"/>
      <c r="M54" s="14"/>
      <c r="N54" s="14"/>
    </row>
    <row r="55" spans="1:14" ht="12.75">
      <c r="A55" s="14" t="s">
        <v>133</v>
      </c>
      <c r="B55" s="10" t="s">
        <v>89</v>
      </c>
      <c r="C55" s="17" t="s">
        <v>90</v>
      </c>
      <c r="D55" s="17" t="s">
        <v>134</v>
      </c>
      <c r="E55" s="17" t="s">
        <v>135</v>
      </c>
      <c r="F55" s="17"/>
      <c r="G55" s="12">
        <v>3.0177940758293843E-3</v>
      </c>
      <c r="H55" s="12">
        <v>8.8728561611374421E-3</v>
      </c>
      <c r="I55" s="12">
        <v>5.9155383175355464E-5</v>
      </c>
      <c r="J55" s="12">
        <v>5.56622037914692E-4</v>
      </c>
      <c r="K55" s="18"/>
      <c r="L55" s="14"/>
    </row>
    <row r="56" spans="1:14" ht="12.75">
      <c r="A56" s="14" t="s">
        <v>136</v>
      </c>
      <c r="B56" s="10" t="s">
        <v>89</v>
      </c>
      <c r="C56" s="17" t="s">
        <v>90</v>
      </c>
      <c r="D56" s="17" t="s">
        <v>136</v>
      </c>
      <c r="E56" s="17" t="s">
        <v>137</v>
      </c>
      <c r="F56" s="17"/>
      <c r="G56" s="12">
        <v>5.688340995260663E-3</v>
      </c>
      <c r="H56" s="12">
        <v>1.672474336492891E-2</v>
      </c>
      <c r="I56" s="12">
        <v>1.1150396042654029E-4</v>
      </c>
      <c r="J56" s="12">
        <v>1.0491954976303319E-3</v>
      </c>
      <c r="K56" s="18"/>
      <c r="L56" s="14"/>
    </row>
    <row r="57" spans="1:14" ht="12.75">
      <c r="A57" s="10" t="s">
        <v>138</v>
      </c>
      <c r="B57" s="10" t="s">
        <v>139</v>
      </c>
      <c r="C57" s="17" t="s">
        <v>139</v>
      </c>
      <c r="D57" s="15" t="s">
        <v>140</v>
      </c>
      <c r="E57" s="17" t="s">
        <v>141</v>
      </c>
      <c r="F57" s="17"/>
      <c r="G57" s="12">
        <v>4.0165275294130297E-3</v>
      </c>
      <c r="H57" s="12">
        <v>3.2725331200335404E-2</v>
      </c>
      <c r="I57" s="12">
        <v>2.4399999999999999E-4</v>
      </c>
      <c r="J57" s="12">
        <v>2.0392735E-3</v>
      </c>
      <c r="K57" s="13"/>
      <c r="L57" s="14"/>
    </row>
    <row r="58" spans="1:14" ht="12.75">
      <c r="A58" s="10" t="s">
        <v>142</v>
      </c>
      <c r="B58" s="10" t="s">
        <v>139</v>
      </c>
      <c r="C58" s="17" t="s">
        <v>139</v>
      </c>
      <c r="D58" s="15" t="s">
        <v>140</v>
      </c>
      <c r="E58" s="11" t="s">
        <v>143</v>
      </c>
      <c r="F58" s="17"/>
      <c r="G58" s="12">
        <v>4.0165275294130297E-3</v>
      </c>
      <c r="H58" s="12">
        <v>3.2725331200335404E-2</v>
      </c>
      <c r="I58" s="12">
        <v>2.4399999999999999E-4</v>
      </c>
      <c r="J58" s="12">
        <v>2.0392735E-3</v>
      </c>
      <c r="K58" s="13"/>
      <c r="L58" s="14"/>
    </row>
    <row r="59" spans="1:14" ht="12.75">
      <c r="A59" s="10" t="s">
        <v>144</v>
      </c>
      <c r="B59" s="10" t="s">
        <v>139</v>
      </c>
      <c r="C59" s="17" t="s">
        <v>139</v>
      </c>
      <c r="D59" s="15" t="s">
        <v>140</v>
      </c>
      <c r="E59" s="17" t="s">
        <v>145</v>
      </c>
      <c r="F59" s="17"/>
      <c r="G59" s="12">
        <v>4.0165275294130297E-3</v>
      </c>
      <c r="H59" s="12">
        <v>3.2725331200335404E-2</v>
      </c>
      <c r="I59" s="12">
        <v>2.4399999999999999E-4</v>
      </c>
      <c r="J59" s="12">
        <v>2.0392735E-3</v>
      </c>
      <c r="K59" s="13"/>
      <c r="L59" s="14"/>
    </row>
    <row r="60" spans="1:14" ht="12.75">
      <c r="A60" s="10" t="s">
        <v>146</v>
      </c>
      <c r="B60" s="10" t="s">
        <v>139</v>
      </c>
      <c r="C60" s="17" t="s">
        <v>139</v>
      </c>
      <c r="D60" s="15" t="s">
        <v>140</v>
      </c>
      <c r="E60" s="17" t="s">
        <v>145</v>
      </c>
      <c r="F60" s="17"/>
      <c r="G60" s="12">
        <v>4.0165275294130297E-3</v>
      </c>
      <c r="H60" s="12">
        <v>3.2725331200335404E-2</v>
      </c>
      <c r="I60" s="12">
        <v>2.4399999999999999E-4</v>
      </c>
      <c r="J60" s="12">
        <v>2.0392735E-3</v>
      </c>
      <c r="K60" s="13"/>
      <c r="L60" s="14"/>
    </row>
    <row r="61" spans="1:14" ht="12.75">
      <c r="A61" s="14" t="s">
        <v>147</v>
      </c>
      <c r="B61" s="10" t="s">
        <v>148</v>
      </c>
      <c r="C61" s="17" t="s">
        <v>15</v>
      </c>
      <c r="D61" s="17" t="s">
        <v>147</v>
      </c>
      <c r="E61" s="16" t="s">
        <v>149</v>
      </c>
      <c r="F61" s="16"/>
      <c r="G61" s="12">
        <v>5.3660800389999995E-4</v>
      </c>
      <c r="H61" s="12">
        <v>2.8929604629999999E-3</v>
      </c>
      <c r="I61" s="12">
        <v>1.75E-4</v>
      </c>
      <c r="J61" s="12">
        <v>2.6107342105263152E-4</v>
      </c>
      <c r="K61" s="13"/>
      <c r="L61" s="14"/>
    </row>
    <row r="62" spans="1:14" ht="12.75">
      <c r="A62" s="14" t="s">
        <v>150</v>
      </c>
      <c r="B62" s="10" t="s">
        <v>148</v>
      </c>
      <c r="C62" s="17" t="s">
        <v>15</v>
      </c>
      <c r="D62" s="17" t="s">
        <v>151</v>
      </c>
      <c r="E62" s="21" t="s">
        <v>152</v>
      </c>
      <c r="F62" s="16"/>
      <c r="G62" s="12">
        <v>2.5076104797634611E-3</v>
      </c>
      <c r="H62" s="12">
        <v>1.3519026779019229E-2</v>
      </c>
      <c r="I62" s="12">
        <v>8.1778846153846159E-4</v>
      </c>
      <c r="J62" s="12">
        <v>1.2200161793711538E-3</v>
      </c>
      <c r="K62" s="13"/>
      <c r="M62" s="14"/>
      <c r="N62" s="14"/>
    </row>
    <row r="63" spans="1:14" ht="12.75">
      <c r="A63" s="10" t="s">
        <v>153</v>
      </c>
      <c r="B63" s="10" t="s">
        <v>148</v>
      </c>
      <c r="C63" s="17" t="s">
        <v>15</v>
      </c>
      <c r="D63" s="17" t="s">
        <v>154</v>
      </c>
      <c r="E63" s="11" t="s">
        <v>155</v>
      </c>
      <c r="F63" s="17"/>
      <c r="G63" s="12">
        <v>7.1773844620122602E-3</v>
      </c>
      <c r="H63" s="12">
        <v>6.7715737224996325E-2</v>
      </c>
      <c r="I63" s="12">
        <v>2.6813386525249999E-3</v>
      </c>
      <c r="J63" s="12">
        <v>1.1775586996833334E-3</v>
      </c>
      <c r="K63" s="13"/>
      <c r="L63" s="14"/>
    </row>
    <row r="64" spans="1:14" ht="12.75">
      <c r="A64" s="14" t="s">
        <v>156</v>
      </c>
      <c r="B64" s="10" t="s">
        <v>148</v>
      </c>
      <c r="C64" s="17" t="s">
        <v>148</v>
      </c>
      <c r="D64" s="17" t="s">
        <v>157</v>
      </c>
      <c r="E64" s="11" t="s">
        <v>155</v>
      </c>
      <c r="F64" s="17"/>
      <c r="G64" s="12">
        <v>1.4295205567493299E-3</v>
      </c>
      <c r="H64" s="12">
        <v>1.3486951812447402E-2</v>
      </c>
      <c r="I64" s="12">
        <v>5.3404255319148934E-4</v>
      </c>
      <c r="J64" s="12">
        <v>2.3453451278550826E-4</v>
      </c>
      <c r="K64" s="13"/>
      <c r="L64" s="14"/>
      <c r="N64" s="14"/>
    </row>
    <row r="65" spans="1:14" ht="12.75">
      <c r="A65" s="10" t="s">
        <v>158</v>
      </c>
      <c r="B65" s="10" t="s">
        <v>148</v>
      </c>
      <c r="C65" s="17" t="s">
        <v>15</v>
      </c>
      <c r="D65" s="15" t="s">
        <v>158</v>
      </c>
      <c r="E65" s="17" t="s">
        <v>159</v>
      </c>
      <c r="F65" s="17"/>
      <c r="G65" s="12">
        <v>4.2641079069014702E-3</v>
      </c>
      <c r="H65" s="12">
        <v>3.0172608007591802E-2</v>
      </c>
      <c r="I65" s="12">
        <v>3.7733333333333331E-4</v>
      </c>
      <c r="J65" s="12">
        <v>1.0254471294296212E-3</v>
      </c>
      <c r="K65" s="13"/>
      <c r="L65" s="14"/>
    </row>
    <row r="66" spans="1:14" ht="12.75">
      <c r="A66" s="14" t="s">
        <v>160</v>
      </c>
      <c r="B66" s="10" t="s">
        <v>148</v>
      </c>
      <c r="C66" s="17" t="s">
        <v>15</v>
      </c>
      <c r="D66" s="17" t="s">
        <v>160</v>
      </c>
      <c r="E66" s="17" t="s">
        <v>161</v>
      </c>
      <c r="F66" s="17"/>
      <c r="G66" s="12">
        <v>6.0223214285714296E-4</v>
      </c>
      <c r="H66" s="12">
        <v>6.2001687102860702E-3</v>
      </c>
      <c r="I66" s="12">
        <v>1.4264705882352941E-4</v>
      </c>
      <c r="J66" s="12">
        <v>3.8905136826772536E-4</v>
      </c>
      <c r="K66" s="13"/>
    </row>
    <row r="67" spans="1:14" ht="12.75">
      <c r="A67" s="14" t="s">
        <v>162</v>
      </c>
      <c r="B67" s="10" t="s">
        <v>148</v>
      </c>
      <c r="C67" s="17" t="s">
        <v>15</v>
      </c>
      <c r="D67" s="17" t="s">
        <v>162</v>
      </c>
      <c r="E67" s="17" t="s">
        <v>163</v>
      </c>
      <c r="F67" s="17"/>
      <c r="G67" s="12">
        <v>2.0907198096371199E-3</v>
      </c>
      <c r="H67" s="12">
        <v>1.7024640721375099E-2</v>
      </c>
      <c r="I67" s="12">
        <v>3.6304347826086956E-4</v>
      </c>
      <c r="J67" s="12">
        <v>9.106057387715603E-4</v>
      </c>
      <c r="K67" s="148"/>
      <c r="L67" s="148"/>
      <c r="M67" s="148"/>
      <c r="N67" s="148"/>
    </row>
    <row r="68" spans="1:14" ht="12.75">
      <c r="A68" s="14" t="s">
        <v>164</v>
      </c>
      <c r="B68" s="10" t="s">
        <v>148</v>
      </c>
      <c r="C68" s="17" t="s">
        <v>15</v>
      </c>
      <c r="D68" s="17" t="s">
        <v>165</v>
      </c>
      <c r="E68" s="11" t="s">
        <v>166</v>
      </c>
      <c r="F68" s="17"/>
      <c r="G68" s="12">
        <v>5.8970014450866999E-3</v>
      </c>
      <c r="H68" s="12">
        <v>9.2947174052665296E-2</v>
      </c>
      <c r="I68" s="12">
        <v>5.3866776803454815E-5</v>
      </c>
      <c r="J68" s="12">
        <v>2.6455493042205327E-4</v>
      </c>
    </row>
    <row r="69" spans="1:14" ht="12.75">
      <c r="A69" s="14" t="s">
        <v>167</v>
      </c>
      <c r="B69" s="10" t="s">
        <v>148</v>
      </c>
      <c r="C69" s="17" t="s">
        <v>15</v>
      </c>
      <c r="D69" s="17" t="s">
        <v>168</v>
      </c>
      <c r="E69" s="17" t="s">
        <v>169</v>
      </c>
      <c r="F69" s="17"/>
      <c r="G69" s="12">
        <v>8.2032589126726171E-4</v>
      </c>
      <c r="H69" s="12">
        <v>3.6778523489932879E-3</v>
      </c>
      <c r="I69" s="12">
        <v>1.0800000000000001E-4</v>
      </c>
      <c r="J69" s="12">
        <v>1.4179999999999998E-3</v>
      </c>
      <c r="K69" s="13"/>
      <c r="L69" s="14"/>
    </row>
    <row r="70" spans="1:14" ht="12.75">
      <c r="A70" s="14" t="s">
        <v>170</v>
      </c>
      <c r="B70" s="10" t="s">
        <v>148</v>
      </c>
      <c r="C70" s="17" t="s">
        <v>15</v>
      </c>
      <c r="D70" s="17" t="s">
        <v>171</v>
      </c>
      <c r="E70" s="17" t="s">
        <v>169</v>
      </c>
      <c r="F70" s="17"/>
      <c r="G70" s="12">
        <v>1.2077020065879129E-3</v>
      </c>
      <c r="H70" s="12">
        <v>5.4146159582401177E-3</v>
      </c>
      <c r="I70" s="12">
        <v>1.5899999999999999E-4</v>
      </c>
      <c r="J70" s="12">
        <v>2.0876111111111108E-3</v>
      </c>
      <c r="K70" s="13"/>
      <c r="L70" s="14"/>
    </row>
    <row r="71" spans="1:14" ht="12.75">
      <c r="A71" s="10" t="s">
        <v>172</v>
      </c>
      <c r="B71" s="10" t="s">
        <v>148</v>
      </c>
      <c r="C71" s="17" t="s">
        <v>15</v>
      </c>
      <c r="D71" s="17" t="s">
        <v>172</v>
      </c>
      <c r="E71" s="11" t="s">
        <v>155</v>
      </c>
      <c r="F71" s="17"/>
      <c r="G71" s="12">
        <v>1.08830216354969E-3</v>
      </c>
      <c r="H71" s="12">
        <v>1.5829360713849203E-2</v>
      </c>
      <c r="I71" s="12">
        <v>1.8085106382978726E-4</v>
      </c>
      <c r="J71" s="12">
        <v>8.1696188617021279E-4</v>
      </c>
      <c r="K71" s="13"/>
      <c r="L71" s="14"/>
    </row>
    <row r="72" spans="1:14" ht="12.75">
      <c r="A72" s="14" t="s">
        <v>173</v>
      </c>
      <c r="B72" s="10" t="s">
        <v>148</v>
      </c>
      <c r="C72" s="17" t="s">
        <v>15</v>
      </c>
      <c r="D72" s="17" t="s">
        <v>174</v>
      </c>
      <c r="E72" s="17" t="s">
        <v>175</v>
      </c>
      <c r="F72" s="17"/>
      <c r="G72" s="12">
        <v>1.109195941E-3</v>
      </c>
      <c r="H72" s="12">
        <v>5.4815712449999996E-3</v>
      </c>
      <c r="I72" s="12">
        <v>1.0319148936170213E-4</v>
      </c>
      <c r="J72" s="12">
        <v>6.1760631205673758E-4</v>
      </c>
      <c r="K72" s="13"/>
      <c r="L72" s="14"/>
    </row>
    <row r="73" spans="1:14" ht="12.75">
      <c r="A73" s="14" t="s">
        <v>176</v>
      </c>
      <c r="B73" s="10" t="s">
        <v>148</v>
      </c>
      <c r="C73" s="17" t="s">
        <v>15</v>
      </c>
      <c r="D73" s="17" t="s">
        <v>177</v>
      </c>
      <c r="E73" s="17" t="s">
        <v>178</v>
      </c>
      <c r="F73" s="17"/>
      <c r="G73" s="12">
        <v>4.8065157443333336E-3</v>
      </c>
      <c r="H73" s="12">
        <v>2.3753475394999998E-2</v>
      </c>
      <c r="I73" s="12">
        <v>4.4716312056737589E-4</v>
      </c>
      <c r="J73" s="12">
        <v>1.378834501718213E-3</v>
      </c>
      <c r="K73" s="13"/>
    </row>
    <row r="74" spans="1:14" ht="12.75">
      <c r="A74" s="14" t="s">
        <v>174</v>
      </c>
      <c r="B74" s="10" t="s">
        <v>148</v>
      </c>
      <c r="C74" s="17" t="s">
        <v>15</v>
      </c>
      <c r="D74" s="17" t="s">
        <v>173</v>
      </c>
      <c r="E74" s="17" t="s">
        <v>179</v>
      </c>
      <c r="F74" s="17"/>
      <c r="G74" s="12">
        <v>1.109195941E-3</v>
      </c>
      <c r="H74" s="12">
        <v>5.4815712449999996E-3</v>
      </c>
      <c r="I74" s="12">
        <v>1.0319148936170213E-4</v>
      </c>
      <c r="J74" s="12">
        <v>3.8698117021276597E-4</v>
      </c>
      <c r="K74" s="13"/>
      <c r="L74" s="14"/>
    </row>
    <row r="75" spans="1:14" ht="12.75">
      <c r="A75" s="14" t="s">
        <v>180</v>
      </c>
      <c r="B75" s="10" t="s">
        <v>148</v>
      </c>
      <c r="C75" s="17" t="s">
        <v>15</v>
      </c>
      <c r="D75" s="620" t="s">
        <v>173</v>
      </c>
      <c r="E75" s="17" t="s">
        <v>179</v>
      </c>
      <c r="F75" s="17"/>
      <c r="G75" s="12">
        <v>1.109195941E-3</v>
      </c>
      <c r="H75" s="12">
        <v>5.4815712449999996E-3</v>
      </c>
      <c r="I75" s="12">
        <v>1.0319148936170213E-4</v>
      </c>
      <c r="J75" s="12">
        <v>5.0229370000000003E-4</v>
      </c>
      <c r="K75" s="13"/>
      <c r="L75" s="14"/>
    </row>
    <row r="76" spans="1:14" ht="12.75">
      <c r="A76" s="14" t="s">
        <v>181</v>
      </c>
      <c r="B76" s="14" t="s">
        <v>148</v>
      </c>
      <c r="C76" s="17" t="s">
        <v>182</v>
      </c>
      <c r="D76" s="620" t="s">
        <v>182</v>
      </c>
      <c r="E76" s="11" t="s">
        <v>183</v>
      </c>
      <c r="F76" s="17"/>
      <c r="G76" s="12">
        <v>9.6530647293316797E-4</v>
      </c>
      <c r="H76" s="12">
        <v>1.9624016847597899E-2</v>
      </c>
      <c r="I76" s="12">
        <v>1.5714285714285716E-4</v>
      </c>
      <c r="J76" s="12">
        <v>6.7713464334216039E-4</v>
      </c>
      <c r="K76" s="13"/>
    </row>
    <row r="77" spans="1:14" ht="12.75">
      <c r="A77" s="10" t="s">
        <v>184</v>
      </c>
      <c r="B77" s="10" t="s">
        <v>148</v>
      </c>
      <c r="C77" s="17" t="s">
        <v>15</v>
      </c>
      <c r="D77" s="621" t="s">
        <v>184</v>
      </c>
      <c r="E77" s="11" t="s">
        <v>185</v>
      </c>
      <c r="F77" s="17"/>
      <c r="G77" s="12">
        <v>1.1328228175540001E-3</v>
      </c>
      <c r="H77" s="12">
        <v>1.1196667334361301E-2</v>
      </c>
      <c r="I77" s="12">
        <v>2.4736842105263154E-4</v>
      </c>
      <c r="J77" s="12">
        <v>2.2046244201837776E-4</v>
      </c>
      <c r="K77" s="13"/>
      <c r="L77" s="14"/>
    </row>
    <row r="78" spans="1:14" ht="12.75">
      <c r="A78" s="14" t="s">
        <v>186</v>
      </c>
      <c r="B78" s="14" t="s">
        <v>148</v>
      </c>
      <c r="C78" s="17" t="s">
        <v>15</v>
      </c>
      <c r="D78" s="17" t="s">
        <v>186</v>
      </c>
      <c r="E78" s="11" t="s">
        <v>187</v>
      </c>
      <c r="F78" s="17"/>
      <c r="G78" s="12">
        <v>5.2339736232043406E-4</v>
      </c>
      <c r="H78" s="12">
        <v>4.8498643654599103E-3</v>
      </c>
      <c r="I78" s="12">
        <v>1.205128205128205E-4</v>
      </c>
      <c r="J78" s="12">
        <v>4.2396623465072643E-4</v>
      </c>
    </row>
    <row r="79" spans="1:14" ht="12.75">
      <c r="A79" s="14" t="s">
        <v>188</v>
      </c>
      <c r="B79" s="10" t="s">
        <v>148</v>
      </c>
      <c r="C79" s="17" t="s">
        <v>15</v>
      </c>
      <c r="D79" s="17" t="s">
        <v>189</v>
      </c>
      <c r="E79" s="17" t="s">
        <v>190</v>
      </c>
      <c r="F79" s="17"/>
      <c r="G79" s="12">
        <v>2.4057913847009425E-3</v>
      </c>
      <c r="H79" s="12">
        <v>2.2292359013166604E-2</v>
      </c>
      <c r="I79" s="12">
        <v>5.5393612235717495E-4</v>
      </c>
      <c r="J79" s="12">
        <v>1.9487570785700057E-3</v>
      </c>
      <c r="K79" s="13"/>
      <c r="L79" s="14"/>
    </row>
    <row r="80" spans="1:14" ht="12.75">
      <c r="A80" s="14" t="s">
        <v>191</v>
      </c>
      <c r="B80" s="10" t="s">
        <v>148</v>
      </c>
      <c r="C80" s="17" t="s">
        <v>15</v>
      </c>
      <c r="D80" s="17" t="s">
        <v>192</v>
      </c>
      <c r="E80" s="17" t="s">
        <v>193</v>
      </c>
      <c r="F80" s="17"/>
      <c r="G80" s="12">
        <v>1.1563751565803477E-3</v>
      </c>
      <c r="H80" s="12">
        <v>1.5656243271042144E-2</v>
      </c>
      <c r="I80" s="12">
        <v>5.0485933503836313E-4</v>
      </c>
      <c r="J80" s="12">
        <v>5.9203469084219082E-4</v>
      </c>
      <c r="K80" s="18"/>
    </row>
    <row r="81" spans="1:12" ht="12.75">
      <c r="A81" s="14" t="s">
        <v>194</v>
      </c>
      <c r="B81" s="10" t="s">
        <v>148</v>
      </c>
      <c r="C81" s="17" t="s">
        <v>15</v>
      </c>
      <c r="D81" s="17" t="s">
        <v>195</v>
      </c>
      <c r="E81" s="17" t="s">
        <v>196</v>
      </c>
      <c r="F81" s="17"/>
      <c r="G81" s="12">
        <v>5.0660244954948562E-4</v>
      </c>
      <c r="H81" s="12">
        <v>6.8589256235041763E-3</v>
      </c>
      <c r="I81" s="12">
        <v>2.2117647058823527E-4</v>
      </c>
      <c r="J81" s="12">
        <v>2.5936757884515029E-4</v>
      </c>
      <c r="K81" s="18"/>
    </row>
    <row r="82" spans="1:12" ht="12.75">
      <c r="A82" s="14" t="s">
        <v>197</v>
      </c>
      <c r="B82" s="10" t="s">
        <v>148</v>
      </c>
      <c r="C82" s="17" t="s">
        <v>15</v>
      </c>
      <c r="D82" s="17" t="s">
        <v>198</v>
      </c>
      <c r="E82" s="17" t="s">
        <v>199</v>
      </c>
      <c r="F82" s="17"/>
      <c r="G82" s="12">
        <v>2.6431432150407948E-3</v>
      </c>
      <c r="H82" s="12">
        <v>3.578569890523918E-2</v>
      </c>
      <c r="I82" s="12">
        <v>1.1539641943734014E-3</v>
      </c>
      <c r="J82" s="12">
        <v>5.0706361664226891E-4</v>
      </c>
      <c r="K82" s="18"/>
    </row>
    <row r="83" spans="1:12" ht="12.75">
      <c r="A83" s="14" t="s">
        <v>200</v>
      </c>
      <c r="B83" s="10" t="s">
        <v>148</v>
      </c>
      <c r="C83" s="17" t="s">
        <v>15</v>
      </c>
      <c r="D83" s="17" t="s">
        <v>200</v>
      </c>
      <c r="E83" s="17" t="s">
        <v>175</v>
      </c>
      <c r="F83" s="17"/>
      <c r="G83" s="22">
        <v>2.4663841103631703E-3</v>
      </c>
      <c r="H83" s="12">
        <v>2.0360674810936601E-2</v>
      </c>
      <c r="I83" s="12">
        <v>5.4639175257731962E-5</v>
      </c>
      <c r="J83" s="12">
        <v>2.7273704167221988E-4</v>
      </c>
      <c r="K83" s="18"/>
      <c r="L83" s="14"/>
    </row>
    <row r="84" spans="1:12" ht="12.75">
      <c r="A84" s="10" t="s">
        <v>201</v>
      </c>
      <c r="B84" s="10" t="s">
        <v>148</v>
      </c>
      <c r="C84" s="17" t="s">
        <v>15</v>
      </c>
      <c r="D84" s="15" t="s">
        <v>201</v>
      </c>
      <c r="E84" s="11" t="s">
        <v>202</v>
      </c>
      <c r="F84" s="17"/>
      <c r="G84" s="12">
        <v>4.18475450981867E-4</v>
      </c>
      <c r="H84" s="12">
        <v>8.6483234472969298E-3</v>
      </c>
      <c r="I84" s="12">
        <v>1.2528735632183908E-4</v>
      </c>
      <c r="J84" s="12">
        <v>3.0408612692190031E-4</v>
      </c>
      <c r="K84" s="18"/>
      <c r="L84" s="14"/>
    </row>
    <row r="85" spans="1:12" ht="12.75">
      <c r="A85" s="14" t="s">
        <v>203</v>
      </c>
      <c r="B85" s="14" t="s">
        <v>148</v>
      </c>
      <c r="C85" s="17" t="s">
        <v>204</v>
      </c>
      <c r="D85" s="620" t="s">
        <v>204</v>
      </c>
      <c r="E85" s="11" t="s">
        <v>205</v>
      </c>
      <c r="F85" s="17"/>
      <c r="G85" s="12">
        <v>1.1000494215432999E-3</v>
      </c>
      <c r="H85" s="12">
        <v>1.5073570706503401E-2</v>
      </c>
      <c r="I85" s="12">
        <v>5.4347826086956524E-5</v>
      </c>
      <c r="J85" s="12">
        <v>2.8755970698049265E-4</v>
      </c>
      <c r="K85" s="13"/>
      <c r="L85" s="14"/>
    </row>
    <row r="86" spans="1:12" ht="12.75">
      <c r="A86" s="14" t="s">
        <v>206</v>
      </c>
      <c r="B86" s="14" t="s">
        <v>207</v>
      </c>
      <c r="C86" s="17" t="s">
        <v>208</v>
      </c>
      <c r="D86" s="15" t="s">
        <v>209</v>
      </c>
      <c r="E86" s="11" t="s">
        <v>205</v>
      </c>
      <c r="F86" s="17"/>
      <c r="G86" s="12">
        <v>5.1193538415680896E-3</v>
      </c>
      <c r="H86" s="12">
        <v>9.9290720942183497E-2</v>
      </c>
      <c r="I86" s="12">
        <v>7.8999999999999996E-5</v>
      </c>
      <c r="J86" s="12">
        <v>3.0864741882572887E-4</v>
      </c>
      <c r="K86" s="13"/>
      <c r="L86" s="14"/>
    </row>
    <row r="87" spans="1:12" ht="12.75">
      <c r="A87" s="14" t="s">
        <v>210</v>
      </c>
      <c r="B87" s="14" t="s">
        <v>207</v>
      </c>
      <c r="C87" s="17" t="s">
        <v>208</v>
      </c>
      <c r="D87" s="621" t="s">
        <v>209</v>
      </c>
      <c r="E87" s="11" t="s">
        <v>211</v>
      </c>
      <c r="F87" s="17"/>
      <c r="G87" s="12">
        <v>6.399192301960112E-3</v>
      </c>
      <c r="H87" s="12">
        <v>0.12411340117772937</v>
      </c>
      <c r="I87" s="12">
        <v>9.8749999999999988E-5</v>
      </c>
      <c r="J87" s="12">
        <v>3.8580927353216109E-4</v>
      </c>
      <c r="K87" s="13"/>
      <c r="L87" s="14"/>
    </row>
    <row r="88" spans="1:12" ht="12.75">
      <c r="A88" s="14" t="s">
        <v>212</v>
      </c>
      <c r="B88" s="14" t="s">
        <v>207</v>
      </c>
      <c r="C88" s="17" t="s">
        <v>208</v>
      </c>
      <c r="D88" s="621" t="s">
        <v>209</v>
      </c>
      <c r="E88" s="11" t="s">
        <v>213</v>
      </c>
      <c r="F88" s="17"/>
      <c r="G88" s="12">
        <v>1.7787585381719634E-3</v>
      </c>
      <c r="H88" s="12">
        <v>3.4499318293470541E-2</v>
      </c>
      <c r="I88" s="12">
        <v>2.7449152542372882E-5</v>
      </c>
      <c r="J88" s="12">
        <v>1.0724189976148208E-4</v>
      </c>
      <c r="K88" s="13"/>
      <c r="L88" s="14"/>
    </row>
    <row r="89" spans="1:12" ht="12.75">
      <c r="A89" s="14" t="s">
        <v>214</v>
      </c>
      <c r="B89" s="10" t="s">
        <v>207</v>
      </c>
      <c r="C89" s="17" t="s">
        <v>215</v>
      </c>
      <c r="D89" s="620" t="s">
        <v>214</v>
      </c>
      <c r="E89" s="11" t="s">
        <v>216</v>
      </c>
      <c r="F89" s="17">
        <v>498</v>
      </c>
      <c r="G89" s="12">
        <v>2.5425965018094099E-4</v>
      </c>
      <c r="H89" s="12">
        <v>2.999770886532045E-3</v>
      </c>
      <c r="I89" s="12">
        <v>1.7349999999999998E-5</v>
      </c>
      <c r="J89" s="12">
        <v>1.4881214836240498E-5</v>
      </c>
      <c r="K89" s="13"/>
      <c r="L89" s="14"/>
    </row>
    <row r="90" spans="1:12" ht="12.75">
      <c r="A90" s="14" t="s">
        <v>217</v>
      </c>
      <c r="B90" s="14" t="s">
        <v>207</v>
      </c>
      <c r="C90" s="17" t="s">
        <v>215</v>
      </c>
      <c r="D90" s="620" t="s">
        <v>218</v>
      </c>
      <c r="E90" s="17" t="s">
        <v>219</v>
      </c>
      <c r="F90" s="17"/>
      <c r="G90" s="12">
        <f>0.508519300361882/100</f>
        <v>5.0851930036188197E-3</v>
      </c>
      <c r="H90" s="12">
        <f>5.99954177306409/100</f>
        <v>5.9995417730640897E-2</v>
      </c>
      <c r="I90" s="12">
        <f>347/1000000</f>
        <v>3.4699999999999998E-4</v>
      </c>
      <c r="J90" s="12">
        <v>2.9762429672480995E-4</v>
      </c>
      <c r="K90" s="13"/>
      <c r="L90" s="14"/>
    </row>
    <row r="91" spans="1:12" ht="12.75">
      <c r="A91" s="622" t="s">
        <v>220</v>
      </c>
      <c r="B91" s="10" t="s">
        <v>207</v>
      </c>
      <c r="C91" s="17" t="s">
        <v>55</v>
      </c>
      <c r="D91" s="620" t="s">
        <v>220</v>
      </c>
      <c r="E91" s="16" t="s">
        <v>221</v>
      </c>
      <c r="F91" s="17"/>
      <c r="G91" s="12">
        <v>1.30594189090772E-4</v>
      </c>
      <c r="H91" s="12">
        <v>7.0161459421965505E-3</v>
      </c>
      <c r="I91" s="12">
        <v>4.0500000000000002E-6</v>
      </c>
      <c r="J91" s="12">
        <v>2.9762429672481003E-5</v>
      </c>
      <c r="K91" s="13"/>
      <c r="L91" s="14"/>
    </row>
    <row r="92" spans="1:12" ht="12.75">
      <c r="A92" s="14" t="s">
        <v>222</v>
      </c>
      <c r="B92" s="10" t="s">
        <v>207</v>
      </c>
      <c r="C92" s="17" t="s">
        <v>55</v>
      </c>
      <c r="D92" s="621" t="s">
        <v>223</v>
      </c>
      <c r="E92" s="17" t="s">
        <v>224</v>
      </c>
      <c r="F92" s="17"/>
      <c r="G92" s="12">
        <v>3.1468479298981202E-3</v>
      </c>
      <c r="H92" s="12">
        <v>0.16906375764329037</v>
      </c>
      <c r="I92" s="12">
        <v>9.759036144578314E-5</v>
      </c>
      <c r="J92" s="12">
        <v>7.171669800597832E-4</v>
      </c>
      <c r="K92" s="13"/>
      <c r="L92" s="14"/>
    </row>
    <row r="93" spans="1:12" ht="12.75">
      <c r="A93" s="14" t="s">
        <v>225</v>
      </c>
      <c r="B93" s="10" t="s">
        <v>207</v>
      </c>
      <c r="C93" s="17" t="s">
        <v>55</v>
      </c>
      <c r="D93" s="621" t="s">
        <v>223</v>
      </c>
      <c r="E93" s="17" t="s">
        <v>226</v>
      </c>
      <c r="F93" s="17"/>
      <c r="G93" s="12">
        <v>2.6118837818154398E-3</v>
      </c>
      <c r="H93" s="12">
        <v>0.140322918843931</v>
      </c>
      <c r="I93" s="12">
        <v>8.1000000000000004E-5</v>
      </c>
      <c r="J93" s="12">
        <v>5.9524859344962E-4</v>
      </c>
      <c r="K93" s="13"/>
    </row>
    <row r="94" spans="1:12" ht="12.75">
      <c r="A94" s="14" t="s">
        <v>227</v>
      </c>
      <c r="B94" s="10" t="s">
        <v>207</v>
      </c>
      <c r="C94" s="17" t="s">
        <v>55</v>
      </c>
      <c r="D94" s="15" t="s">
        <v>223</v>
      </c>
      <c r="E94" s="16" t="s">
        <v>228</v>
      </c>
      <c r="F94" s="17"/>
      <c r="G94" s="12">
        <v>2.5055367220000002E-3</v>
      </c>
      <c r="H94" s="12">
        <v>3.8459841414181101E-2</v>
      </c>
      <c r="I94" s="12">
        <v>1.1035422343324251E-4</v>
      </c>
      <c r="J94" s="12">
        <v>8.109653861711444E-4</v>
      </c>
      <c r="K94" s="13"/>
      <c r="L94" s="14"/>
    </row>
    <row r="95" spans="1:12" ht="12.75">
      <c r="A95" s="14" t="s">
        <v>229</v>
      </c>
      <c r="B95" s="10" t="s">
        <v>207</v>
      </c>
      <c r="C95" s="17" t="s">
        <v>55</v>
      </c>
      <c r="D95" s="15" t="s">
        <v>230</v>
      </c>
      <c r="E95" s="17" t="s">
        <v>231</v>
      </c>
      <c r="F95" s="17"/>
      <c r="G95" s="12">
        <v>1.8058607109686532E-2</v>
      </c>
      <c r="H95" s="12">
        <v>0.29545309682941479</v>
      </c>
      <c r="I95" s="12">
        <v>1.0435042177806379E-2</v>
      </c>
      <c r="J95" s="12">
        <v>4.7661389143876732E-5</v>
      </c>
      <c r="K95" s="13"/>
      <c r="L95" s="14"/>
    </row>
    <row r="96" spans="1:12" ht="12.75">
      <c r="A96" s="14" t="s">
        <v>232</v>
      </c>
      <c r="B96" s="10" t="s">
        <v>207</v>
      </c>
      <c r="C96" s="17" t="s">
        <v>55</v>
      </c>
      <c r="D96" s="15" t="s">
        <v>223</v>
      </c>
      <c r="E96" s="16" t="s">
        <v>226</v>
      </c>
      <c r="F96" s="17"/>
      <c r="G96" s="12">
        <v>3.1468479298981202E-3</v>
      </c>
      <c r="H96" s="12">
        <v>0.16906375764329037</v>
      </c>
      <c r="I96" s="12">
        <v>9.759036144578314E-5</v>
      </c>
      <c r="J96" s="12">
        <v>7.171669800597832E-4</v>
      </c>
      <c r="K96" s="13"/>
      <c r="L96" s="14"/>
    </row>
    <row r="97" spans="1:14" ht="12.75">
      <c r="A97" s="10" t="s">
        <v>233</v>
      </c>
      <c r="B97" s="10" t="s">
        <v>207</v>
      </c>
      <c r="C97" s="17" t="s">
        <v>215</v>
      </c>
      <c r="D97" s="15" t="s">
        <v>234</v>
      </c>
      <c r="E97" s="11" t="s">
        <v>235</v>
      </c>
      <c r="F97" s="17">
        <v>492</v>
      </c>
      <c r="G97" s="12">
        <v>5.0851930036188197E-3</v>
      </c>
      <c r="H97" s="12">
        <v>5.9995417730640897E-2</v>
      </c>
      <c r="I97" s="12">
        <v>3.4699999999999998E-4</v>
      </c>
      <c r="J97" s="12">
        <v>2.9762429672480995E-4</v>
      </c>
      <c r="K97" s="13"/>
      <c r="L97" s="14"/>
    </row>
    <row r="98" spans="1:14" ht="12.75">
      <c r="A98" s="14" t="s">
        <v>236</v>
      </c>
      <c r="B98" s="14" t="s">
        <v>207</v>
      </c>
      <c r="C98" s="17" t="s">
        <v>215</v>
      </c>
      <c r="D98" s="15" t="s">
        <v>234</v>
      </c>
      <c r="E98" s="11" t="s">
        <v>237</v>
      </c>
      <c r="F98" s="17">
        <v>502</v>
      </c>
      <c r="G98" s="12">
        <v>5.0851930036188197E-3</v>
      </c>
      <c r="H98" s="12">
        <v>5.9995417730640897E-2</v>
      </c>
      <c r="I98" s="12">
        <v>3.4699999999999998E-4</v>
      </c>
      <c r="J98" s="12">
        <v>2.9762429672480995E-4</v>
      </c>
      <c r="K98" s="13"/>
      <c r="L98" s="14"/>
    </row>
    <row r="99" spans="1:14" ht="12.75">
      <c r="A99" s="14" t="s">
        <v>238</v>
      </c>
      <c r="B99" s="10" t="s">
        <v>207</v>
      </c>
      <c r="C99" s="17" t="s">
        <v>215</v>
      </c>
      <c r="D99" s="15" t="s">
        <v>239</v>
      </c>
      <c r="E99" s="11" t="s">
        <v>240</v>
      </c>
      <c r="F99" s="17">
        <v>499</v>
      </c>
      <c r="G99" s="12">
        <v>2.5425965018094099E-4</v>
      </c>
      <c r="H99" s="12">
        <v>2.999770886532045E-3</v>
      </c>
      <c r="I99" s="12">
        <v>1.7349999999999998E-5</v>
      </c>
      <c r="J99" s="12">
        <v>1.4881214836240498E-5</v>
      </c>
      <c r="K99" s="13"/>
      <c r="L99" s="14"/>
    </row>
    <row r="100" spans="1:14" ht="12.75">
      <c r="A100" s="10" t="s">
        <v>241</v>
      </c>
      <c r="B100" s="10" t="s">
        <v>207</v>
      </c>
      <c r="C100" s="17" t="s">
        <v>215</v>
      </c>
      <c r="D100" s="15" t="s">
        <v>242</v>
      </c>
      <c r="E100" s="11" t="s">
        <v>243</v>
      </c>
      <c r="F100" s="17">
        <v>496</v>
      </c>
      <c r="G100" s="12">
        <v>3.1660297063617504E-2</v>
      </c>
      <c r="H100" s="12">
        <v>0.3735301190055475</v>
      </c>
      <c r="I100" s="12">
        <v>2.1604141815772032E-3</v>
      </c>
      <c r="J100" s="12">
        <v>1.8530021654934324E-3</v>
      </c>
      <c r="K100" s="13"/>
      <c r="L100" s="14"/>
    </row>
    <row r="101" spans="1:14" ht="12.75">
      <c r="A101" s="10" t="s">
        <v>244</v>
      </c>
      <c r="B101" s="10" t="s">
        <v>207</v>
      </c>
      <c r="C101" s="17" t="s">
        <v>244</v>
      </c>
      <c r="D101" s="15" t="s">
        <v>245</v>
      </c>
      <c r="E101" s="11" t="s">
        <v>205</v>
      </c>
      <c r="F101" s="17"/>
      <c r="G101" s="12">
        <v>7.6594132480302998E-3</v>
      </c>
      <c r="H101" s="12">
        <v>0.25452159072024799</v>
      </c>
      <c r="I101" s="12">
        <v>2.4499999999999999E-4</v>
      </c>
      <c r="J101" s="12">
        <v>3.0864741882572887E-4</v>
      </c>
      <c r="K101" s="13"/>
      <c r="L101" s="14"/>
    </row>
    <row r="102" spans="1:14" ht="12.75">
      <c r="A102" s="14" t="s">
        <v>246</v>
      </c>
      <c r="B102" s="10" t="s">
        <v>207</v>
      </c>
      <c r="C102" s="17" t="s">
        <v>244</v>
      </c>
      <c r="D102" s="621" t="s">
        <v>247</v>
      </c>
      <c r="E102" s="17" t="s">
        <v>248</v>
      </c>
      <c r="F102" s="17"/>
      <c r="G102" s="12">
        <v>3.8297066240151499E-4</v>
      </c>
      <c r="H102" s="12">
        <v>1.2726079536012401E-2</v>
      </c>
      <c r="I102" s="12">
        <v>1.225E-5</v>
      </c>
      <c r="J102" s="12">
        <v>1.5432370941286443E-5</v>
      </c>
      <c r="K102" s="13"/>
      <c r="L102" s="14"/>
    </row>
    <row r="103" spans="1:14" ht="12.75">
      <c r="A103" s="14" t="s">
        <v>249</v>
      </c>
      <c r="B103" s="10" t="s">
        <v>207</v>
      </c>
      <c r="C103" s="17" t="s">
        <v>244</v>
      </c>
      <c r="D103" s="620" t="s">
        <v>250</v>
      </c>
      <c r="E103" s="11" t="s">
        <v>251</v>
      </c>
      <c r="F103" s="17"/>
      <c r="G103" s="12">
        <v>1.4348768881534335E-3</v>
      </c>
      <c r="H103" s="12">
        <v>4.768082570221005E-2</v>
      </c>
      <c r="I103" s="12">
        <v>4.5897097625329815E-5</v>
      </c>
      <c r="J103" s="12">
        <v>5.7820492708777707E-5</v>
      </c>
      <c r="K103" s="13"/>
      <c r="L103" s="14"/>
    </row>
    <row r="104" spans="1:14" ht="12.75">
      <c r="A104" s="14" t="s">
        <v>252</v>
      </c>
      <c r="B104" s="10" t="s">
        <v>207</v>
      </c>
      <c r="C104" s="17" t="s">
        <v>244</v>
      </c>
      <c r="D104" s="621" t="s">
        <v>247</v>
      </c>
      <c r="E104" s="16" t="s">
        <v>248</v>
      </c>
      <c r="F104" s="17"/>
      <c r="G104" s="12">
        <v>3.8297066240151499E-4</v>
      </c>
      <c r="H104" s="12">
        <v>1.2726079536012401E-2</v>
      </c>
      <c r="I104" s="12">
        <v>1.225E-5</v>
      </c>
      <c r="J104" s="12">
        <v>1.5432370941286443E-5</v>
      </c>
      <c r="K104" s="13"/>
      <c r="L104" s="14"/>
    </row>
    <row r="105" spans="1:14" ht="12.75">
      <c r="A105" s="14" t="s">
        <v>253</v>
      </c>
      <c r="B105" s="10" t="s">
        <v>207</v>
      </c>
      <c r="C105" s="17" t="s">
        <v>254</v>
      </c>
      <c r="D105" s="621" t="s">
        <v>255</v>
      </c>
      <c r="E105" s="17" t="s">
        <v>256</v>
      </c>
      <c r="F105" s="17"/>
      <c r="G105" s="23">
        <v>8.3620838220657844E-5</v>
      </c>
      <c r="H105" s="23">
        <v>5.6674497841202156E-3</v>
      </c>
      <c r="I105" s="12">
        <v>1.7050000000000001E-5</v>
      </c>
      <c r="J105" s="23">
        <v>7.6059542496340328E-5</v>
      </c>
      <c r="K105" s="13"/>
      <c r="L105" s="14"/>
    </row>
    <row r="106" spans="1:14" ht="12.75">
      <c r="A106" s="14" t="s">
        <v>257</v>
      </c>
      <c r="B106" s="10" t="s">
        <v>207</v>
      </c>
      <c r="C106" s="17" t="s">
        <v>258</v>
      </c>
      <c r="D106" s="621" t="s">
        <v>259</v>
      </c>
      <c r="E106" s="17" t="s">
        <v>260</v>
      </c>
      <c r="F106" s="17"/>
      <c r="G106" s="23">
        <v>7.0063781342921748E-4</v>
      </c>
      <c r="H106" s="23">
        <v>4.7486125575394174E-2</v>
      </c>
      <c r="I106" s="12">
        <v>1.428576294277929E-4</v>
      </c>
      <c r="J106" s="23">
        <v>7.2410198258570182E-4</v>
      </c>
      <c r="K106" s="24"/>
    </row>
    <row r="107" spans="1:14" ht="12.75">
      <c r="A107" s="14" t="s">
        <v>261</v>
      </c>
      <c r="B107" s="10" t="s">
        <v>207</v>
      </c>
      <c r="C107" s="17" t="s">
        <v>258</v>
      </c>
      <c r="D107" s="15" t="s">
        <v>259</v>
      </c>
      <c r="E107" s="17" t="s">
        <v>262</v>
      </c>
      <c r="F107" s="17"/>
      <c r="G107" s="23">
        <v>2.0905209555164457E-3</v>
      </c>
      <c r="H107" s="23">
        <v>0.14168624460300538</v>
      </c>
      <c r="I107" s="618">
        <v>4.2624999999999998E-4</v>
      </c>
      <c r="J107" s="23">
        <v>2.1605319317801021E-3</v>
      </c>
      <c r="K107" s="24"/>
    </row>
    <row r="108" spans="1:14" ht="12.75">
      <c r="A108" s="14" t="s">
        <v>263</v>
      </c>
      <c r="B108" s="10" t="s">
        <v>207</v>
      </c>
      <c r="C108" s="17" t="s">
        <v>258</v>
      </c>
      <c r="D108" s="621" t="s">
        <v>264</v>
      </c>
      <c r="E108" s="17" t="s">
        <v>265</v>
      </c>
      <c r="F108" s="17"/>
      <c r="G108" s="12">
        <v>2.6313563181764739E-3</v>
      </c>
      <c r="H108" s="12">
        <v>0.17834166835352852</v>
      </c>
      <c r="I108" s="12">
        <v>5.365244618395303E-4</v>
      </c>
      <c r="J108" s="12">
        <v>2.5980743783502744E-3</v>
      </c>
      <c r="K108" s="13"/>
      <c r="L108" s="14"/>
    </row>
    <row r="109" spans="1:14" ht="12.75">
      <c r="A109" s="14" t="s">
        <v>266</v>
      </c>
      <c r="B109" s="10" t="s">
        <v>207</v>
      </c>
      <c r="C109" s="17" t="s">
        <v>258</v>
      </c>
      <c r="D109" s="15" t="s">
        <v>264</v>
      </c>
      <c r="E109" s="17" t="s">
        <v>267</v>
      </c>
      <c r="F109" s="17"/>
      <c r="G109" s="12">
        <v>2.38916680630451E-3</v>
      </c>
      <c r="H109" s="12">
        <v>0.16192713668914901</v>
      </c>
      <c r="I109" s="12">
        <v>4.8714285714285716E-4</v>
      </c>
      <c r="J109" s="12">
        <v>2.358948129596642E-3</v>
      </c>
      <c r="K109" s="13"/>
    </row>
    <row r="110" spans="1:14" ht="12.75">
      <c r="A110" s="10" t="s">
        <v>268</v>
      </c>
      <c r="B110" s="10" t="s">
        <v>207</v>
      </c>
      <c r="C110" s="17" t="s">
        <v>258</v>
      </c>
      <c r="D110" s="15" t="s">
        <v>264</v>
      </c>
      <c r="E110" s="17" t="s">
        <v>269</v>
      </c>
      <c r="F110" s="17"/>
      <c r="G110" s="12">
        <v>4.4798514033830313E-4</v>
      </c>
      <c r="H110" s="12">
        <v>3.0362447219192758E-2</v>
      </c>
      <c r="I110" s="12">
        <v>9.1342622309197643E-5</v>
      </c>
      <c r="J110" s="12">
        <v>4.4231893147834018E-4</v>
      </c>
      <c r="K110" s="13"/>
      <c r="L110" s="14"/>
    </row>
    <row r="111" spans="1:14" ht="12.75">
      <c r="A111" s="10" t="s">
        <v>270</v>
      </c>
      <c r="B111" s="10" t="s">
        <v>207</v>
      </c>
      <c r="C111" s="17" t="s">
        <v>258</v>
      </c>
      <c r="D111" s="15" t="s">
        <v>264</v>
      </c>
      <c r="E111" s="17" t="s">
        <v>267</v>
      </c>
      <c r="F111" s="17"/>
      <c r="G111" s="12">
        <v>2.38916680630451E-3</v>
      </c>
      <c r="H111" s="12">
        <v>0.16192713668914901</v>
      </c>
      <c r="I111" s="12">
        <v>4.8714285714285716E-4</v>
      </c>
      <c r="J111" s="12">
        <v>2.358948129596642E-3</v>
      </c>
      <c r="K111" s="13"/>
      <c r="L111" s="14"/>
    </row>
    <row r="112" spans="1:14" ht="12.75">
      <c r="A112" s="14" t="s">
        <v>271</v>
      </c>
      <c r="B112" s="14" t="s">
        <v>207</v>
      </c>
      <c r="C112" s="17" t="s">
        <v>215</v>
      </c>
      <c r="D112" s="15" t="s">
        <v>271</v>
      </c>
      <c r="E112" s="17" t="s">
        <v>272</v>
      </c>
      <c r="F112" s="17"/>
      <c r="G112" s="12">
        <v>8.4188576965875186E-3</v>
      </c>
      <c r="H112" s="12">
        <v>3.7019919874172996E-2</v>
      </c>
      <c r="I112" s="12">
        <v>2.5000000000000001E-5</v>
      </c>
      <c r="J112" s="12">
        <v>2.4250868622021553E-4</v>
      </c>
      <c r="K112" s="13"/>
      <c r="N112" s="14"/>
    </row>
    <row r="113" spans="1:12" ht="12.75">
      <c r="A113" s="14" t="s">
        <v>273</v>
      </c>
      <c r="B113" s="10" t="s">
        <v>207</v>
      </c>
      <c r="C113" s="17" t="s">
        <v>273</v>
      </c>
      <c r="D113" s="17" t="s">
        <v>274</v>
      </c>
      <c r="E113" s="11" t="s">
        <v>237</v>
      </c>
      <c r="F113" s="17">
        <v>503</v>
      </c>
      <c r="G113" s="12">
        <v>5.0851930036188197E-3</v>
      </c>
      <c r="H113" s="12">
        <v>5.9995417730640897E-2</v>
      </c>
      <c r="I113" s="12">
        <v>3.4699999999999998E-4</v>
      </c>
      <c r="J113" s="12">
        <v>4.5318147816043826E-4</v>
      </c>
      <c r="K113" s="13"/>
    </row>
    <row r="114" spans="1:12" ht="12.75">
      <c r="A114" s="14" t="s">
        <v>275</v>
      </c>
      <c r="B114" s="10" t="s">
        <v>207</v>
      </c>
      <c r="C114" s="17" t="s">
        <v>215</v>
      </c>
      <c r="D114" s="17" t="s">
        <v>275</v>
      </c>
      <c r="E114" s="11" t="s">
        <v>276</v>
      </c>
      <c r="F114" s="17">
        <v>501</v>
      </c>
      <c r="G114" s="12">
        <v>8.9416218985565125E-3</v>
      </c>
      <c r="H114" s="12">
        <v>0.10549380143714923</v>
      </c>
      <c r="I114" s="12">
        <v>6.1015241635687723E-4</v>
      </c>
      <c r="J114" s="12">
        <v>5.2333194182466582E-4</v>
      </c>
      <c r="K114" s="13"/>
      <c r="L114" s="14"/>
    </row>
    <row r="115" spans="1:12" ht="12.75">
      <c r="A115" s="10" t="s">
        <v>277</v>
      </c>
      <c r="B115" s="10" t="s">
        <v>207</v>
      </c>
      <c r="C115" s="17" t="s">
        <v>215</v>
      </c>
      <c r="D115" s="15" t="s">
        <v>234</v>
      </c>
      <c r="E115" s="11" t="s">
        <v>205</v>
      </c>
      <c r="F115" s="17">
        <v>491</v>
      </c>
      <c r="G115" s="12">
        <v>5.0851930036188197E-3</v>
      </c>
      <c r="H115" s="12">
        <v>5.9995417730640897E-2</v>
      </c>
      <c r="I115" s="12">
        <v>3.4699999999999998E-4</v>
      </c>
      <c r="J115" s="12">
        <v>2.9762429672480995E-4</v>
      </c>
      <c r="K115" s="13"/>
      <c r="L115" s="14"/>
    </row>
    <row r="116" spans="1:12" ht="12.75">
      <c r="A116" s="10" t="s">
        <v>278</v>
      </c>
      <c r="B116" s="10" t="s">
        <v>207</v>
      </c>
      <c r="C116" s="17" t="s">
        <v>215</v>
      </c>
      <c r="D116" s="15" t="s">
        <v>234</v>
      </c>
      <c r="E116" s="11" t="s">
        <v>205</v>
      </c>
      <c r="F116" s="17">
        <v>493</v>
      </c>
      <c r="G116" s="12">
        <v>5.0851930036188197E-3</v>
      </c>
      <c r="H116" s="12">
        <v>5.9995417730640897E-2</v>
      </c>
      <c r="I116" s="12">
        <v>3.4699999999999998E-4</v>
      </c>
      <c r="J116" s="12">
        <v>2.9762429672480995E-4</v>
      </c>
      <c r="K116" s="13"/>
      <c r="L116" s="14"/>
    </row>
    <row r="117" spans="1:12" ht="12.75">
      <c r="A117" s="10" t="s">
        <v>279</v>
      </c>
      <c r="B117" s="10" t="s">
        <v>207</v>
      </c>
      <c r="C117" s="17" t="s">
        <v>215</v>
      </c>
      <c r="D117" s="15" t="s">
        <v>234</v>
      </c>
      <c r="E117" s="11" t="s">
        <v>205</v>
      </c>
      <c r="F117" s="17">
        <v>494</v>
      </c>
      <c r="G117" s="12">
        <v>5.0851930036188197E-3</v>
      </c>
      <c r="H117" s="12">
        <v>5.9995417730640897E-2</v>
      </c>
      <c r="I117" s="12">
        <v>3.4699999999999998E-4</v>
      </c>
      <c r="J117" s="12">
        <v>2.9762429672480995E-4</v>
      </c>
      <c r="K117" s="13"/>
      <c r="L117" s="14"/>
    </row>
    <row r="118" spans="1:12" ht="12.75">
      <c r="A118" s="14" t="s">
        <v>280</v>
      </c>
      <c r="B118" s="10" t="s">
        <v>207</v>
      </c>
      <c r="C118" s="17" t="s">
        <v>215</v>
      </c>
      <c r="D118" s="15" t="s">
        <v>239</v>
      </c>
      <c r="E118" s="11" t="s">
        <v>240</v>
      </c>
      <c r="F118" s="17">
        <v>500</v>
      </c>
      <c r="G118" s="12">
        <v>2.5425965018094099E-4</v>
      </c>
      <c r="H118" s="12">
        <v>2.999770886532045E-3</v>
      </c>
      <c r="I118" s="12">
        <v>1.7349999999999998E-5</v>
      </c>
      <c r="J118" s="12">
        <v>1.4881214836240498E-5</v>
      </c>
      <c r="K118" s="13"/>
      <c r="L118" s="14"/>
    </row>
    <row r="119" spans="1:12" ht="12.75">
      <c r="A119" s="14" t="s">
        <v>281</v>
      </c>
      <c r="B119" s="10" t="s">
        <v>207</v>
      </c>
      <c r="C119" s="17" t="s">
        <v>215</v>
      </c>
      <c r="D119" s="15" t="s">
        <v>242</v>
      </c>
      <c r="E119" s="11" t="s">
        <v>243</v>
      </c>
      <c r="F119" s="17">
        <v>497</v>
      </c>
      <c r="G119" s="12">
        <v>3.1660297063617504E-2</v>
      </c>
      <c r="H119" s="12">
        <v>0.3735301190055475</v>
      </c>
      <c r="I119" s="12">
        <v>2.1604141815772032E-3</v>
      </c>
      <c r="J119" s="12">
        <v>1.8530021654934324E-3</v>
      </c>
      <c r="K119" s="13"/>
      <c r="L119" s="14"/>
    </row>
    <row r="120" spans="1:12" ht="12.75">
      <c r="A120" s="10" t="s">
        <v>282</v>
      </c>
      <c r="B120" s="10" t="s">
        <v>207</v>
      </c>
      <c r="C120" s="17" t="s">
        <v>215</v>
      </c>
      <c r="D120" s="15" t="s">
        <v>283</v>
      </c>
      <c r="E120" s="11" t="s">
        <v>235</v>
      </c>
      <c r="F120" s="17">
        <v>495</v>
      </c>
      <c r="G120" s="12">
        <v>5.0851930036188197E-3</v>
      </c>
      <c r="H120" s="12">
        <v>5.9995417730640897E-2</v>
      </c>
      <c r="I120" s="12">
        <v>3.4699999999999998E-4</v>
      </c>
      <c r="J120" s="12">
        <v>2.9762429672480995E-4</v>
      </c>
      <c r="K120" s="13"/>
      <c r="L120" s="14"/>
    </row>
    <row r="121" spans="1:12" ht="12.75">
      <c r="A121" s="24" t="s">
        <v>284</v>
      </c>
      <c r="B121" s="14" t="s">
        <v>285</v>
      </c>
      <c r="C121" s="17" t="s">
        <v>286</v>
      </c>
      <c r="D121" s="17" t="s">
        <v>287</v>
      </c>
      <c r="E121" s="11" t="s">
        <v>288</v>
      </c>
      <c r="F121" s="17"/>
      <c r="G121" s="12">
        <v>2.3887946390805602E-3</v>
      </c>
      <c r="H121" s="12">
        <v>3.1657451985185346E-2</v>
      </c>
      <c r="I121" s="12">
        <v>4.8387096774193554E-5</v>
      </c>
      <c r="J121" s="12">
        <v>3.370941855377776E-4</v>
      </c>
      <c r="K121" s="13"/>
    </row>
    <row r="122" spans="1:12" ht="12.75">
      <c r="A122" s="14" t="s">
        <v>289</v>
      </c>
      <c r="B122" s="14" t="s">
        <v>285</v>
      </c>
      <c r="C122" s="17" t="s">
        <v>286</v>
      </c>
      <c r="D122" s="17" t="s">
        <v>290</v>
      </c>
      <c r="E122" s="11" t="s">
        <v>288</v>
      </c>
      <c r="F122" s="17"/>
      <c r="G122" s="12">
        <v>2.3255896375025138E-3</v>
      </c>
      <c r="H122" s="12">
        <v>3.0819828997446758E-2</v>
      </c>
      <c r="I122" s="12">
        <v>4.7106824925816024E-5</v>
      </c>
      <c r="J122" s="12">
        <v>3.2817502682053179E-4</v>
      </c>
      <c r="K122" s="13"/>
    </row>
    <row r="123" spans="1:12" ht="12.75">
      <c r="A123" s="14" t="s">
        <v>291</v>
      </c>
      <c r="B123" s="14" t="s">
        <v>285</v>
      </c>
      <c r="C123" s="17" t="s">
        <v>286</v>
      </c>
      <c r="D123" s="17" t="s">
        <v>291</v>
      </c>
      <c r="E123" s="623" t="s">
        <v>292</v>
      </c>
      <c r="F123" s="15"/>
      <c r="G123" s="12">
        <v>8.7928093200579007E-3</v>
      </c>
      <c r="H123" s="12">
        <v>4.38025263805632E-2</v>
      </c>
      <c r="I123" s="12">
        <v>4.8899999999999996E-4</v>
      </c>
      <c r="J123" s="12">
        <v>5.2910986084410655E-4</v>
      </c>
      <c r="K123" s="18"/>
    </row>
    <row r="124" spans="1:12" ht="12.75">
      <c r="A124" s="14" t="s">
        <v>293</v>
      </c>
      <c r="B124" s="14" t="s">
        <v>285</v>
      </c>
      <c r="C124" s="17" t="s">
        <v>286</v>
      </c>
      <c r="D124" s="17" t="s">
        <v>294</v>
      </c>
      <c r="E124" s="11" t="s">
        <v>288</v>
      </c>
      <c r="F124" s="17"/>
      <c r="G124" s="12">
        <v>6.7171636864411322E-3</v>
      </c>
      <c r="H124" s="12">
        <v>8.9019074055687111E-2</v>
      </c>
      <c r="I124" s="12">
        <v>2.2314159292035395E-4</v>
      </c>
      <c r="J124" s="12">
        <v>6.959199386544721E-4</v>
      </c>
      <c r="K124" s="13"/>
    </row>
    <row r="125" spans="1:12" ht="12.75">
      <c r="A125" s="14" t="s">
        <v>295</v>
      </c>
      <c r="B125" s="10" t="s">
        <v>285</v>
      </c>
      <c r="C125" s="17" t="s">
        <v>286</v>
      </c>
      <c r="D125" s="15" t="s">
        <v>296</v>
      </c>
      <c r="E125" s="11" t="s">
        <v>288</v>
      </c>
      <c r="F125" s="17"/>
      <c r="G125" s="12">
        <v>2.0692254254943625E-3</v>
      </c>
      <c r="H125" s="12">
        <v>2.7422367533161289E-2</v>
      </c>
      <c r="I125" s="12">
        <v>4.191394658753709E-5</v>
      </c>
      <c r="J125" s="12">
        <v>2.9199825221039441E-4</v>
      </c>
      <c r="K125" s="13"/>
    </row>
    <row r="126" spans="1:12" ht="12.75">
      <c r="A126" s="14" t="s">
        <v>297</v>
      </c>
      <c r="B126" s="14" t="s">
        <v>285</v>
      </c>
      <c r="C126" s="17" t="s">
        <v>297</v>
      </c>
      <c r="D126" s="17" t="s">
        <v>297</v>
      </c>
      <c r="E126" s="17" t="s">
        <v>298</v>
      </c>
      <c r="F126" s="17"/>
      <c r="G126" s="12">
        <v>3.8427539589960401E-3</v>
      </c>
      <c r="H126" s="12">
        <v>1.5537788094869101E-2</v>
      </c>
      <c r="I126" s="12">
        <v>2.14E-4</v>
      </c>
      <c r="J126" s="12">
        <v>5.7320234924778215E-4</v>
      </c>
      <c r="K126" s="13"/>
      <c r="L126" s="14"/>
    </row>
    <row r="127" spans="1:12" ht="12.75">
      <c r="A127" s="14" t="s">
        <v>299</v>
      </c>
      <c r="B127" s="14" t="s">
        <v>285</v>
      </c>
      <c r="C127" s="17" t="s">
        <v>286</v>
      </c>
      <c r="D127" s="17" t="s">
        <v>299</v>
      </c>
      <c r="E127" s="17" t="s">
        <v>300</v>
      </c>
      <c r="F127" s="17"/>
      <c r="G127" s="12">
        <v>3.3715510380578286E-3</v>
      </c>
      <c r="H127" s="12">
        <v>1.5399705979103718E-2</v>
      </c>
      <c r="I127" s="12">
        <v>1.8383838383838382E-4</v>
      </c>
      <c r="J127" s="12">
        <v>8.3632217061965959E-4</v>
      </c>
      <c r="K127" s="13"/>
    </row>
    <row r="128" spans="1:12" ht="12.75">
      <c r="A128" s="14" t="s">
        <v>301</v>
      </c>
      <c r="B128" s="14" t="s">
        <v>285</v>
      </c>
      <c r="C128" s="17" t="s">
        <v>302</v>
      </c>
      <c r="D128" s="17" t="s">
        <v>303</v>
      </c>
      <c r="E128" s="15" t="s">
        <v>304</v>
      </c>
      <c r="F128" s="15"/>
      <c r="G128" s="12">
        <v>4.7062756261925113E-3</v>
      </c>
      <c r="H128" s="12">
        <v>3.8210906557435767E-2</v>
      </c>
      <c r="I128" s="12">
        <v>7.6086956521739124E-5</v>
      </c>
      <c r="J128" s="12">
        <v>5.9908272287602653E-4</v>
      </c>
      <c r="K128" s="13"/>
      <c r="L128" s="14"/>
    </row>
    <row r="129" spans="1:12" ht="12.75">
      <c r="A129" s="14" t="s">
        <v>305</v>
      </c>
      <c r="B129" s="14" t="s">
        <v>285</v>
      </c>
      <c r="C129" s="17" t="s">
        <v>302</v>
      </c>
      <c r="D129" s="17" t="s">
        <v>306</v>
      </c>
      <c r="E129" s="15" t="s">
        <v>307</v>
      </c>
      <c r="F129" s="15"/>
      <c r="G129" s="12">
        <v>4.7062756261925113E-3</v>
      </c>
      <c r="H129" s="12">
        <v>3.8210906557435767E-2</v>
      </c>
      <c r="I129" s="12">
        <v>8.2999999999999998E-5</v>
      </c>
      <c r="J129" s="12">
        <v>5.9908272287602653E-4</v>
      </c>
      <c r="K129" s="13"/>
      <c r="L129" s="14"/>
    </row>
    <row r="130" spans="1:12" ht="12.75">
      <c r="A130" s="14" t="s">
        <v>308</v>
      </c>
      <c r="B130" s="14" t="s">
        <v>285</v>
      </c>
      <c r="C130" s="17" t="s">
        <v>302</v>
      </c>
      <c r="D130" s="17" t="s">
        <v>306</v>
      </c>
      <c r="E130" s="15" t="s">
        <v>309</v>
      </c>
      <c r="F130" s="15"/>
      <c r="G130" s="12">
        <v>5.0661296264537621E-3</v>
      </c>
      <c r="H130" s="12">
        <v>4.1132611249310447E-2</v>
      </c>
      <c r="I130" s="12">
        <v>8.190476190476189E-5</v>
      </c>
      <c r="J130" s="12">
        <v>6.4489013651634311E-4</v>
      </c>
      <c r="K130" s="13"/>
      <c r="L130" s="14"/>
    </row>
    <row r="131" spans="1:12" ht="12.75">
      <c r="A131" s="14" t="s">
        <v>310</v>
      </c>
      <c r="B131" s="14" t="s">
        <v>285</v>
      </c>
      <c r="C131" s="17" t="s">
        <v>302</v>
      </c>
      <c r="D131" s="17" t="s">
        <v>310</v>
      </c>
      <c r="E131" s="15" t="s">
        <v>304</v>
      </c>
      <c r="F131" s="17"/>
      <c r="G131" s="12">
        <v>4.3502453187736897E-3</v>
      </c>
      <c r="H131" s="12">
        <v>1.10424718876256E-2</v>
      </c>
      <c r="I131" s="12">
        <v>8.2999999999999998E-5</v>
      </c>
      <c r="J131" s="12">
        <v>7.0547981445880884E-4</v>
      </c>
      <c r="K131" s="13"/>
      <c r="L131" s="14"/>
    </row>
    <row r="132" spans="1:12" ht="12.75">
      <c r="A132" s="81" t="s">
        <v>311</v>
      </c>
      <c r="B132" s="14" t="s">
        <v>312</v>
      </c>
      <c r="C132" s="17"/>
      <c r="D132" s="17"/>
      <c r="E132" s="17" t="s">
        <v>313</v>
      </c>
      <c r="F132" s="17"/>
      <c r="G132" s="12">
        <v>5.5052259063149899E-3</v>
      </c>
      <c r="H132" s="12">
        <v>8.2856018088169489E-2</v>
      </c>
      <c r="I132" s="12">
        <v>3.8159999999999999E-3</v>
      </c>
      <c r="J132" s="12">
        <v>1.8959770013580487E-3</v>
      </c>
      <c r="K132" s="13"/>
      <c r="L132" s="14"/>
    </row>
    <row r="133" spans="1:12" ht="12.75">
      <c r="A133" s="81" t="s">
        <v>314</v>
      </c>
      <c r="B133" s="14" t="s">
        <v>312</v>
      </c>
      <c r="C133" s="17"/>
      <c r="D133" s="17"/>
      <c r="E133" s="17" t="s">
        <v>25</v>
      </c>
      <c r="F133" s="17"/>
      <c r="G133" s="12">
        <v>5.5052259063149899E-3</v>
      </c>
      <c r="H133" s="12">
        <v>8.2856018088169489E-2</v>
      </c>
      <c r="I133" s="12">
        <v>3.8159999999999999E-3</v>
      </c>
      <c r="J133" s="12">
        <v>1.8959770013580487E-3</v>
      </c>
      <c r="K133" s="13"/>
      <c r="L133" s="14"/>
    </row>
    <row r="134" spans="1:12" ht="12.75">
      <c r="A134" s="81" t="s">
        <v>315</v>
      </c>
      <c r="B134" s="14" t="s">
        <v>312</v>
      </c>
      <c r="C134" s="17"/>
      <c r="D134" s="17"/>
      <c r="E134" s="17" t="s">
        <v>25</v>
      </c>
      <c r="F134" s="17"/>
      <c r="G134" s="12">
        <v>1.5308726E-2</v>
      </c>
      <c r="H134" s="12">
        <v>0.61255519650000001</v>
      </c>
      <c r="I134" s="12">
        <v>9.2100000000000005E-4</v>
      </c>
      <c r="J134" s="12">
        <v>4.999E-3</v>
      </c>
      <c r="K134" s="13"/>
      <c r="L134" s="14"/>
    </row>
    <row r="135" spans="1:12" ht="12.75">
      <c r="A135" s="10" t="s">
        <v>316</v>
      </c>
      <c r="B135" s="14" t="s">
        <v>312</v>
      </c>
      <c r="C135" s="17"/>
      <c r="D135" s="17"/>
      <c r="E135" s="17" t="s">
        <v>175</v>
      </c>
      <c r="F135" s="17"/>
      <c r="G135" s="12">
        <f>0.003937783028</f>
        <v>3.9377830280000001E-3</v>
      </c>
      <c r="H135" s="12">
        <v>0.1260090569</v>
      </c>
      <c r="I135" s="12">
        <v>4.8543689319999998E-5</v>
      </c>
      <c r="J135" s="12">
        <f>0.73/453.592</f>
        <v>1.6093758267341576E-3</v>
      </c>
      <c r="K135" s="13"/>
      <c r="L135" s="14"/>
    </row>
    <row r="136" spans="1:12" ht="12.75">
      <c r="A136" s="10" t="s">
        <v>317</v>
      </c>
      <c r="B136" s="14" t="s">
        <v>312</v>
      </c>
      <c r="C136" s="17"/>
      <c r="D136" s="17"/>
      <c r="E136" s="17" t="s">
        <v>25</v>
      </c>
      <c r="F136" s="17"/>
      <c r="G136" s="12">
        <v>7.2492237880000003E-3</v>
      </c>
      <c r="H136" s="12">
        <v>9.5262392249999994E-2</v>
      </c>
      <c r="I136" s="12">
        <v>1.4343396226415095E-2</v>
      </c>
      <c r="J136" s="12">
        <v>2.1214310458372199E-3</v>
      </c>
      <c r="K136" s="13"/>
      <c r="L136" s="14"/>
    </row>
    <row r="137" spans="1:12" ht="12.75">
      <c r="A137" s="14" t="s">
        <v>318</v>
      </c>
      <c r="B137" s="14" t="s">
        <v>312</v>
      </c>
      <c r="C137" s="17"/>
      <c r="D137" s="17"/>
      <c r="E137" s="17" t="s">
        <v>25</v>
      </c>
      <c r="F137" s="15"/>
      <c r="G137" s="12">
        <v>3.2210986719999998E-3</v>
      </c>
      <c r="H137" s="12">
        <v>3.9434345900000001E-2</v>
      </c>
      <c r="I137" s="12">
        <v>2.4510000000000001E-3</v>
      </c>
      <c r="J137" s="12">
        <v>9.0389601229999995E-4</v>
      </c>
      <c r="K137" s="13"/>
      <c r="L137" s="14"/>
    </row>
    <row r="138" spans="1:12" ht="12.75">
      <c r="A138" s="14" t="s">
        <v>319</v>
      </c>
      <c r="B138" s="14" t="s">
        <v>320</v>
      </c>
      <c r="C138" s="17"/>
      <c r="D138" s="17"/>
      <c r="E138" s="17" t="s">
        <v>25</v>
      </c>
      <c r="F138" s="17"/>
      <c r="G138" s="12">
        <v>1.4285714285714287E-2</v>
      </c>
      <c r="H138" s="12">
        <v>6.2E-2</v>
      </c>
      <c r="I138" s="12">
        <v>3.0000000000000001E-6</v>
      </c>
      <c r="J138" s="12">
        <v>8.9999999999999998E-4</v>
      </c>
      <c r="K138" s="13"/>
      <c r="L138" s="14"/>
    </row>
    <row r="139" spans="1:12" ht="12.75">
      <c r="A139" s="14" t="s">
        <v>321</v>
      </c>
      <c r="B139" s="10" t="s">
        <v>320</v>
      </c>
      <c r="C139" s="17" t="s">
        <v>55</v>
      </c>
      <c r="D139" s="15" t="s">
        <v>322</v>
      </c>
      <c r="E139" s="17" t="s">
        <v>323</v>
      </c>
      <c r="F139" s="17"/>
      <c r="G139" s="12">
        <v>5.2419900086202897E-2</v>
      </c>
      <c r="H139" s="12">
        <v>2.8162483479607547</v>
      </c>
      <c r="I139" s="12">
        <v>1.6256511627906977E-3</v>
      </c>
      <c r="J139" s="12">
        <v>1.194650084062842E-2</v>
      </c>
      <c r="K139" s="13"/>
      <c r="L139" s="14"/>
    </row>
    <row r="140" spans="1:12" ht="12.75">
      <c r="A140" s="14" t="s">
        <v>324</v>
      </c>
      <c r="B140" s="14" t="s">
        <v>320</v>
      </c>
      <c r="C140" s="17"/>
      <c r="D140" s="17"/>
      <c r="E140" s="17" t="s">
        <v>25</v>
      </c>
      <c r="F140" s="17"/>
      <c r="G140" s="12">
        <v>1.0652903141570055E-3</v>
      </c>
      <c r="H140" s="12">
        <v>1.7273631840796021E-2</v>
      </c>
      <c r="I140" s="12">
        <v>1.3582399999999999E-4</v>
      </c>
      <c r="J140" s="12">
        <v>2.14E-3</v>
      </c>
      <c r="K140" s="13"/>
      <c r="L140" s="14"/>
    </row>
    <row r="141" spans="1:12" ht="12.75">
      <c r="A141" s="14" t="s">
        <v>325</v>
      </c>
      <c r="B141" s="10" t="s">
        <v>320</v>
      </c>
      <c r="C141" s="17" t="s">
        <v>326</v>
      </c>
      <c r="D141" s="15" t="s">
        <v>327</v>
      </c>
      <c r="E141" s="16" t="s">
        <v>328</v>
      </c>
      <c r="F141" s="16"/>
      <c r="G141" s="12">
        <v>1.0908510307875098E-2</v>
      </c>
      <c r="H141" s="12">
        <v>0.10414261699680899</v>
      </c>
      <c r="I141" s="12">
        <v>2.2359865447154469E-3</v>
      </c>
      <c r="J141" s="12">
        <v>1.4E-3</v>
      </c>
      <c r="K141" s="13"/>
      <c r="L141" s="14"/>
    </row>
    <row r="142" spans="1:12" ht="12.75">
      <c r="A142" s="10" t="s">
        <v>329</v>
      </c>
      <c r="B142" s="10" t="s">
        <v>320</v>
      </c>
      <c r="C142" s="17" t="s">
        <v>330</v>
      </c>
      <c r="D142" s="15" t="s">
        <v>329</v>
      </c>
      <c r="E142" s="17" t="s">
        <v>331</v>
      </c>
      <c r="F142" s="17"/>
      <c r="G142" s="12">
        <v>1.7000000000000001E-2</v>
      </c>
      <c r="H142" s="12">
        <v>3.15E-2</v>
      </c>
      <c r="I142" s="12">
        <v>9.9999999999999995E-7</v>
      </c>
      <c r="J142" s="12">
        <v>9.0389601227534877E-4</v>
      </c>
      <c r="K142" s="13"/>
      <c r="L142" s="14"/>
    </row>
    <row r="143" spans="1:12" ht="12.75">
      <c r="A143" s="10" t="s">
        <v>332</v>
      </c>
      <c r="B143" s="10" t="s">
        <v>320</v>
      </c>
      <c r="C143" s="17" t="s">
        <v>330</v>
      </c>
      <c r="D143" s="15" t="s">
        <v>333</v>
      </c>
      <c r="E143" s="17" t="s">
        <v>331</v>
      </c>
      <c r="F143" s="17"/>
      <c r="G143" s="12">
        <v>2.3E-3</v>
      </c>
      <c r="H143" s="12">
        <v>4.7879999999999999E-2</v>
      </c>
      <c r="I143" s="12">
        <v>9.9999999999999995E-7</v>
      </c>
      <c r="J143" s="12">
        <v>4.4092488403675551E-4</v>
      </c>
      <c r="K143" s="13"/>
      <c r="L143" s="14"/>
    </row>
    <row r="144" spans="1:12" ht="12.75">
      <c r="A144" s="10" t="s">
        <v>334</v>
      </c>
      <c r="B144" s="10" t="s">
        <v>320</v>
      </c>
      <c r="C144" s="17" t="s">
        <v>330</v>
      </c>
      <c r="D144" s="621" t="s">
        <v>333</v>
      </c>
      <c r="E144" s="17" t="s">
        <v>331</v>
      </c>
      <c r="F144" s="17"/>
      <c r="G144" s="12">
        <v>2.3E-3</v>
      </c>
      <c r="H144" s="12">
        <v>4.7879999999999999E-2</v>
      </c>
      <c r="I144" s="12">
        <v>9.9999999999999995E-7</v>
      </c>
      <c r="J144" s="12">
        <v>4.4092488403675551E-4</v>
      </c>
      <c r="K144" s="13"/>
      <c r="L144" s="14"/>
    </row>
    <row r="145" spans="1:12" ht="12.75">
      <c r="A145" s="10" t="s">
        <v>335</v>
      </c>
      <c r="B145" s="10" t="s">
        <v>320</v>
      </c>
      <c r="C145" s="17" t="s">
        <v>330</v>
      </c>
      <c r="D145" s="621" t="s">
        <v>333</v>
      </c>
      <c r="E145" s="17" t="s">
        <v>331</v>
      </c>
      <c r="F145" s="17"/>
      <c r="G145" s="12">
        <v>2.3E-3</v>
      </c>
      <c r="H145" s="12">
        <v>4.7879999999999999E-2</v>
      </c>
      <c r="I145" s="12">
        <v>9.9999999999999995E-7</v>
      </c>
      <c r="J145" s="12">
        <v>4.4092488403675551E-4</v>
      </c>
      <c r="K145" s="13"/>
      <c r="L145" s="14"/>
    </row>
    <row r="146" spans="1:12" ht="12.75">
      <c r="A146" s="10" t="s">
        <v>336</v>
      </c>
      <c r="B146" s="10" t="s">
        <v>320</v>
      </c>
      <c r="C146" s="17" t="s">
        <v>330</v>
      </c>
      <c r="D146" s="621" t="s">
        <v>333</v>
      </c>
      <c r="E146" s="17" t="s">
        <v>331</v>
      </c>
      <c r="F146" s="17"/>
      <c r="G146" s="12">
        <v>2.3E-3</v>
      </c>
      <c r="H146" s="12">
        <v>4.7879999999999999E-2</v>
      </c>
      <c r="I146" s="12">
        <v>9.9999999999999995E-7</v>
      </c>
      <c r="J146" s="12">
        <v>4.4092488403675551E-4</v>
      </c>
      <c r="K146" s="13"/>
      <c r="L146" s="14"/>
    </row>
    <row r="147" spans="1:12" ht="12.75">
      <c r="A147" s="10" t="s">
        <v>337</v>
      </c>
      <c r="B147" s="10" t="s">
        <v>320</v>
      </c>
      <c r="C147" s="17" t="s">
        <v>330</v>
      </c>
      <c r="D147" s="621" t="s">
        <v>333</v>
      </c>
      <c r="E147" s="17" t="s">
        <v>331</v>
      </c>
      <c r="F147" s="17"/>
      <c r="G147" s="12">
        <v>2.3E-3</v>
      </c>
      <c r="H147" s="12">
        <v>4.7879999999999999E-2</v>
      </c>
      <c r="I147" s="12">
        <v>9.9999999999999995E-7</v>
      </c>
      <c r="J147" s="12">
        <v>4.4092488403675551E-4</v>
      </c>
      <c r="K147" s="13"/>
      <c r="L147" s="14"/>
    </row>
    <row r="148" spans="1:12" ht="12.75">
      <c r="A148" s="14" t="s">
        <v>338</v>
      </c>
      <c r="B148" s="14" t="s">
        <v>320</v>
      </c>
      <c r="C148" s="17" t="s">
        <v>18</v>
      </c>
      <c r="D148" s="620" t="s">
        <v>18</v>
      </c>
      <c r="E148" s="17" t="s">
        <v>339</v>
      </c>
      <c r="F148" s="17"/>
      <c r="G148" s="12">
        <v>7.8041307047035744E-3</v>
      </c>
      <c r="H148" s="12">
        <v>3.1555215464803207E-2</v>
      </c>
      <c r="I148" s="12">
        <v>4.3460601137286752E-4</v>
      </c>
      <c r="J148" s="12">
        <v>1.280508903681073E-3</v>
      </c>
      <c r="K148" s="13"/>
      <c r="L148" s="14"/>
    </row>
    <row r="149" spans="1:12" ht="12.75">
      <c r="A149" s="14" t="s">
        <v>340</v>
      </c>
      <c r="B149" s="14" t="s">
        <v>320</v>
      </c>
      <c r="C149" s="620" t="s">
        <v>341</v>
      </c>
      <c r="D149" s="17" t="s">
        <v>342</v>
      </c>
      <c r="E149" s="620" t="s">
        <v>25</v>
      </c>
      <c r="F149" s="17"/>
      <c r="G149" s="12">
        <v>2.1708241661196198E-2</v>
      </c>
      <c r="H149" s="12">
        <v>0.36572952458380198</v>
      </c>
      <c r="I149" s="12">
        <v>4.6350652173913045E-4</v>
      </c>
      <c r="J149" s="12">
        <v>1.6975608035415088E-3</v>
      </c>
      <c r="K149" s="13"/>
      <c r="L149" s="14"/>
    </row>
    <row r="150" spans="1:12" ht="12.75">
      <c r="A150" s="14" t="s">
        <v>343</v>
      </c>
      <c r="B150" s="14" t="s">
        <v>320</v>
      </c>
      <c r="C150" s="17" t="s">
        <v>302</v>
      </c>
      <c r="D150" s="17" t="s">
        <v>344</v>
      </c>
      <c r="E150" s="17" t="s">
        <v>345</v>
      </c>
      <c r="F150" s="17"/>
      <c r="G150" s="12">
        <v>2.9691872042618299E-2</v>
      </c>
      <c r="H150" s="12">
        <v>7.5368545517799299E-2</v>
      </c>
      <c r="I150" s="12">
        <v>2.9014018691588786E-4</v>
      </c>
      <c r="J150" s="12">
        <v>1.4770983615231311E-3</v>
      </c>
      <c r="K150" s="13"/>
      <c r="L150" s="14"/>
    </row>
    <row r="151" spans="1:12" ht="12.75">
      <c r="A151" s="14" t="s">
        <v>346</v>
      </c>
      <c r="B151" s="14" t="s">
        <v>320</v>
      </c>
      <c r="C151" s="17" t="s">
        <v>302</v>
      </c>
      <c r="D151" s="620" t="s">
        <v>344</v>
      </c>
      <c r="E151" s="17" t="s">
        <v>345</v>
      </c>
      <c r="F151" s="17"/>
      <c r="G151" s="12">
        <v>2.9691872042618299E-2</v>
      </c>
      <c r="H151" s="12">
        <v>7.5368545517799299E-2</v>
      </c>
      <c r="I151" s="12">
        <v>2.9014018691588786E-4</v>
      </c>
      <c r="J151" s="12">
        <v>1.4770983615231311E-3</v>
      </c>
      <c r="K151" s="13"/>
      <c r="L151" s="14"/>
    </row>
    <row r="152" spans="1:12" ht="12.75">
      <c r="A152" s="14" t="s">
        <v>347</v>
      </c>
      <c r="B152" s="14" t="s">
        <v>320</v>
      </c>
      <c r="C152" s="17" t="s">
        <v>302</v>
      </c>
      <c r="D152" s="620" t="s">
        <v>344</v>
      </c>
      <c r="E152" s="17" t="s">
        <v>345</v>
      </c>
      <c r="F152" s="17"/>
      <c r="G152" s="12">
        <v>2.9691872042618299E-2</v>
      </c>
      <c r="H152" s="12">
        <v>7.5368545517799299E-2</v>
      </c>
      <c r="I152" s="12">
        <v>2.9014018691588786E-4</v>
      </c>
      <c r="J152" s="12">
        <v>1.4770983615231311E-3</v>
      </c>
      <c r="K152" s="13"/>
      <c r="L152" s="14"/>
    </row>
    <row r="153" spans="1:12" ht="12.75">
      <c r="A153" s="14" t="s">
        <v>348</v>
      </c>
      <c r="B153" s="14" t="s">
        <v>320</v>
      </c>
      <c r="C153" s="17" t="s">
        <v>302</v>
      </c>
      <c r="D153" s="620" t="s">
        <v>344</v>
      </c>
      <c r="E153" s="17" t="s">
        <v>345</v>
      </c>
      <c r="F153" s="17"/>
      <c r="G153" s="12">
        <v>2.9691872042618299E-2</v>
      </c>
      <c r="H153" s="12">
        <v>7.5368545517799299E-2</v>
      </c>
      <c r="I153" s="12">
        <v>2.9014018691588786E-4</v>
      </c>
      <c r="J153" s="12">
        <v>1.4770983615231311E-3</v>
      </c>
      <c r="K153" s="13"/>
      <c r="L153" s="14"/>
    </row>
    <row r="154" spans="1:12" ht="12.75">
      <c r="A154" s="14" t="s">
        <v>349</v>
      </c>
      <c r="B154" s="14" t="s">
        <v>320</v>
      </c>
      <c r="C154" s="17" t="s">
        <v>302</v>
      </c>
      <c r="D154" s="17" t="s">
        <v>344</v>
      </c>
      <c r="E154" s="17" t="s">
        <v>345</v>
      </c>
      <c r="F154" s="17"/>
      <c r="G154" s="12">
        <v>2.9691872042618299E-2</v>
      </c>
      <c r="H154" s="12">
        <v>7.5368545517799299E-2</v>
      </c>
      <c r="I154" s="12">
        <v>2.9014018691588786E-4</v>
      </c>
      <c r="J154" s="12">
        <v>1.4770983615231311E-3</v>
      </c>
      <c r="K154" s="13"/>
      <c r="L154" s="14"/>
    </row>
    <row r="155" spans="1:12" ht="12.75">
      <c r="A155" s="14" t="s">
        <v>350</v>
      </c>
      <c r="B155" s="14" t="s">
        <v>320</v>
      </c>
      <c r="C155" s="17" t="s">
        <v>18</v>
      </c>
      <c r="D155" s="17" t="s">
        <v>18</v>
      </c>
      <c r="E155" s="17" t="s">
        <v>25</v>
      </c>
      <c r="F155" s="17"/>
      <c r="G155" s="12">
        <v>7.6923076923076919E-3</v>
      </c>
      <c r="H155" s="12">
        <v>0.183</v>
      </c>
      <c r="I155" s="12">
        <v>2.8673068893528183E-4</v>
      </c>
      <c r="J155" s="12">
        <v>1.4770983615231311E-3</v>
      </c>
      <c r="K155" s="13"/>
      <c r="L155" s="14"/>
    </row>
    <row r="156" spans="1:12" ht="12.75">
      <c r="A156" s="14" t="s">
        <v>351</v>
      </c>
      <c r="B156" s="10" t="s">
        <v>352</v>
      </c>
      <c r="C156" s="17" t="s">
        <v>353</v>
      </c>
      <c r="D156" s="15" t="s">
        <v>354</v>
      </c>
      <c r="E156" s="17" t="s">
        <v>355</v>
      </c>
      <c r="F156" s="17"/>
      <c r="G156" s="12">
        <v>1.2534820143884892E-2</v>
      </c>
      <c r="H156" s="12">
        <v>0.10214805755395684</v>
      </c>
      <c r="I156" s="12">
        <v>4.4435784172661873E-4</v>
      </c>
      <c r="J156" s="12">
        <v>5.3926064954135577E-3</v>
      </c>
      <c r="K156" s="13"/>
      <c r="L156" s="14"/>
    </row>
    <row r="157" spans="1:12" ht="12.75">
      <c r="A157" s="14" t="s">
        <v>356</v>
      </c>
      <c r="B157" s="10" t="s">
        <v>352</v>
      </c>
      <c r="C157" s="17" t="s">
        <v>353</v>
      </c>
      <c r="D157" s="15" t="s">
        <v>354</v>
      </c>
      <c r="E157" s="17" t="s">
        <v>355</v>
      </c>
      <c r="F157" s="17"/>
      <c r="G157" s="12">
        <v>1.4051129032258063E-2</v>
      </c>
      <c r="H157" s="12">
        <v>0.11450467741935483</v>
      </c>
      <c r="I157" s="12">
        <v>4.9811080645161291E-4</v>
      </c>
      <c r="J157" s="12">
        <v>6.0449379263103585E-3</v>
      </c>
      <c r="K157" s="13"/>
      <c r="L157" s="14"/>
    </row>
    <row r="158" spans="1:12" ht="12.75">
      <c r="A158" s="14" t="s">
        <v>357</v>
      </c>
      <c r="B158" s="10" t="s">
        <v>352</v>
      </c>
      <c r="C158" s="17" t="s">
        <v>353</v>
      </c>
      <c r="D158" s="15" t="s">
        <v>354</v>
      </c>
      <c r="E158" s="17" t="s">
        <v>355</v>
      </c>
      <c r="F158" s="17"/>
      <c r="G158" s="12">
        <v>1.2534820143884892E-2</v>
      </c>
      <c r="H158" s="12">
        <v>0.10214805755395684</v>
      </c>
      <c r="I158" s="12">
        <v>4.4435784172661873E-4</v>
      </c>
      <c r="J158" s="12">
        <v>5.3926064954135577E-3</v>
      </c>
      <c r="K158" s="13"/>
      <c r="L158" s="14"/>
    </row>
    <row r="159" spans="1:12" ht="12.75">
      <c r="A159" s="14" t="s">
        <v>358</v>
      </c>
      <c r="B159" s="10" t="s">
        <v>352</v>
      </c>
      <c r="C159" s="17" t="s">
        <v>353</v>
      </c>
      <c r="D159" s="15" t="s">
        <v>354</v>
      </c>
      <c r="E159" s="17" t="s">
        <v>355</v>
      </c>
      <c r="F159" s="17"/>
      <c r="G159" s="12">
        <v>1.2534820143884892E-2</v>
      </c>
      <c r="H159" s="12">
        <v>0.10214805755395684</v>
      </c>
      <c r="I159" s="12">
        <v>4.4435784172661873E-4</v>
      </c>
      <c r="J159" s="12">
        <v>5.3926064954135577E-3</v>
      </c>
      <c r="K159" s="13"/>
      <c r="L159" s="14"/>
    </row>
    <row r="160" spans="1:12" ht="12.75">
      <c r="A160" s="14" t="s">
        <v>359</v>
      </c>
      <c r="B160" s="10" t="s">
        <v>352</v>
      </c>
      <c r="C160" s="17" t="s">
        <v>360</v>
      </c>
      <c r="D160" s="17"/>
      <c r="E160" s="17" t="s">
        <v>361</v>
      </c>
      <c r="F160" s="17"/>
      <c r="G160" s="12">
        <v>1.284515625E-2</v>
      </c>
      <c r="H160" s="12">
        <v>0.10467703125</v>
      </c>
      <c r="I160" s="12">
        <v>4.5535921875000006E-4</v>
      </c>
      <c r="J160" s="12">
        <v>7.1653738381629306E-3</v>
      </c>
      <c r="K160" s="13"/>
      <c r="L160" s="14"/>
    </row>
    <row r="161" spans="1:14" ht="12.75">
      <c r="A161" s="14" t="s">
        <v>362</v>
      </c>
      <c r="B161" s="14" t="s">
        <v>363</v>
      </c>
      <c r="C161" s="17" t="s">
        <v>364</v>
      </c>
      <c r="D161" s="17" t="s">
        <v>365</v>
      </c>
      <c r="E161" s="16" t="s">
        <v>25</v>
      </c>
      <c r="F161" s="17"/>
      <c r="G161" s="12">
        <v>6.4492173908743997E-2</v>
      </c>
      <c r="H161" s="12">
        <v>0.52574608692147207</v>
      </c>
      <c r="I161" s="12">
        <v>2.2871426085431757E-3</v>
      </c>
      <c r="J161" s="12">
        <v>1.782870183160197E-2</v>
      </c>
      <c r="K161" s="13"/>
    </row>
    <row r="162" spans="1:14" ht="12.75">
      <c r="A162" s="14" t="s">
        <v>366</v>
      </c>
      <c r="B162" s="14" t="s">
        <v>363</v>
      </c>
      <c r="C162" s="17"/>
      <c r="D162" s="17"/>
      <c r="E162" s="17" t="s">
        <v>367</v>
      </c>
      <c r="F162" s="17"/>
      <c r="G162" s="12">
        <v>0.35098207049486463</v>
      </c>
      <c r="H162" s="12">
        <v>0.49179687675070033</v>
      </c>
      <c r="I162" s="12">
        <v>4.1794555999066299E-3</v>
      </c>
      <c r="J162" s="12">
        <v>1.8017812838346036E-2</v>
      </c>
      <c r="K162" s="13"/>
      <c r="L162" s="14"/>
    </row>
    <row r="163" spans="1:14" ht="12.75">
      <c r="A163" s="14" t="s">
        <v>368</v>
      </c>
      <c r="B163" s="14" t="s">
        <v>363</v>
      </c>
      <c r="C163" s="17"/>
      <c r="D163" s="17"/>
      <c r="E163" s="17" t="s">
        <v>367</v>
      </c>
      <c r="F163" s="17"/>
      <c r="G163" s="12">
        <v>0.35098207049486463</v>
      </c>
      <c r="H163" s="12">
        <v>0.49179687675070033</v>
      </c>
      <c r="I163" s="12">
        <v>4.1794555999066299E-3</v>
      </c>
      <c r="J163" s="12">
        <v>1.8017812838346036E-2</v>
      </c>
      <c r="K163" s="13"/>
      <c r="L163" s="14"/>
    </row>
    <row r="164" spans="1:14" ht="12.75">
      <c r="A164" s="14" t="s">
        <v>369</v>
      </c>
      <c r="B164" s="14" t="s">
        <v>363</v>
      </c>
      <c r="C164" s="17" t="s">
        <v>370</v>
      </c>
      <c r="D164" s="17" t="s">
        <v>371</v>
      </c>
      <c r="E164" s="17" t="s">
        <v>372</v>
      </c>
      <c r="F164" s="17"/>
      <c r="G164" s="12">
        <v>0.53951072463768124</v>
      </c>
      <c r="H164" s="12">
        <v>0.64725826086956539</v>
      </c>
      <c r="I164" s="12">
        <v>6.0451263768115954E-3</v>
      </c>
      <c r="J164" s="12">
        <v>2.5560862842710468E-2</v>
      </c>
      <c r="K164" s="13"/>
      <c r="L164" s="14"/>
    </row>
    <row r="165" spans="1:14" ht="12.75">
      <c r="A165" s="10" t="s">
        <v>373</v>
      </c>
      <c r="B165" s="14" t="s">
        <v>363</v>
      </c>
      <c r="C165" s="17" t="s">
        <v>370</v>
      </c>
      <c r="D165" s="17" t="s">
        <v>371</v>
      </c>
      <c r="E165" s="17" t="s">
        <v>372</v>
      </c>
      <c r="F165" s="17"/>
      <c r="G165" s="12">
        <v>0.68162031746031748</v>
      </c>
      <c r="H165" s="12">
        <v>0.81774904761904776</v>
      </c>
      <c r="I165" s="12">
        <v>7.6374403174603181E-3</v>
      </c>
      <c r="J165" s="12">
        <v>2.7995230732492413E-2</v>
      </c>
      <c r="K165" s="13"/>
      <c r="L165" s="14"/>
    </row>
    <row r="166" spans="1:14" ht="12.75">
      <c r="A166" s="10" t="s">
        <v>374</v>
      </c>
      <c r="B166" s="14" t="s">
        <v>363</v>
      </c>
      <c r="C166" s="620" t="s">
        <v>370</v>
      </c>
      <c r="D166" s="17" t="s">
        <v>371</v>
      </c>
      <c r="E166" s="17" t="s">
        <v>372</v>
      </c>
      <c r="F166" s="17"/>
      <c r="G166" s="12">
        <v>0.53951072463768124</v>
      </c>
      <c r="H166" s="12">
        <v>0.64725826086956539</v>
      </c>
      <c r="I166" s="12">
        <v>6.0451263768115954E-3</v>
      </c>
      <c r="J166" s="12">
        <v>2.5560862842710468E-2</v>
      </c>
      <c r="K166" s="13"/>
      <c r="L166" s="14"/>
    </row>
    <row r="167" spans="1:14" ht="12.75">
      <c r="A167" s="14" t="s">
        <v>375</v>
      </c>
      <c r="B167" s="14" t="s">
        <v>363</v>
      </c>
      <c r="C167" s="620" t="s">
        <v>370</v>
      </c>
      <c r="D167" s="17" t="s">
        <v>371</v>
      </c>
      <c r="E167" s="620" t="s">
        <v>372</v>
      </c>
      <c r="F167" s="17"/>
      <c r="G167" s="12">
        <v>0.27103561643835616</v>
      </c>
      <c r="H167" s="12">
        <v>0.32516506849315069</v>
      </c>
      <c r="I167" s="12">
        <v>3.0369082191780824E-3</v>
      </c>
      <c r="J167" s="12">
        <v>2.4160267618452354E-2</v>
      </c>
      <c r="K167" s="13"/>
      <c r="L167" s="14"/>
    </row>
    <row r="168" spans="1:14" ht="12.75">
      <c r="A168" s="10" t="s">
        <v>376</v>
      </c>
      <c r="B168" s="14" t="s">
        <v>363</v>
      </c>
      <c r="C168" s="17" t="s">
        <v>370</v>
      </c>
      <c r="D168" s="17" t="s">
        <v>371</v>
      </c>
      <c r="E168" s="620" t="s">
        <v>372</v>
      </c>
      <c r="F168" s="17"/>
      <c r="G168" s="12">
        <v>0.364568</v>
      </c>
      <c r="H168" s="12">
        <v>0.43737712500000003</v>
      </c>
      <c r="I168" s="12">
        <v>4.0849227500000009E-3</v>
      </c>
      <c r="J168" s="12">
        <v>2.2046244201837775E-2</v>
      </c>
      <c r="K168" s="13"/>
      <c r="L168" s="14"/>
    </row>
    <row r="169" spans="1:14" ht="12.75">
      <c r="A169" s="14" t="s">
        <v>377</v>
      </c>
      <c r="B169" s="14" t="s">
        <v>363</v>
      </c>
      <c r="C169" s="620" t="s">
        <v>364</v>
      </c>
      <c r="D169" s="17" t="s">
        <v>377</v>
      </c>
      <c r="E169" s="624" t="s">
        <v>25</v>
      </c>
      <c r="F169" s="17"/>
      <c r="G169" s="12">
        <v>2.0601666673259203E-2</v>
      </c>
      <c r="H169" s="12">
        <v>0.16794666672040964</v>
      </c>
      <c r="I169" s="12">
        <v>7.3061500023379692E-4</v>
      </c>
      <c r="J169" s="12">
        <v>5.6952797539639157E-3</v>
      </c>
      <c r="K169" s="13"/>
      <c r="L169" s="14"/>
    </row>
    <row r="170" spans="1:14" ht="12.75">
      <c r="A170" s="14" t="s">
        <v>378</v>
      </c>
      <c r="B170" s="14" t="s">
        <v>363</v>
      </c>
      <c r="C170" s="620" t="s">
        <v>379</v>
      </c>
      <c r="D170" s="17" t="s">
        <v>380</v>
      </c>
      <c r="E170" s="624" t="s">
        <v>25</v>
      </c>
      <c r="F170" s="17"/>
      <c r="G170" s="12">
        <v>1.4413766233766232E-2</v>
      </c>
      <c r="H170" s="12">
        <v>0.11750233766233766</v>
      </c>
      <c r="I170" s="12">
        <v>5.1116805194805187E-4</v>
      </c>
      <c r="J170" s="12">
        <v>7.1006085221503486E-3</v>
      </c>
      <c r="K170" s="13"/>
      <c r="L170" s="14"/>
    </row>
    <row r="171" spans="1:14" ht="12.75">
      <c r="A171" s="14" t="s">
        <v>381</v>
      </c>
      <c r="B171" s="14" t="s">
        <v>382</v>
      </c>
      <c r="C171" s="620" t="s">
        <v>383</v>
      </c>
      <c r="D171" s="17" t="s">
        <v>384</v>
      </c>
      <c r="E171" s="620" t="s">
        <v>385</v>
      </c>
      <c r="F171" s="17"/>
      <c r="G171" s="12">
        <v>0</v>
      </c>
      <c r="H171" s="12">
        <v>0</v>
      </c>
      <c r="I171" s="12">
        <v>0</v>
      </c>
      <c r="J171" s="12">
        <v>4.4753931430000001E-3</v>
      </c>
      <c r="K171" s="148"/>
      <c r="L171" s="148"/>
      <c r="M171" s="148"/>
      <c r="N171" s="148"/>
    </row>
    <row r="172" spans="1:14" ht="12.75">
      <c r="A172" s="14" t="s">
        <v>386</v>
      </c>
      <c r="B172" s="10" t="s">
        <v>382</v>
      </c>
      <c r="C172" s="620" t="s">
        <v>383</v>
      </c>
      <c r="D172" s="17" t="s">
        <v>386</v>
      </c>
      <c r="E172" s="17" t="s">
        <v>387</v>
      </c>
      <c r="F172" s="17"/>
      <c r="G172" s="12">
        <v>1.4205941722987801E-2</v>
      </c>
      <c r="H172" s="12">
        <v>2.3570399999999999E-4</v>
      </c>
      <c r="I172" s="12">
        <v>2.1285206449999999E-4</v>
      </c>
      <c r="J172" s="12">
        <v>8.081666666666671E-3</v>
      </c>
      <c r="K172" s="148"/>
      <c r="L172" s="148"/>
      <c r="M172" s="148"/>
      <c r="N172" s="148"/>
    </row>
    <row r="173" spans="1:14" ht="12.75">
      <c r="A173" s="14" t="s">
        <v>388</v>
      </c>
      <c r="B173" s="10" t="s">
        <v>382</v>
      </c>
      <c r="C173" s="620" t="s">
        <v>383</v>
      </c>
      <c r="D173" s="17" t="s">
        <v>388</v>
      </c>
      <c r="E173" s="620" t="s">
        <v>387</v>
      </c>
      <c r="F173" s="17"/>
      <c r="G173" s="12">
        <v>0</v>
      </c>
      <c r="H173" s="12">
        <v>0</v>
      </c>
      <c r="I173" s="12">
        <v>0</v>
      </c>
      <c r="J173" s="12">
        <v>2.7715000000000001E-3</v>
      </c>
      <c r="K173" s="148"/>
      <c r="L173" s="148"/>
      <c r="M173" s="148"/>
      <c r="N173" s="148"/>
    </row>
    <row r="174" spans="1:14" ht="12.75">
      <c r="A174" s="14" t="s">
        <v>389</v>
      </c>
      <c r="B174" s="10" t="s">
        <v>382</v>
      </c>
      <c r="C174" s="620" t="s">
        <v>383</v>
      </c>
      <c r="D174" s="17" t="s">
        <v>389</v>
      </c>
      <c r="E174" s="620" t="s">
        <v>387</v>
      </c>
      <c r="F174" s="17"/>
      <c r="G174" s="12">
        <v>0</v>
      </c>
      <c r="H174" s="12">
        <v>0</v>
      </c>
      <c r="I174" s="12">
        <v>0</v>
      </c>
      <c r="J174" s="12">
        <v>4.18814893617021E-3</v>
      </c>
      <c r="K174" s="148"/>
      <c r="L174" s="148"/>
      <c r="M174" s="148"/>
      <c r="N174" s="148"/>
    </row>
    <row r="175" spans="1:14" ht="12.75">
      <c r="A175" s="14" t="s">
        <v>390</v>
      </c>
      <c r="B175" s="10" t="s">
        <v>382</v>
      </c>
      <c r="C175" s="620" t="s">
        <v>383</v>
      </c>
      <c r="D175" s="17" t="s">
        <v>390</v>
      </c>
      <c r="E175" s="620" t="s">
        <v>387</v>
      </c>
      <c r="F175" s="17"/>
      <c r="G175" s="12">
        <v>0</v>
      </c>
      <c r="H175" s="12">
        <v>0</v>
      </c>
      <c r="I175" s="12">
        <v>0</v>
      </c>
      <c r="J175" s="12">
        <v>1.6038461538461498E-2</v>
      </c>
      <c r="K175" s="148"/>
      <c r="L175" s="148"/>
      <c r="M175" s="148"/>
      <c r="N175" s="148"/>
    </row>
    <row r="176" spans="1:14" ht="12.75">
      <c r="A176" s="14" t="s">
        <v>391</v>
      </c>
      <c r="B176" s="10" t="s">
        <v>382</v>
      </c>
      <c r="C176" s="620" t="s">
        <v>383</v>
      </c>
      <c r="D176" s="17" t="s">
        <v>391</v>
      </c>
      <c r="E176" s="17" t="s">
        <v>387</v>
      </c>
      <c r="F176" s="17"/>
      <c r="G176" s="12">
        <v>0</v>
      </c>
      <c r="H176" s="12">
        <v>0</v>
      </c>
      <c r="I176" s="12">
        <v>0</v>
      </c>
      <c r="J176" s="12">
        <v>3.2798717142857097E-3</v>
      </c>
      <c r="K176" s="148"/>
      <c r="L176" s="148"/>
      <c r="M176" s="148"/>
      <c r="N176" s="148"/>
    </row>
    <row r="177" spans="1:14" ht="12.75">
      <c r="A177" s="14" t="s">
        <v>392</v>
      </c>
      <c r="B177" s="10" t="s">
        <v>382</v>
      </c>
      <c r="C177" s="620" t="s">
        <v>383</v>
      </c>
      <c r="D177" s="17" t="s">
        <v>392</v>
      </c>
      <c r="E177" s="620" t="s">
        <v>387</v>
      </c>
      <c r="F177" s="17"/>
      <c r="G177" s="12">
        <v>0</v>
      </c>
      <c r="H177" s="12">
        <v>0</v>
      </c>
      <c r="I177" s="12">
        <v>0</v>
      </c>
      <c r="J177" s="12">
        <v>3.6863489999999998E-3</v>
      </c>
      <c r="K177" s="148"/>
      <c r="L177" s="148"/>
      <c r="M177" s="148"/>
      <c r="N177" s="148"/>
    </row>
    <row r="178" spans="1:14" ht="12.75">
      <c r="A178" s="14" t="s">
        <v>393</v>
      </c>
      <c r="B178" s="10" t="s">
        <v>382</v>
      </c>
      <c r="C178" s="620" t="s">
        <v>383</v>
      </c>
      <c r="D178" s="17" t="s">
        <v>394</v>
      </c>
      <c r="E178" s="620" t="s">
        <v>395</v>
      </c>
      <c r="F178" s="17"/>
      <c r="G178" s="12">
        <v>0</v>
      </c>
      <c r="H178" s="12">
        <v>0</v>
      </c>
      <c r="I178" s="12">
        <v>0</v>
      </c>
      <c r="J178" s="12">
        <v>5.2883477142857101E-3</v>
      </c>
      <c r="K178" s="148"/>
      <c r="L178" s="148"/>
      <c r="M178" s="148"/>
      <c r="N178" s="148"/>
    </row>
    <row r="179" spans="1:14" ht="12.75">
      <c r="A179" s="14" t="s">
        <v>396</v>
      </c>
      <c r="B179" s="10" t="s">
        <v>382</v>
      </c>
      <c r="C179" s="620" t="s">
        <v>383</v>
      </c>
      <c r="D179" s="17" t="s">
        <v>396</v>
      </c>
      <c r="E179" s="620"/>
      <c r="F179" s="17"/>
      <c r="G179" s="12">
        <v>0</v>
      </c>
      <c r="H179" s="12">
        <f>5.05833333333333E-06/100</f>
        <v>5.0583333333333307E-8</v>
      </c>
      <c r="I179" s="12">
        <v>0</v>
      </c>
      <c r="J179" s="12">
        <f>0.27715/100</f>
        <v>2.7715000000000001E-3</v>
      </c>
      <c r="K179" s="13"/>
      <c r="L179" s="14"/>
    </row>
    <row r="180" spans="1:14" ht="12.75">
      <c r="A180" s="14" t="s">
        <v>397</v>
      </c>
      <c r="B180" s="10" t="s">
        <v>382</v>
      </c>
      <c r="C180" s="620" t="s">
        <v>383</v>
      </c>
      <c r="D180" s="17" t="s">
        <v>397</v>
      </c>
      <c r="E180" s="620" t="s">
        <v>398</v>
      </c>
      <c r="F180" s="17"/>
      <c r="G180" s="12">
        <v>0</v>
      </c>
      <c r="H180" s="12">
        <v>0</v>
      </c>
      <c r="I180" s="12">
        <v>0</v>
      </c>
      <c r="J180" s="12">
        <v>3.32666666666667E-3</v>
      </c>
      <c r="K180" s="148"/>
      <c r="L180" s="148"/>
      <c r="M180" s="148"/>
      <c r="N180" s="148"/>
    </row>
    <row r="181" spans="1:14" ht="12.75">
      <c r="A181" s="14" t="s">
        <v>399</v>
      </c>
      <c r="B181" s="10" t="s">
        <v>382</v>
      </c>
      <c r="C181" s="17" t="s">
        <v>383</v>
      </c>
      <c r="D181" s="17" t="s">
        <v>399</v>
      </c>
      <c r="E181" s="620" t="s">
        <v>400</v>
      </c>
      <c r="F181" s="17"/>
      <c r="G181" s="12">
        <v>3.0225999999999999E-3</v>
      </c>
      <c r="H181" s="12">
        <v>4.3179999999999997E-5</v>
      </c>
      <c r="I181" s="12">
        <v>2.5442078733963202E-4</v>
      </c>
      <c r="J181" s="12">
        <v>5.1247625279999993E-3</v>
      </c>
      <c r="K181" s="14"/>
      <c r="L181" s="14"/>
      <c r="M181" s="14"/>
      <c r="N181" s="14"/>
    </row>
    <row r="182" spans="1:14" ht="12.75">
      <c r="A182" s="14" t="s">
        <v>401</v>
      </c>
      <c r="B182" s="10" t="s">
        <v>382</v>
      </c>
      <c r="C182" s="620" t="s">
        <v>383</v>
      </c>
      <c r="D182" s="17" t="s">
        <v>394</v>
      </c>
      <c r="E182" s="620" t="s">
        <v>395</v>
      </c>
      <c r="F182" s="17"/>
      <c r="G182" s="12">
        <v>0</v>
      </c>
      <c r="H182" s="12">
        <v>0</v>
      </c>
      <c r="I182" s="12">
        <v>0</v>
      </c>
      <c r="J182" s="12">
        <v>5.93392928571429E-3</v>
      </c>
      <c r="K182" s="148"/>
      <c r="L182" s="148"/>
      <c r="M182" s="148"/>
      <c r="N182" s="148"/>
    </row>
    <row r="183" spans="1:14" ht="12.75">
      <c r="A183" s="14" t="s">
        <v>402</v>
      </c>
      <c r="B183" s="10" t="s">
        <v>382</v>
      </c>
      <c r="C183" s="620" t="s">
        <v>383</v>
      </c>
      <c r="D183" s="17" t="s">
        <v>402</v>
      </c>
      <c r="E183" s="620" t="s">
        <v>387</v>
      </c>
      <c r="F183" s="17"/>
      <c r="G183" s="12">
        <v>3.2015555555555601E-4</v>
      </c>
      <c r="H183" s="12">
        <v>4.9060800000000002E-4</v>
      </c>
      <c r="I183" s="12">
        <v>3.2872385079429705E-4</v>
      </c>
      <c r="J183" s="12">
        <v>1.0873333333333299E-2</v>
      </c>
      <c r="K183" s="148"/>
      <c r="L183" s="148"/>
      <c r="M183" s="148"/>
      <c r="N183" s="148"/>
    </row>
    <row r="184" spans="1:14" ht="12.75">
      <c r="A184" s="14" t="s">
        <v>403</v>
      </c>
      <c r="B184" s="10" t="s">
        <v>382</v>
      </c>
      <c r="C184" s="17" t="s">
        <v>383</v>
      </c>
      <c r="D184" s="17" t="s">
        <v>403</v>
      </c>
      <c r="E184" s="620" t="s">
        <v>404</v>
      </c>
      <c r="F184" s="17"/>
      <c r="G184" s="12">
        <v>0</v>
      </c>
      <c r="H184" s="12">
        <v>0</v>
      </c>
      <c r="I184" s="12">
        <v>0</v>
      </c>
      <c r="J184" s="12">
        <v>1.4499999999999999E-2</v>
      </c>
      <c r="K184" s="148"/>
      <c r="L184" s="148"/>
      <c r="M184" s="148"/>
      <c r="N184" s="148"/>
    </row>
    <row r="185" spans="1:14" ht="12.75">
      <c r="A185" s="14" t="s">
        <v>405</v>
      </c>
      <c r="B185" s="10" t="s">
        <v>382</v>
      </c>
      <c r="C185" s="17" t="s">
        <v>383</v>
      </c>
      <c r="D185" s="17" t="s">
        <v>405</v>
      </c>
      <c r="E185" s="620" t="s">
        <v>387</v>
      </c>
      <c r="F185" s="17"/>
      <c r="G185" s="12">
        <v>1.2876666666666701E-2</v>
      </c>
      <c r="H185" s="12">
        <v>3.6204E-4</v>
      </c>
      <c r="I185" s="12">
        <v>2.9941586091339101E-4</v>
      </c>
      <c r="J185" s="12">
        <v>1.907E-2</v>
      </c>
      <c r="K185" s="148"/>
      <c r="L185" s="148"/>
      <c r="M185" s="148"/>
      <c r="N185" s="148"/>
    </row>
    <row r="186" spans="1:14" ht="12.75">
      <c r="A186" s="14" t="s">
        <v>406</v>
      </c>
      <c r="B186" s="10" t="s">
        <v>382</v>
      </c>
      <c r="C186" s="17" t="s">
        <v>383</v>
      </c>
      <c r="D186" s="17" t="s">
        <v>407</v>
      </c>
      <c r="E186" s="17" t="s">
        <v>408</v>
      </c>
      <c r="F186" s="17"/>
      <c r="G186" s="12">
        <v>0</v>
      </c>
      <c r="H186" s="12">
        <v>0</v>
      </c>
      <c r="I186" s="12">
        <v>3.3744563232338502E-4</v>
      </c>
      <c r="J186" s="12">
        <v>4.1018149762685327E-3</v>
      </c>
    </row>
    <row r="187" spans="1:14" ht="12.75">
      <c r="A187" s="14" t="s">
        <v>409</v>
      </c>
      <c r="B187" s="10" t="s">
        <v>382</v>
      </c>
      <c r="C187" s="17" t="s">
        <v>383</v>
      </c>
      <c r="D187" s="17" t="s">
        <v>407</v>
      </c>
      <c r="E187" s="620" t="s">
        <v>408</v>
      </c>
      <c r="F187" s="17"/>
      <c r="G187" s="12">
        <v>0</v>
      </c>
      <c r="H187" s="12">
        <v>0</v>
      </c>
      <c r="I187" s="12">
        <v>2.2323326446008546E-4</v>
      </c>
      <c r="J187" s="12">
        <v>4.0785551773399884E-3</v>
      </c>
    </row>
    <row r="188" spans="1:14" ht="12.75">
      <c r="A188" s="14" t="s">
        <v>410</v>
      </c>
      <c r="B188" s="10" t="s">
        <v>411</v>
      </c>
      <c r="C188" s="17" t="s">
        <v>410</v>
      </c>
      <c r="D188" s="15" t="s">
        <v>412</v>
      </c>
      <c r="E188" s="17" t="s">
        <v>413</v>
      </c>
      <c r="F188" s="17"/>
      <c r="G188" s="12">
        <v>3.372204299368619E-2</v>
      </c>
      <c r="H188" s="12">
        <v>6.4584205812988751E-2</v>
      </c>
      <c r="I188" s="12">
        <v>3.9999999999999998E-6</v>
      </c>
      <c r="J188" s="12">
        <v>1.477309663377164E-3</v>
      </c>
      <c r="K188" s="13"/>
      <c r="L188" s="14"/>
    </row>
    <row r="189" spans="1:14" ht="12.75">
      <c r="A189" s="14" t="s">
        <v>414</v>
      </c>
      <c r="B189" s="10" t="s">
        <v>411</v>
      </c>
      <c r="C189" s="17" t="s">
        <v>410</v>
      </c>
      <c r="D189" s="15" t="s">
        <v>412</v>
      </c>
      <c r="E189" s="17" t="s">
        <v>413</v>
      </c>
      <c r="F189" s="17"/>
      <c r="G189" s="12">
        <v>3.372204299368619E-2</v>
      </c>
      <c r="H189" s="12">
        <v>6.4584205812988751E-2</v>
      </c>
      <c r="I189" s="12">
        <v>3.9999999999999998E-6</v>
      </c>
      <c r="J189" s="12">
        <v>1.477309663377164E-3</v>
      </c>
      <c r="K189" s="13"/>
      <c r="L189" s="14"/>
    </row>
    <row r="190" spans="1:14" ht="12.75">
      <c r="A190" s="14" t="s">
        <v>415</v>
      </c>
      <c r="B190" s="10" t="s">
        <v>411</v>
      </c>
      <c r="C190" s="17" t="s">
        <v>410</v>
      </c>
      <c r="D190" s="620" t="s">
        <v>416</v>
      </c>
      <c r="E190" s="17" t="s">
        <v>413</v>
      </c>
      <c r="F190" s="17"/>
      <c r="G190" s="12">
        <v>3.372204299368619E-2</v>
      </c>
      <c r="H190" s="12">
        <v>6.4584205812988751E-2</v>
      </c>
      <c r="I190" s="12">
        <v>3.9999999999999998E-6</v>
      </c>
      <c r="J190" s="12">
        <v>1.477309663377164E-3</v>
      </c>
      <c r="K190" s="13"/>
      <c r="L190" s="14"/>
    </row>
    <row r="191" spans="1:14" ht="12.75">
      <c r="A191" s="14" t="s">
        <v>417</v>
      </c>
      <c r="B191" s="10" t="s">
        <v>411</v>
      </c>
      <c r="C191" s="17" t="s">
        <v>410</v>
      </c>
      <c r="D191" s="15" t="s">
        <v>412</v>
      </c>
      <c r="E191" s="17" t="s">
        <v>413</v>
      </c>
      <c r="F191" s="17"/>
      <c r="G191" s="12">
        <v>3.372204299368619E-2</v>
      </c>
      <c r="H191" s="12">
        <v>6.4584205812988751E-2</v>
      </c>
      <c r="I191" s="12">
        <v>3.9999999999999998E-6</v>
      </c>
      <c r="J191" s="12">
        <v>1.477309663377164E-3</v>
      </c>
      <c r="K191" s="13"/>
      <c r="L191" s="14"/>
    </row>
    <row r="192" spans="1:14" ht="12.75">
      <c r="A192" s="14" t="s">
        <v>418</v>
      </c>
      <c r="B192" s="10" t="s">
        <v>411</v>
      </c>
      <c r="C192" s="17" t="s">
        <v>410</v>
      </c>
      <c r="D192" s="15" t="s">
        <v>412</v>
      </c>
      <c r="E192" s="17" t="s">
        <v>413</v>
      </c>
      <c r="F192" s="17"/>
      <c r="G192" s="12">
        <v>3.372204299368619E-2</v>
      </c>
      <c r="H192" s="12">
        <v>6.4584205812988751E-2</v>
      </c>
      <c r="I192" s="12">
        <v>3.9999999999999998E-6</v>
      </c>
      <c r="J192" s="12">
        <v>1.477309663377164E-3</v>
      </c>
      <c r="K192" s="13"/>
      <c r="L192" s="14"/>
    </row>
    <row r="193" spans="1:12" ht="12.75">
      <c r="A193" s="14" t="s">
        <v>419</v>
      </c>
      <c r="B193" s="10" t="s">
        <v>411</v>
      </c>
      <c r="C193" s="17" t="s">
        <v>410</v>
      </c>
      <c r="D193" s="15" t="s">
        <v>420</v>
      </c>
      <c r="E193" s="17" t="s">
        <v>413</v>
      </c>
      <c r="F193" s="17"/>
      <c r="G193" s="12">
        <v>3.372204299368619E-2</v>
      </c>
      <c r="H193" s="12">
        <v>6.4584205812988751E-2</v>
      </c>
      <c r="I193" s="12">
        <v>3.9999999999999998E-6</v>
      </c>
      <c r="J193" s="12">
        <v>1.477309663377164E-3</v>
      </c>
      <c r="K193" s="13"/>
      <c r="L193" s="14"/>
    </row>
    <row r="194" spans="1:12" ht="12.75">
      <c r="A194" s="10" t="s">
        <v>421</v>
      </c>
      <c r="B194" s="10" t="s">
        <v>411</v>
      </c>
      <c r="C194" s="17" t="s">
        <v>410</v>
      </c>
      <c r="D194" s="15" t="s">
        <v>420</v>
      </c>
      <c r="E194" s="17" t="s">
        <v>422</v>
      </c>
      <c r="F194" s="17"/>
      <c r="G194" s="12">
        <v>3.372204299368619E-2</v>
      </c>
      <c r="H194" s="12">
        <v>6.4584205812988751E-2</v>
      </c>
      <c r="I194" s="12">
        <v>3.9999999999999998E-6</v>
      </c>
      <c r="J194" s="12">
        <v>1.477309663377164E-3</v>
      </c>
      <c r="K194" s="13"/>
      <c r="L194" s="14"/>
    </row>
    <row r="195" spans="1:12" ht="12.75">
      <c r="A195" s="14" t="s">
        <v>423</v>
      </c>
      <c r="B195" s="10" t="s">
        <v>411</v>
      </c>
      <c r="C195" s="17" t="s">
        <v>410</v>
      </c>
      <c r="D195" s="17" t="s">
        <v>423</v>
      </c>
      <c r="E195" s="17" t="s">
        <v>413</v>
      </c>
      <c r="F195" s="17"/>
      <c r="G195" s="12">
        <v>8.22790593034603E-2</v>
      </c>
      <c r="H195" s="12">
        <v>0.15758024213268212</v>
      </c>
      <c r="I195" s="12">
        <v>9.7596766979824417E-6</v>
      </c>
      <c r="J195" s="12">
        <v>3.6045161743415983E-3</v>
      </c>
      <c r="K195" s="13"/>
      <c r="L195" s="14"/>
    </row>
    <row r="196" spans="1:12" ht="12.75">
      <c r="A196" s="14" t="s">
        <v>424</v>
      </c>
      <c r="B196" s="10" t="s">
        <v>411</v>
      </c>
      <c r="C196" s="17" t="s">
        <v>410</v>
      </c>
      <c r="D196" s="15" t="s">
        <v>420</v>
      </c>
      <c r="E196" s="17" t="s">
        <v>413</v>
      </c>
      <c r="F196" s="17"/>
      <c r="G196" s="12">
        <v>0.2509573149461517</v>
      </c>
      <c r="H196" s="12">
        <v>0.48063158219067315</v>
      </c>
      <c r="I196" s="12">
        <v>2.9767747463359634E-5</v>
      </c>
      <c r="J196" s="12">
        <v>1.0994045246148063E-2</v>
      </c>
      <c r="K196" s="13"/>
      <c r="L196" s="14"/>
    </row>
    <row r="197" spans="1:12" ht="12.75">
      <c r="A197" s="14" t="s">
        <v>425</v>
      </c>
      <c r="B197" s="14" t="s">
        <v>411</v>
      </c>
      <c r="C197" s="17" t="s">
        <v>55</v>
      </c>
      <c r="D197" s="15" t="s">
        <v>426</v>
      </c>
      <c r="E197" s="16" t="s">
        <v>427</v>
      </c>
      <c r="F197" s="17"/>
      <c r="G197" s="12">
        <v>3.8102374934982654E-3</v>
      </c>
      <c r="H197" s="12">
        <v>0.20470422547079484</v>
      </c>
      <c r="I197" s="12">
        <v>1.210810810810811E-4</v>
      </c>
      <c r="J197" s="12">
        <v>1.0002400855855065E-3</v>
      </c>
      <c r="K197" s="13"/>
      <c r="L197" s="14"/>
    </row>
    <row r="198" spans="1:12" ht="12.75">
      <c r="A198" s="14" t="s">
        <v>428</v>
      </c>
      <c r="B198" s="14" t="s">
        <v>411</v>
      </c>
      <c r="C198" s="17" t="s">
        <v>55</v>
      </c>
      <c r="D198" s="15" t="s">
        <v>426</v>
      </c>
      <c r="E198" s="16" t="s">
        <v>427</v>
      </c>
      <c r="F198" s="17"/>
      <c r="G198" s="12">
        <v>3.8102374934982654E-3</v>
      </c>
      <c r="H198" s="12">
        <v>0.20470422547079484</v>
      </c>
      <c r="I198" s="12">
        <v>1.210810810810811E-4</v>
      </c>
      <c r="J198" s="12">
        <v>1.0002400855855065E-3</v>
      </c>
      <c r="K198" s="13"/>
      <c r="L198" s="14"/>
    </row>
    <row r="199" spans="1:12" ht="12.75">
      <c r="A199" s="14" t="s">
        <v>429</v>
      </c>
      <c r="B199" s="14" t="s">
        <v>411</v>
      </c>
      <c r="C199" s="17" t="s">
        <v>55</v>
      </c>
      <c r="D199" s="621" t="s">
        <v>322</v>
      </c>
      <c r="E199" s="16" t="s">
        <v>427</v>
      </c>
      <c r="F199" s="17"/>
      <c r="G199" s="12">
        <v>3.8102374934982654E-3</v>
      </c>
      <c r="H199" s="12">
        <v>0.20470422547079484</v>
      </c>
      <c r="I199" s="12">
        <v>1.210810810810811E-4</v>
      </c>
      <c r="J199" s="12">
        <v>1.0002400855855065E-3</v>
      </c>
      <c r="K199" s="13"/>
      <c r="L199" s="14"/>
    </row>
    <row r="200" spans="1:12" ht="12.75">
      <c r="A200" s="14" t="s">
        <v>430</v>
      </c>
      <c r="B200" s="14" t="s">
        <v>411</v>
      </c>
      <c r="C200" s="17" t="s">
        <v>18</v>
      </c>
      <c r="D200" s="620" t="s">
        <v>18</v>
      </c>
      <c r="E200" s="17" t="s">
        <v>431</v>
      </c>
      <c r="F200" s="17"/>
      <c r="G200" s="12">
        <v>0</v>
      </c>
      <c r="H200" s="12">
        <v>0</v>
      </c>
      <c r="I200" s="12">
        <v>0</v>
      </c>
      <c r="J200" s="12">
        <v>0</v>
      </c>
      <c r="K200" s="13"/>
      <c r="L200" s="14"/>
    </row>
    <row r="201" spans="1:12" ht="12.75">
      <c r="A201" s="14" t="s">
        <v>432</v>
      </c>
      <c r="B201" s="10" t="s">
        <v>411</v>
      </c>
      <c r="C201" s="17" t="s">
        <v>433</v>
      </c>
      <c r="D201" s="17" t="s">
        <v>432</v>
      </c>
      <c r="E201" s="17" t="s">
        <v>434</v>
      </c>
      <c r="F201" s="17"/>
      <c r="G201" s="12">
        <v>2.2558902713754649E-4</v>
      </c>
      <c r="H201" s="12">
        <v>9.3669250645994837E-3</v>
      </c>
      <c r="I201" s="12">
        <v>3.8830162085976054E-4</v>
      </c>
      <c r="J201" s="12">
        <v>3.0037166166469137E-4</v>
      </c>
      <c r="K201" s="13"/>
    </row>
    <row r="202" spans="1:12" ht="12.75">
      <c r="A202" s="14" t="s">
        <v>435</v>
      </c>
      <c r="B202" s="14" t="s">
        <v>411</v>
      </c>
      <c r="C202" s="620" t="s">
        <v>55</v>
      </c>
      <c r="D202" s="17" t="s">
        <v>436</v>
      </c>
      <c r="E202" s="17" t="s">
        <v>437</v>
      </c>
      <c r="F202" s="17"/>
      <c r="G202" s="12">
        <v>1.752583727203297E-3</v>
      </c>
      <c r="H202" s="12">
        <v>9.4157200190816151E-2</v>
      </c>
      <c r="I202" s="12">
        <v>5.4351301115241636E-5</v>
      </c>
      <c r="J202" s="12">
        <v>3.99414019024745E-4</v>
      </c>
      <c r="K202" s="13"/>
      <c r="L202" s="14"/>
    </row>
    <row r="203" spans="1:12" ht="12.75">
      <c r="A203" s="14" t="s">
        <v>438</v>
      </c>
      <c r="B203" s="14" t="s">
        <v>411</v>
      </c>
      <c r="C203" s="17" t="s">
        <v>438</v>
      </c>
      <c r="D203" s="17" t="s">
        <v>439</v>
      </c>
      <c r="E203" s="17" t="s">
        <v>361</v>
      </c>
      <c r="F203" s="17"/>
      <c r="G203" s="12">
        <v>0</v>
      </c>
      <c r="H203" s="12">
        <v>0</v>
      </c>
      <c r="I203" s="12">
        <v>0</v>
      </c>
      <c r="J203" s="12">
        <v>0</v>
      </c>
      <c r="K203" s="13"/>
      <c r="L203" s="14"/>
    </row>
    <row r="204" spans="1:12" ht="12.75">
      <c r="A204" s="10" t="s">
        <v>433</v>
      </c>
      <c r="B204" s="10" t="s">
        <v>411</v>
      </c>
      <c r="C204" s="17" t="s">
        <v>433</v>
      </c>
      <c r="D204" s="15" t="s">
        <v>440</v>
      </c>
      <c r="E204" s="17" t="s">
        <v>434</v>
      </c>
      <c r="F204" s="17"/>
      <c r="G204" s="12">
        <v>3.0104466724907065E-4</v>
      </c>
      <c r="H204" s="12">
        <v>1.2500000000000001E-2</v>
      </c>
      <c r="I204" s="12">
        <v>5.1818181818181835E-4</v>
      </c>
      <c r="J204" s="12">
        <v>4.0084080366977777E-4</v>
      </c>
      <c r="K204" s="13"/>
    </row>
    <row r="205" spans="1:12" ht="12.75">
      <c r="A205" s="14" t="s">
        <v>441</v>
      </c>
      <c r="B205" s="10" t="s">
        <v>411</v>
      </c>
      <c r="C205" s="17" t="s">
        <v>433</v>
      </c>
      <c r="D205" s="15" t="s">
        <v>440</v>
      </c>
      <c r="E205" s="17" t="s">
        <v>434</v>
      </c>
      <c r="F205" s="17"/>
      <c r="G205" s="12">
        <v>2.9559941486988851E-4</v>
      </c>
      <c r="H205" s="12">
        <v>1.227390180878553E-2</v>
      </c>
      <c r="I205" s="12">
        <v>5.0880902043692758E-4</v>
      </c>
      <c r="J205" s="12">
        <v>3.9359045321580248E-4</v>
      </c>
      <c r="K205" s="13"/>
    </row>
    <row r="206" spans="1:12" ht="12.75">
      <c r="A206" s="14" t="s">
        <v>442</v>
      </c>
      <c r="B206" s="10" t="s">
        <v>411</v>
      </c>
      <c r="C206" s="17" t="s">
        <v>433</v>
      </c>
      <c r="D206" s="15" t="s">
        <v>440</v>
      </c>
      <c r="E206" s="17" t="s">
        <v>434</v>
      </c>
      <c r="F206" s="17"/>
      <c r="G206" s="12">
        <v>3.0104466724907065E-4</v>
      </c>
      <c r="H206" s="12">
        <v>1.2500000000000001E-2</v>
      </c>
      <c r="I206" s="12">
        <v>5.1818181818181835E-4</v>
      </c>
      <c r="J206" s="12">
        <v>4.0084080366977777E-4</v>
      </c>
      <c r="K206" s="13"/>
    </row>
    <row r="207" spans="1:12" ht="12.75">
      <c r="A207" s="10" t="s">
        <v>443</v>
      </c>
      <c r="B207" s="10" t="s">
        <v>411</v>
      </c>
      <c r="C207" s="17" t="s">
        <v>433</v>
      </c>
      <c r="D207" s="15" t="s">
        <v>440</v>
      </c>
      <c r="E207" s="17" t="s">
        <v>434</v>
      </c>
      <c r="F207" s="17"/>
      <c r="G207" s="12">
        <v>3.0104466724907065E-4</v>
      </c>
      <c r="H207" s="12">
        <v>1.2500000000000001E-2</v>
      </c>
      <c r="I207" s="12">
        <v>5.1818181818181835E-4</v>
      </c>
      <c r="J207" s="12">
        <v>4.0084080366977777E-4</v>
      </c>
      <c r="K207" s="13"/>
    </row>
    <row r="208" spans="1:12" ht="12.75">
      <c r="A208" s="14" t="s">
        <v>444</v>
      </c>
      <c r="B208" s="14" t="s">
        <v>445</v>
      </c>
      <c r="C208" s="17" t="s">
        <v>445</v>
      </c>
      <c r="D208" s="17" t="s">
        <v>444</v>
      </c>
      <c r="E208" s="11" t="s">
        <v>446</v>
      </c>
      <c r="F208" s="17"/>
      <c r="G208" s="12">
        <v>1.5085859519408502E-3</v>
      </c>
      <c r="H208" s="12">
        <v>3.1939309919901404E-2</v>
      </c>
      <c r="I208" s="12">
        <v>3.4426229508196721E-5</v>
      </c>
      <c r="J208" s="12">
        <v>5.7826098360655735E-4</v>
      </c>
      <c r="K208" s="13"/>
    </row>
    <row r="209" spans="1:49" ht="12.75">
      <c r="A209" s="14" t="s">
        <v>447</v>
      </c>
      <c r="B209" s="14" t="s">
        <v>445</v>
      </c>
      <c r="C209" s="17" t="s">
        <v>448</v>
      </c>
      <c r="D209" s="17"/>
      <c r="E209" s="25" t="s">
        <v>449</v>
      </c>
      <c r="F209" s="17"/>
      <c r="G209" s="12">
        <v>8.1081081081081077E-4</v>
      </c>
      <c r="H209" s="12">
        <v>2.8510934410257097E-2</v>
      </c>
      <c r="I209" s="12">
        <v>2.8378378378378378E-5</v>
      </c>
      <c r="J209" s="12">
        <v>3.5750594594594591E-4</v>
      </c>
      <c r="K209" s="13"/>
    </row>
    <row r="210" spans="1:49" ht="12.75">
      <c r="A210" s="14" t="s">
        <v>450</v>
      </c>
      <c r="B210" s="14" t="s">
        <v>445</v>
      </c>
      <c r="C210" s="17" t="s">
        <v>445</v>
      </c>
      <c r="D210" s="17" t="s">
        <v>450</v>
      </c>
      <c r="E210" s="25" t="s">
        <v>451</v>
      </c>
      <c r="F210" s="17"/>
      <c r="G210" s="12">
        <v>5.8916802021295798E-4</v>
      </c>
      <c r="H210" s="12">
        <v>1.0256873007279099E-2</v>
      </c>
      <c r="I210" s="12">
        <v>3.2911392405063288E-5</v>
      </c>
      <c r="J210" s="12">
        <v>1.6743949367088607E-4</v>
      </c>
      <c r="K210" s="13"/>
    </row>
    <row r="211" spans="1:49" ht="12.75">
      <c r="A211" s="14" t="s">
        <v>24</v>
      </c>
      <c r="B211" s="14" t="s">
        <v>445</v>
      </c>
      <c r="C211" s="17" t="s">
        <v>452</v>
      </c>
      <c r="D211" s="16" t="s">
        <v>453</v>
      </c>
      <c r="E211" s="17" t="s">
        <v>454</v>
      </c>
      <c r="F211" s="17"/>
      <c r="G211" s="12">
        <v>5.4980000000000003E-4</v>
      </c>
      <c r="H211" s="12">
        <v>1.010611E-2</v>
      </c>
      <c r="I211" s="12">
        <v>3.4146341463414633E-5</v>
      </c>
      <c r="J211" s="12">
        <v>1.3442804878048784E-4</v>
      </c>
      <c r="K211" s="13"/>
    </row>
    <row r="212" spans="1:49" ht="12.75">
      <c r="A212" s="14" t="s">
        <v>455</v>
      </c>
      <c r="B212" s="14" t="s">
        <v>445</v>
      </c>
      <c r="C212" s="17" t="s">
        <v>452</v>
      </c>
      <c r="D212" s="16" t="s">
        <v>453</v>
      </c>
      <c r="E212" s="17" t="s">
        <v>456</v>
      </c>
      <c r="F212" s="17"/>
      <c r="G212" s="12">
        <v>4.6934146341463416E-4</v>
      </c>
      <c r="H212" s="12">
        <v>8.6271670731707314E-3</v>
      </c>
      <c r="I212" s="12">
        <v>2.9149315883402736E-5</v>
      </c>
      <c r="J212" s="12">
        <v>1.1475565139797742E-4</v>
      </c>
      <c r="K212" s="13"/>
    </row>
    <row r="213" spans="1:49" ht="12.75">
      <c r="A213" s="14" t="s">
        <v>457</v>
      </c>
      <c r="B213" s="14" t="s">
        <v>445</v>
      </c>
      <c r="C213" s="17" t="s">
        <v>445</v>
      </c>
      <c r="D213" s="17" t="s">
        <v>457</v>
      </c>
      <c r="E213" s="17" t="s">
        <v>458</v>
      </c>
      <c r="F213" s="17"/>
      <c r="G213" s="12">
        <v>2.14888098999473E-3</v>
      </c>
      <c r="H213" s="12">
        <v>5.1770668773038403E-2</v>
      </c>
      <c r="I213" s="12">
        <v>4.6666666666666665E-5</v>
      </c>
      <c r="J213" s="12">
        <v>6.8588177777777789E-4</v>
      </c>
      <c r="K213" s="13"/>
    </row>
    <row r="214" spans="1:49" ht="12.75">
      <c r="A214" s="14" t="s">
        <v>459</v>
      </c>
      <c r="B214" s="14" t="s">
        <v>445</v>
      </c>
      <c r="C214" s="17" t="s">
        <v>460</v>
      </c>
      <c r="D214" s="17" t="s">
        <v>18</v>
      </c>
      <c r="E214" s="17" t="s">
        <v>461</v>
      </c>
      <c r="F214" s="17"/>
      <c r="G214" s="12">
        <v>2.8944733420025999E-4</v>
      </c>
      <c r="H214" s="12">
        <v>9.8179453836150891E-3</v>
      </c>
      <c r="I214" s="12">
        <v>1.0639011302594951E-5</v>
      </c>
      <c r="J214" s="12">
        <v>1.4697466666666669E-4</v>
      </c>
      <c r="K214" s="13"/>
    </row>
    <row r="215" spans="1:49" ht="12.75">
      <c r="A215" s="14" t="s">
        <v>462</v>
      </c>
      <c r="B215" s="10" t="s">
        <v>445</v>
      </c>
      <c r="C215" s="17" t="s">
        <v>18</v>
      </c>
      <c r="D215" s="15" t="s">
        <v>463</v>
      </c>
      <c r="E215" s="11" t="s">
        <v>464</v>
      </c>
      <c r="F215" s="17"/>
      <c r="G215" s="12">
        <v>1.6146898803046799E-3</v>
      </c>
      <c r="H215" s="12">
        <v>2.6750090678273501E-2</v>
      </c>
      <c r="I215" s="12">
        <v>9.3103448275862075E-5</v>
      </c>
      <c r="J215" s="12">
        <v>1.0896397701149426E-3</v>
      </c>
      <c r="K215" s="13"/>
    </row>
    <row r="216" spans="1:49" ht="12.75">
      <c r="A216" s="14" t="s">
        <v>465</v>
      </c>
      <c r="B216" s="10" t="s">
        <v>445</v>
      </c>
      <c r="C216" s="17" t="s">
        <v>18</v>
      </c>
      <c r="D216" s="15" t="s">
        <v>466</v>
      </c>
      <c r="E216" s="623" t="s">
        <v>467</v>
      </c>
      <c r="F216" s="17"/>
      <c r="G216" s="12">
        <v>3.5869956401399267E-3</v>
      </c>
      <c r="H216" s="12">
        <v>5.9424698083949859E-2</v>
      </c>
      <c r="I216" s="12">
        <v>2.0682712335107616E-4</v>
      </c>
      <c r="J216" s="12">
        <v>2.4206091537452754E-3</v>
      </c>
      <c r="K216" s="13"/>
    </row>
    <row r="217" spans="1:49" ht="12.75">
      <c r="A217" s="14" t="s">
        <v>468</v>
      </c>
      <c r="B217" s="14" t="s">
        <v>445</v>
      </c>
      <c r="C217" s="17" t="s">
        <v>18</v>
      </c>
      <c r="D217" s="17" t="s">
        <v>18</v>
      </c>
      <c r="E217" s="17" t="s">
        <v>469</v>
      </c>
      <c r="F217" s="17"/>
      <c r="G217" s="12">
        <v>2.9479682138342099E-3</v>
      </c>
      <c r="H217" s="12">
        <v>2.6157365601107697E-2</v>
      </c>
      <c r="I217" s="12">
        <v>6.1363636363636362E-5</v>
      </c>
      <c r="J217" s="12">
        <v>3.5908655328750923E-4</v>
      </c>
      <c r="K217" s="13"/>
    </row>
    <row r="218" spans="1:49" ht="12.75">
      <c r="A218" s="14" t="s">
        <v>470</v>
      </c>
      <c r="B218" s="14" t="s">
        <v>445</v>
      </c>
      <c r="C218" s="17" t="s">
        <v>470</v>
      </c>
      <c r="D218" s="17" t="s">
        <v>471</v>
      </c>
      <c r="E218" s="17" t="s">
        <v>472</v>
      </c>
      <c r="F218" s="17"/>
      <c r="G218" s="12">
        <v>1.6008592628529055E-3</v>
      </c>
      <c r="H218" s="12">
        <v>2.7809552079870136E-2</v>
      </c>
      <c r="I218" s="12">
        <v>1.8918918918918918E-5</v>
      </c>
      <c r="J218" s="12">
        <v>4.4688243243243248E-4</v>
      </c>
      <c r="K218" s="13"/>
    </row>
    <row r="219" spans="1:49" ht="12.75">
      <c r="A219" s="14" t="s">
        <v>473</v>
      </c>
      <c r="B219" s="14" t="s">
        <v>445</v>
      </c>
      <c r="C219" s="17" t="s">
        <v>474</v>
      </c>
      <c r="D219" s="17" t="s">
        <v>475</v>
      </c>
      <c r="E219" s="17" t="s">
        <v>476</v>
      </c>
      <c r="F219" s="17"/>
      <c r="G219" s="12">
        <v>3.7676505686062725E-4</v>
      </c>
      <c r="H219" s="12">
        <v>3.9594550949037634E-3</v>
      </c>
      <c r="I219" s="12">
        <v>1.4354578172208981E-4</v>
      </c>
      <c r="J219" s="12">
        <v>2.6812945945945945E-4</v>
      </c>
      <c r="K219" s="13"/>
    </row>
    <row r="220" spans="1:49" ht="12.75">
      <c r="A220" s="14" t="s">
        <v>477</v>
      </c>
      <c r="B220" s="14" t="s">
        <v>445</v>
      </c>
      <c r="C220" s="17" t="s">
        <v>474</v>
      </c>
      <c r="D220" s="17" t="s">
        <v>475</v>
      </c>
      <c r="E220" s="17" t="s">
        <v>478</v>
      </c>
      <c r="F220" s="17"/>
      <c r="G220" s="12">
        <v>8.4376421531463298E-4</v>
      </c>
      <c r="H220" s="12">
        <v>1.9553955016426601E-2</v>
      </c>
      <c r="I220" s="12">
        <v>4.1791044776119397E-5</v>
      </c>
      <c r="J220" s="12">
        <v>1.3820005970149253E-3</v>
      </c>
      <c r="K220" s="13"/>
    </row>
    <row r="221" spans="1:49" ht="12.75">
      <c r="A221" s="14" t="s">
        <v>479</v>
      </c>
      <c r="B221" s="10" t="s">
        <v>445</v>
      </c>
      <c r="C221" s="17" t="s">
        <v>18</v>
      </c>
      <c r="D221" s="17" t="s">
        <v>18</v>
      </c>
      <c r="E221" s="17" t="s">
        <v>480</v>
      </c>
      <c r="F221" s="17"/>
      <c r="G221" s="12">
        <v>3.7811354536082471E-4</v>
      </c>
      <c r="H221" s="12">
        <v>2.268041237113402E-2</v>
      </c>
      <c r="I221" s="12">
        <v>4.52688206185567E-6</v>
      </c>
      <c r="J221" s="12">
        <v>2.1958762886597938E-3</v>
      </c>
      <c r="K221" s="13"/>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row>
    <row r="222" spans="1:49" ht="12.75">
      <c r="A222" s="14" t="s">
        <v>481</v>
      </c>
      <c r="B222" s="14" t="s">
        <v>445</v>
      </c>
      <c r="C222" s="17" t="s">
        <v>470</v>
      </c>
      <c r="D222" s="17" t="s">
        <v>471</v>
      </c>
      <c r="E222" s="17" t="s">
        <v>472</v>
      </c>
      <c r="F222" s="17"/>
      <c r="G222" s="12">
        <v>1.7421115507516912E-3</v>
      </c>
      <c r="H222" s="12">
        <v>3.0263336086917496E-2</v>
      </c>
      <c r="I222" s="12">
        <v>2.0588235294117645E-5</v>
      </c>
      <c r="J222" s="12">
        <v>4.8631323529411762E-4</v>
      </c>
      <c r="K222" s="13"/>
    </row>
    <row r="223" spans="1:49" ht="14.25">
      <c r="A223" s="14" t="s">
        <v>482</v>
      </c>
      <c r="B223" s="14" t="s">
        <v>445</v>
      </c>
      <c r="C223" s="17" t="s">
        <v>482</v>
      </c>
      <c r="D223" s="17"/>
      <c r="E223" s="26" t="s">
        <v>451</v>
      </c>
      <c r="F223" s="27"/>
      <c r="G223" s="12">
        <v>4.7754773653722405E-4</v>
      </c>
      <c r="H223" s="12">
        <v>9.9048845026103102E-3</v>
      </c>
      <c r="I223" s="12">
        <v>1.1598405219282348E-5</v>
      </c>
      <c r="J223" s="12">
        <v>9.908404494382022E-5</v>
      </c>
      <c r="K223" s="13"/>
    </row>
    <row r="224" spans="1:49" ht="12.75">
      <c r="A224" s="14" t="s">
        <v>483</v>
      </c>
      <c r="B224" s="10" t="s">
        <v>445</v>
      </c>
      <c r="C224" s="17" t="s">
        <v>445</v>
      </c>
      <c r="D224" s="621" t="s">
        <v>484</v>
      </c>
      <c r="E224" s="17" t="s">
        <v>485</v>
      </c>
      <c r="F224" s="17"/>
      <c r="G224" s="12">
        <v>9.6087130421459947E-3</v>
      </c>
      <c r="H224" s="12">
        <v>0.16691911148384272</v>
      </c>
      <c r="I224" s="12">
        <v>1.5345345345345343E-4</v>
      </c>
      <c r="J224" s="12">
        <v>3.6247130630630633E-3</v>
      </c>
      <c r="K224" s="13"/>
    </row>
    <row r="225" spans="1:49" ht="12.75">
      <c r="A225" s="14" t="s">
        <v>486</v>
      </c>
      <c r="B225" s="14" t="s">
        <v>445</v>
      </c>
      <c r="C225" s="17" t="s">
        <v>487</v>
      </c>
      <c r="D225" s="17" t="s">
        <v>488</v>
      </c>
      <c r="E225" s="17" t="s">
        <v>489</v>
      </c>
      <c r="F225" s="17"/>
      <c r="G225">
        <v>8.2739760746147598E-4</v>
      </c>
      <c r="H225">
        <v>1.9887131659999998E-2</v>
      </c>
      <c r="I225">
        <v>5.1219512195121953E-5</v>
      </c>
      <c r="J225">
        <v>3.2262731707317075E-4</v>
      </c>
      <c r="K225" s="13"/>
    </row>
    <row r="226" spans="1:49" ht="12.75">
      <c r="A226" s="14" t="s">
        <v>490</v>
      </c>
      <c r="B226" s="14" t="s">
        <v>445</v>
      </c>
      <c r="C226" s="17" t="s">
        <v>487</v>
      </c>
      <c r="D226" s="17" t="s">
        <v>488</v>
      </c>
      <c r="E226" s="17" t="s">
        <v>489</v>
      </c>
      <c r="F226" s="17"/>
      <c r="G226" s="12">
        <v>7.9819533896283569E-4</v>
      </c>
      <c r="H226" s="12">
        <v>1.9185232895529411E-2</v>
      </c>
      <c r="I226" s="12">
        <v>4.9411764705882349E-5</v>
      </c>
      <c r="J226" s="12">
        <v>3.1124047058823527E-4</v>
      </c>
      <c r="K226" s="13"/>
    </row>
    <row r="227" spans="1:49" ht="12.75">
      <c r="A227" s="14" t="s">
        <v>491</v>
      </c>
      <c r="B227" s="14" t="s">
        <v>445</v>
      </c>
      <c r="C227" s="17" t="s">
        <v>487</v>
      </c>
      <c r="D227" s="17" t="s">
        <v>488</v>
      </c>
      <c r="E227" s="17" t="s">
        <v>489</v>
      </c>
      <c r="F227" s="17"/>
      <c r="G227">
        <v>8.2739760746147598E-4</v>
      </c>
      <c r="H227">
        <v>1.9887131659999998E-2</v>
      </c>
      <c r="I227">
        <v>5.1219512195121953E-5</v>
      </c>
      <c r="J227">
        <v>3.2262731707317075E-4</v>
      </c>
      <c r="K227" s="13"/>
    </row>
    <row r="228" spans="1:49" ht="12.75">
      <c r="A228" s="10" t="s">
        <v>492</v>
      </c>
      <c r="B228" s="10" t="s">
        <v>445</v>
      </c>
      <c r="C228" s="17" t="s">
        <v>492</v>
      </c>
      <c r="D228" s="15" t="s">
        <v>493</v>
      </c>
      <c r="E228" s="17" t="s">
        <v>494</v>
      </c>
      <c r="F228" s="17"/>
      <c r="G228" s="12">
        <v>5.5636766460262456E-4</v>
      </c>
      <c r="H228" s="12">
        <v>1.354456626711356E-2</v>
      </c>
      <c r="I228" s="12">
        <v>7.0283975659229207E-5</v>
      </c>
      <c r="J228" s="12">
        <v>7.0431572008113595E-4</v>
      </c>
      <c r="K228" s="13"/>
    </row>
    <row r="229" spans="1:49" ht="12.75">
      <c r="A229" s="10" t="s">
        <v>493</v>
      </c>
      <c r="B229" s="10" t="s">
        <v>445</v>
      </c>
      <c r="C229" s="17" t="s">
        <v>492</v>
      </c>
      <c r="D229" s="15" t="s">
        <v>493</v>
      </c>
      <c r="E229" s="11" t="s">
        <v>495</v>
      </c>
      <c r="F229" s="17"/>
      <c r="G229" s="12">
        <v>5.5636766460262456E-4</v>
      </c>
      <c r="H229" s="12">
        <v>1.354456626711356E-2</v>
      </c>
      <c r="I229" s="12">
        <v>7.0283975659229207E-5</v>
      </c>
      <c r="J229" s="12">
        <v>7.0431572008113595E-4</v>
      </c>
      <c r="K229" s="13"/>
    </row>
    <row r="230" spans="1:49" ht="12.75">
      <c r="A230" s="14" t="s">
        <v>496</v>
      </c>
      <c r="B230" s="10" t="s">
        <v>445</v>
      </c>
      <c r="C230" s="17" t="s">
        <v>445</v>
      </c>
      <c r="D230" s="15" t="s">
        <v>497</v>
      </c>
      <c r="E230" s="11" t="s">
        <v>498</v>
      </c>
      <c r="F230" s="17"/>
      <c r="G230" s="12">
        <v>1.1846358545111501E-3</v>
      </c>
      <c r="H230" s="12">
        <v>2.0579068539103899E-2</v>
      </c>
      <c r="I230" s="12">
        <v>1.8918918918918918E-5</v>
      </c>
      <c r="J230" s="12">
        <v>4.4688243243243248E-4</v>
      </c>
      <c r="K230" s="13"/>
    </row>
    <row r="231" spans="1:49" ht="12.75">
      <c r="A231" s="14" t="s">
        <v>499</v>
      </c>
      <c r="B231" s="14" t="s">
        <v>445</v>
      </c>
      <c r="C231" s="17"/>
      <c r="D231" s="17"/>
      <c r="E231" s="11" t="s">
        <v>500</v>
      </c>
      <c r="F231" s="17"/>
      <c r="G231" s="12">
        <v>1.54102049293825E-3</v>
      </c>
      <c r="H231" s="12">
        <v>1.7250530785562625E-2</v>
      </c>
      <c r="I231" s="12">
        <v>3.1578947368421058E-5</v>
      </c>
      <c r="J231" s="12">
        <v>4.641305263157895E-4</v>
      </c>
      <c r="K231" s="13"/>
    </row>
    <row r="232" spans="1:49" ht="12.75">
      <c r="A232" s="14" t="s">
        <v>501</v>
      </c>
      <c r="B232" s="14" t="s">
        <v>445</v>
      </c>
      <c r="C232" s="17" t="s">
        <v>18</v>
      </c>
      <c r="D232" s="17" t="s">
        <v>18</v>
      </c>
      <c r="E232" s="17" t="s">
        <v>502</v>
      </c>
      <c r="F232" s="17"/>
      <c r="G232" s="12">
        <v>9.1578394306682969E-4</v>
      </c>
      <c r="H232" s="12">
        <v>9.6000593053856727E-3</v>
      </c>
      <c r="I232" s="12">
        <v>3.9975990396158467E-7</v>
      </c>
      <c r="J232" s="12">
        <v>5.141025630252102E-6</v>
      </c>
      <c r="K232" s="13"/>
    </row>
    <row r="233" spans="1:49" ht="12.75">
      <c r="A233" s="14" t="s">
        <v>503</v>
      </c>
      <c r="B233" s="14" t="s">
        <v>445</v>
      </c>
      <c r="C233" s="17"/>
      <c r="D233" s="17" t="s">
        <v>504</v>
      </c>
      <c r="E233" s="17" t="s">
        <v>505</v>
      </c>
      <c r="F233" s="17"/>
      <c r="G233" s="12">
        <v>2.3903313565692558E-3</v>
      </c>
      <c r="H233" s="12">
        <v>1.6108439629147951E-2</v>
      </c>
      <c r="I233" s="12">
        <v>5.4732558139534892E-6</v>
      </c>
      <c r="J233" s="12">
        <v>4.5852507083720935E-4</v>
      </c>
      <c r="K233" s="13"/>
    </row>
    <row r="234" spans="1:49" ht="12.75">
      <c r="A234" s="14" t="s">
        <v>506</v>
      </c>
      <c r="B234" s="14" t="s">
        <v>445</v>
      </c>
      <c r="C234" s="17" t="s">
        <v>18</v>
      </c>
      <c r="D234" s="17" t="s">
        <v>18</v>
      </c>
      <c r="E234" s="11" t="s">
        <v>507</v>
      </c>
      <c r="F234" s="17"/>
      <c r="G234" s="12">
        <v>4.8057057617005398E-4</v>
      </c>
      <c r="H234" s="12">
        <v>9.8776215197699697E-3</v>
      </c>
      <c r="I234" s="12">
        <v>6.3E-5</v>
      </c>
      <c r="J234" s="12">
        <v>2.4250819999999999E-4</v>
      </c>
      <c r="K234" s="13"/>
    </row>
    <row r="235" spans="1:49" ht="12.75">
      <c r="A235" s="14" t="s">
        <v>508</v>
      </c>
      <c r="B235" s="14" t="s">
        <v>445</v>
      </c>
      <c r="C235" s="17" t="s">
        <v>452</v>
      </c>
      <c r="D235" s="17" t="s">
        <v>508</v>
      </c>
      <c r="E235" s="17" t="s">
        <v>509</v>
      </c>
      <c r="F235" s="17"/>
      <c r="G235" s="12">
        <v>2.8834234570203239E-3</v>
      </c>
      <c r="H235" s="12">
        <v>5.9265729118619818E-2</v>
      </c>
      <c r="I235" s="12">
        <v>3.7800000000000003E-4</v>
      </c>
      <c r="J235" s="12">
        <v>1.4550492E-3</v>
      </c>
      <c r="K235" s="13"/>
    </row>
    <row r="236" spans="1:49" ht="12.75">
      <c r="C236" s="17"/>
      <c r="D236" s="17"/>
      <c r="E236" s="17"/>
      <c r="F236" s="17"/>
      <c r="G236" s="12"/>
      <c r="H236" s="12"/>
      <c r="I236" s="12"/>
      <c r="J236" s="12"/>
      <c r="K236" s="13"/>
    </row>
    <row r="237" spans="1:49" ht="12.75">
      <c r="C237" s="17"/>
      <c r="D237" s="17"/>
      <c r="E237" s="17"/>
      <c r="F237" s="17"/>
    </row>
    <row r="238" spans="1:49" ht="12.75">
      <c r="A238" s="14" t="s">
        <v>510</v>
      </c>
      <c r="C238" s="17"/>
      <c r="D238" s="17"/>
      <c r="E238" s="17"/>
      <c r="F238" s="17"/>
      <c r="G238" s="12">
        <f t="shared" ref="G238:J238" si="0">AVERAGE(G2:G20,G23:G26,G28:G29,G31:G33,G35:G235)</f>
        <v>2.2029065819647749E-2</v>
      </c>
      <c r="H238" s="12">
        <f t="shared" si="0"/>
        <v>8.7045594440934002E-2</v>
      </c>
      <c r="I238" s="12">
        <f t="shared" si="0"/>
        <v>5.7613827801036811E-4</v>
      </c>
      <c r="J238" s="12">
        <f t="shared" si="0"/>
        <v>2.5930828812881952E-3</v>
      </c>
      <c r="K238" s="13"/>
    </row>
    <row r="239" spans="1:49" ht="12.75">
      <c r="A239" s="10" t="s">
        <v>511</v>
      </c>
      <c r="B239" s="10" t="s">
        <v>445</v>
      </c>
      <c r="C239" s="17" t="s">
        <v>452</v>
      </c>
      <c r="D239" s="17" t="s">
        <v>511</v>
      </c>
      <c r="E239" s="17" t="s">
        <v>512</v>
      </c>
      <c r="F239" s="17"/>
      <c r="G239" s="12"/>
      <c r="H239" s="12">
        <v>1.8872032768007998E-2</v>
      </c>
      <c r="I239" s="12">
        <v>4.1669167635432442E-5</v>
      </c>
      <c r="J239" s="12">
        <v>5.2098391964434997E-4</v>
      </c>
      <c r="K239" s="13"/>
      <c r="L239" s="14"/>
    </row>
    <row r="240" spans="1:49" ht="12.75">
      <c r="A240" s="28"/>
      <c r="B240" s="29"/>
      <c r="C240" s="30"/>
      <c r="D240" s="30"/>
      <c r="E240" s="30"/>
      <c r="F240" s="30"/>
      <c r="G240" s="31"/>
      <c r="H240" s="31"/>
      <c r="I240" s="31"/>
      <c r="J240" s="31"/>
      <c r="K240" s="13"/>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row>
    <row r="241" spans="1:49" ht="12.75">
      <c r="C241" s="17"/>
      <c r="D241" s="17"/>
      <c r="E241" s="17"/>
      <c r="F241" s="17"/>
      <c r="G241" s="12"/>
      <c r="H241" s="12"/>
      <c r="I241" s="12"/>
      <c r="J241" s="12"/>
      <c r="K241" s="13"/>
    </row>
    <row r="242" spans="1:49" ht="25.5">
      <c r="A242" s="625" t="s">
        <v>513</v>
      </c>
      <c r="B242" s="626"/>
      <c r="C242" s="627"/>
      <c r="D242" s="627"/>
      <c r="E242" s="627"/>
      <c r="F242" s="627"/>
      <c r="G242" s="628">
        <f t="shared" ref="G242:J242" si="1">AVERAGE(G243:G262)</f>
        <v>1.0614922294827143E-3</v>
      </c>
      <c r="H242" s="628">
        <f t="shared" si="1"/>
        <v>1.8872032768007998E-2</v>
      </c>
      <c r="I242" s="628">
        <f t="shared" si="1"/>
        <v>4.1669167635432442E-5</v>
      </c>
      <c r="J242" s="629">
        <f t="shared" si="1"/>
        <v>5.2098391964434997E-4</v>
      </c>
      <c r="K242" s="18"/>
    </row>
    <row r="243" spans="1:49" ht="12.75">
      <c r="A243" s="616" t="s">
        <v>447</v>
      </c>
      <c r="B243" s="14"/>
      <c r="C243" s="17"/>
      <c r="D243" s="17"/>
      <c r="E243" s="630"/>
      <c r="F243" s="17"/>
      <c r="G243" s="12">
        <v>8.1081081081081077E-4</v>
      </c>
      <c r="H243" s="12">
        <v>2.8510934410257097E-2</v>
      </c>
      <c r="I243" s="12">
        <v>2.8378378378378378E-5</v>
      </c>
      <c r="J243" s="631">
        <v>3.5750594594594591E-4</v>
      </c>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row>
    <row r="244" spans="1:49" ht="12.75">
      <c r="A244" s="616" t="s">
        <v>496</v>
      </c>
      <c r="B244" s="10"/>
      <c r="C244" s="17"/>
      <c r="D244" s="15"/>
      <c r="E244" s="620"/>
      <c r="F244" s="17"/>
      <c r="G244" s="12">
        <v>1.1846358545111501E-3</v>
      </c>
      <c r="H244" s="12">
        <v>2.0579068539103899E-2</v>
      </c>
      <c r="I244" s="12">
        <v>1.8918918918918918E-5</v>
      </c>
      <c r="J244" s="631">
        <v>4.4688243243243248E-4</v>
      </c>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row>
    <row r="245" spans="1:49" ht="12.75">
      <c r="A245" s="632" t="s">
        <v>492</v>
      </c>
      <c r="B245" s="10"/>
      <c r="C245" s="17"/>
      <c r="D245" s="15"/>
      <c r="E245" s="620"/>
      <c r="F245" s="17"/>
      <c r="G245" s="12">
        <v>5.5636766460262456E-4</v>
      </c>
      <c r="H245" s="12">
        <v>1.354456626711356E-2</v>
      </c>
      <c r="I245" s="12">
        <v>7.0283975659229207E-5</v>
      </c>
      <c r="J245" s="631">
        <v>7.0431572008113595E-4</v>
      </c>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row>
    <row r="246" spans="1:49" ht="12.75">
      <c r="A246" s="616" t="s">
        <v>514</v>
      </c>
      <c r="B246" s="14"/>
      <c r="C246" s="17"/>
      <c r="D246" s="17"/>
      <c r="E246" s="620"/>
      <c r="F246" s="17"/>
      <c r="G246" s="12">
        <v>1.54102049293825E-3</v>
      </c>
      <c r="H246" s="12">
        <v>1.7250530785562625E-2</v>
      </c>
      <c r="I246" s="12">
        <v>3.1578947368421058E-5</v>
      </c>
      <c r="J246" s="631">
        <v>4.641305263157895E-4</v>
      </c>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row>
    <row r="247" spans="1:49" ht="12.75">
      <c r="A247" s="616" t="s">
        <v>444</v>
      </c>
      <c r="B247" s="14"/>
      <c r="C247" s="17"/>
      <c r="D247" s="17"/>
      <c r="E247" s="620"/>
      <c r="F247" s="17"/>
      <c r="G247" s="12">
        <v>1.5085859519408502E-3</v>
      </c>
      <c r="H247" s="12">
        <v>3.1939309919901404E-2</v>
      </c>
      <c r="I247" s="12">
        <v>3.4426229508196721E-5</v>
      </c>
      <c r="J247" s="631">
        <v>5.7826098360655735E-4</v>
      </c>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row>
    <row r="248" spans="1:49" ht="12.75">
      <c r="A248" s="616" t="s">
        <v>450</v>
      </c>
      <c r="B248" s="14"/>
      <c r="C248" s="17"/>
      <c r="D248" s="17"/>
      <c r="E248" s="633"/>
      <c r="F248" s="17"/>
      <c r="G248" s="12">
        <v>5.8916802021295798E-4</v>
      </c>
      <c r="H248" s="12">
        <v>1.0256873007279099E-2</v>
      </c>
      <c r="I248" s="12">
        <v>3.2911392405063288E-5</v>
      </c>
      <c r="J248" s="631">
        <v>1.6743949367088607E-4</v>
      </c>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row>
    <row r="249" spans="1:49" ht="12.75">
      <c r="A249" s="616" t="s">
        <v>457</v>
      </c>
      <c r="B249" s="14"/>
      <c r="C249" s="17"/>
      <c r="D249" s="17"/>
      <c r="E249" s="620"/>
      <c r="F249" s="17"/>
      <c r="G249" s="12">
        <v>2.14888098999473E-3</v>
      </c>
      <c r="H249" s="12">
        <v>5.1770668773038403E-2</v>
      </c>
      <c r="I249" s="12">
        <v>4.6666666666666665E-5</v>
      </c>
      <c r="J249" s="631">
        <v>6.8588177777777789E-4</v>
      </c>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row>
    <row r="250" spans="1:49" ht="12.75">
      <c r="A250" s="616" t="s">
        <v>462</v>
      </c>
      <c r="B250" s="10"/>
      <c r="C250" s="17"/>
      <c r="D250" s="15"/>
      <c r="E250" s="620"/>
      <c r="F250" s="17"/>
      <c r="G250" s="12">
        <v>1.6146898803046799E-3</v>
      </c>
      <c r="H250" s="12">
        <v>2.6750090678273501E-2</v>
      </c>
      <c r="I250" s="12">
        <v>9.3103448275862075E-5</v>
      </c>
      <c r="J250" s="631">
        <v>1.0896397701149426E-3</v>
      </c>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row>
    <row r="251" spans="1:49" ht="12.75">
      <c r="A251" s="616" t="s">
        <v>473</v>
      </c>
      <c r="B251" s="14"/>
      <c r="C251" s="17"/>
      <c r="D251" s="17"/>
      <c r="E251" s="620"/>
      <c r="F251" s="17"/>
      <c r="G251" s="12">
        <v>3.7676505686062725E-4</v>
      </c>
      <c r="H251" s="12">
        <v>3.9594550949037634E-3</v>
      </c>
      <c r="I251" s="12">
        <v>1.4354578172208981E-4</v>
      </c>
      <c r="J251" s="631">
        <v>2.6812945945945945E-4</v>
      </c>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row>
    <row r="252" spans="1:49" ht="12.75">
      <c r="A252" s="616" t="s">
        <v>477</v>
      </c>
      <c r="B252" s="14"/>
      <c r="C252" s="17"/>
      <c r="D252" s="17"/>
      <c r="E252" s="620"/>
      <c r="F252" s="17"/>
      <c r="G252" s="12">
        <v>8.4376421531463298E-4</v>
      </c>
      <c r="H252" s="12">
        <v>1.9553955016426601E-2</v>
      </c>
      <c r="I252" s="12">
        <v>4.1791044776119397E-5</v>
      </c>
      <c r="J252" s="631">
        <v>1.3820005970149253E-3</v>
      </c>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row>
    <row r="253" spans="1:49" ht="12.75">
      <c r="A253" s="616" t="s">
        <v>515</v>
      </c>
      <c r="B253" s="14"/>
      <c r="C253" s="17"/>
      <c r="D253" s="17"/>
      <c r="E253" s="620"/>
      <c r="F253" s="17"/>
      <c r="G253" s="12">
        <v>8.2739760746147598E-4</v>
      </c>
      <c r="H253" s="12">
        <v>1.9887131659999998E-2</v>
      </c>
      <c r="I253" s="12">
        <v>5.1219512195121953E-5</v>
      </c>
      <c r="J253" s="631">
        <v>3.2262731707317075E-4</v>
      </c>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row>
    <row r="254" spans="1:49" ht="12.75">
      <c r="A254" s="616" t="s">
        <v>516</v>
      </c>
      <c r="B254" s="14"/>
      <c r="C254" s="17"/>
      <c r="D254" s="17"/>
      <c r="E254" s="620"/>
      <c r="F254" s="17"/>
      <c r="G254" s="12">
        <v>7.9819533896283569E-4</v>
      </c>
      <c r="H254" s="12">
        <v>1.9185232895529411E-2</v>
      </c>
      <c r="I254" s="12">
        <v>4.9411764705882349E-5</v>
      </c>
      <c r="J254" s="631">
        <v>3.1124047058823527E-4</v>
      </c>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row>
    <row r="255" spans="1:49" ht="12.75">
      <c r="A255" s="616" t="s">
        <v>459</v>
      </c>
      <c r="B255" s="14"/>
      <c r="C255" s="17"/>
      <c r="D255" s="17"/>
      <c r="E255" s="620"/>
      <c r="F255" s="17"/>
      <c r="G255" s="12">
        <v>2.8944733420025999E-4</v>
      </c>
      <c r="H255" s="12">
        <v>9.8179453836150891E-3</v>
      </c>
      <c r="I255" s="12">
        <v>1.0639011302594951E-5</v>
      </c>
      <c r="J255" s="631">
        <v>1.4697466666666669E-4</v>
      </c>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row>
    <row r="256" spans="1:49" ht="12.75">
      <c r="A256" s="616" t="s">
        <v>517</v>
      </c>
      <c r="B256" s="14"/>
      <c r="C256" s="17"/>
      <c r="D256" s="17"/>
      <c r="E256" s="620"/>
      <c r="F256" s="17"/>
      <c r="G256" s="12">
        <v>9.1578394306682969E-4</v>
      </c>
      <c r="H256" s="12">
        <v>9.6000593053856727E-3</v>
      </c>
      <c r="I256" s="12">
        <v>3.9975990396158467E-7</v>
      </c>
      <c r="J256" s="631">
        <v>5.141025630252102E-6</v>
      </c>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row>
    <row r="257" spans="1:49" ht="12.75">
      <c r="A257" s="616" t="s">
        <v>24</v>
      </c>
      <c r="B257" s="14"/>
      <c r="C257" s="17"/>
      <c r="D257" s="621"/>
      <c r="E257" s="620"/>
      <c r="F257" s="17"/>
      <c r="G257" s="12">
        <v>5.4980000000000003E-4</v>
      </c>
      <c r="H257" s="12">
        <v>1.010611E-2</v>
      </c>
      <c r="I257" s="12">
        <v>3.4146341463414633E-5</v>
      </c>
      <c r="J257" s="631">
        <v>1.3442804878048784E-4</v>
      </c>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row>
    <row r="258" spans="1:49" ht="12.75">
      <c r="A258" s="616" t="s">
        <v>468</v>
      </c>
      <c r="B258" s="14"/>
      <c r="C258" s="17"/>
      <c r="D258" s="17"/>
      <c r="E258" s="620"/>
      <c r="F258" s="17"/>
      <c r="G258" s="12">
        <v>2.9479682138342099E-3</v>
      </c>
      <c r="H258" s="12">
        <v>2.6157365601107697E-2</v>
      </c>
      <c r="I258" s="12">
        <v>6.1363636363636362E-5</v>
      </c>
      <c r="J258" s="631">
        <v>3.5908655328750923E-4</v>
      </c>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row>
    <row r="259" spans="1:49" ht="12.75">
      <c r="A259" s="616" t="s">
        <v>506</v>
      </c>
      <c r="B259" s="14"/>
      <c r="C259" s="17"/>
      <c r="D259" s="17"/>
      <c r="E259" s="620"/>
      <c r="F259" s="17"/>
      <c r="G259" s="12">
        <v>4.8057057617005398E-4</v>
      </c>
      <c r="H259" s="12">
        <v>9.8776215197699697E-3</v>
      </c>
      <c r="I259" s="12">
        <v>6.3E-5</v>
      </c>
      <c r="J259" s="631">
        <v>2.4250819999999999E-4</v>
      </c>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row>
    <row r="260" spans="1:49" ht="12.75">
      <c r="A260" s="616" t="s">
        <v>482</v>
      </c>
      <c r="B260" s="14"/>
      <c r="C260" s="17"/>
      <c r="D260" s="17"/>
      <c r="E260" s="621"/>
      <c r="F260" s="17"/>
      <c r="G260" s="12">
        <v>4.7754773653722405E-4</v>
      </c>
      <c r="H260" s="12">
        <v>9.9048845026103102E-3</v>
      </c>
      <c r="I260" s="12">
        <v>1.1598405219282348E-5</v>
      </c>
      <c r="J260" s="631">
        <v>9.908404494382022E-5</v>
      </c>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row>
    <row r="261" spans="1:49" ht="12.75">
      <c r="A261" s="616" t="s">
        <v>479</v>
      </c>
      <c r="B261" s="10"/>
      <c r="C261" s="17"/>
      <c r="D261" s="17"/>
      <c r="E261" s="620"/>
      <c r="F261" s="17"/>
      <c r="G261" s="12">
        <v>3.7811354536082471E-4</v>
      </c>
      <c r="H261" s="12">
        <v>2.268041237113402E-2</v>
      </c>
      <c r="I261" s="12">
        <v>4.52688206185567E-6</v>
      </c>
      <c r="J261" s="631">
        <v>2.1958762886597938E-3</v>
      </c>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row>
    <row r="262" spans="1:49" ht="12.75">
      <c r="A262" s="4" t="s">
        <v>503</v>
      </c>
      <c r="B262" s="617"/>
      <c r="C262" s="634"/>
      <c r="D262" s="634"/>
      <c r="E262" s="634"/>
      <c r="F262" s="634"/>
      <c r="G262" s="635">
        <v>2.3903313565692558E-3</v>
      </c>
      <c r="H262" s="635">
        <v>1.6108439629147951E-2</v>
      </c>
      <c r="I262" s="635">
        <v>5.4732558139534892E-6</v>
      </c>
      <c r="J262" s="636">
        <v>4.5852507083720935E-4</v>
      </c>
      <c r="K262" s="622"/>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row>
    <row r="263" spans="1:49" ht="12.75">
      <c r="C263" s="17"/>
      <c r="D263" s="17"/>
      <c r="E263" s="17"/>
      <c r="F263" s="17"/>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row>
    <row r="264" spans="1:49" ht="12.75">
      <c r="C264" s="17"/>
      <c r="D264" s="17"/>
      <c r="E264" s="17"/>
      <c r="F264" s="17"/>
      <c r="G264" s="12"/>
      <c r="H264" s="12"/>
      <c r="I264" s="12"/>
      <c r="J264" s="12"/>
      <c r="K264" s="13"/>
    </row>
    <row r="265" spans="1:49" ht="12.75">
      <c r="C265" s="17"/>
      <c r="D265" s="17"/>
      <c r="E265" s="17"/>
      <c r="F265" s="17"/>
      <c r="G265" s="12"/>
      <c r="H265" s="12"/>
      <c r="I265" s="12"/>
      <c r="J265" s="12"/>
      <c r="K265" s="13"/>
    </row>
    <row r="266" spans="1:49" ht="12.75">
      <c r="C266" s="637"/>
      <c r="D266" s="637"/>
      <c r="E266" s="637"/>
      <c r="F266" s="637"/>
      <c r="G266" s="12"/>
      <c r="H266" s="12"/>
      <c r="I266" s="12"/>
      <c r="J266" s="12"/>
      <c r="K266" s="13"/>
    </row>
    <row r="267" spans="1:49" ht="15">
      <c r="C267" s="33"/>
      <c r="D267" s="33"/>
      <c r="E267" s="33"/>
      <c r="F267" s="33"/>
      <c r="G267" s="12"/>
      <c r="H267" s="12"/>
      <c r="I267" s="12"/>
      <c r="J267" s="12"/>
      <c r="K267" s="13"/>
    </row>
    <row r="268" spans="1:49" ht="12.75">
      <c r="C268" s="17"/>
      <c r="D268" s="17"/>
      <c r="E268" s="17"/>
      <c r="F268" s="17"/>
      <c r="G268" s="12"/>
      <c r="H268" s="12"/>
      <c r="I268" s="12"/>
      <c r="J268" s="12"/>
      <c r="K268" s="13"/>
    </row>
    <row r="269" spans="1:49" ht="12.75">
      <c r="C269" s="17"/>
      <c r="D269" s="17"/>
      <c r="E269" s="17"/>
      <c r="F269" s="17"/>
      <c r="G269" s="12"/>
      <c r="H269" s="12"/>
      <c r="I269" s="12"/>
      <c r="J269" s="12"/>
      <c r="K269" s="13"/>
    </row>
    <row r="270" spans="1:49" ht="12.75">
      <c r="C270" s="17"/>
      <c r="D270" s="17"/>
      <c r="E270" s="17"/>
      <c r="F270" s="17"/>
      <c r="G270" s="12"/>
      <c r="H270" s="12"/>
      <c r="I270" s="12"/>
      <c r="J270" s="12"/>
      <c r="K270" s="13"/>
    </row>
    <row r="271" spans="1:49" ht="12.75">
      <c r="C271" s="17"/>
      <c r="D271" s="17"/>
      <c r="E271" s="17"/>
      <c r="F271" s="17"/>
      <c r="G271" s="12"/>
      <c r="H271" s="12"/>
      <c r="I271" s="12"/>
      <c r="J271" s="12"/>
      <c r="K271" s="13"/>
    </row>
    <row r="272" spans="1:49" ht="12.75">
      <c r="C272" s="17"/>
      <c r="D272" s="17"/>
      <c r="E272" s="17"/>
      <c r="F272" s="17"/>
      <c r="G272" s="12"/>
      <c r="H272" s="12"/>
      <c r="I272" s="12"/>
      <c r="J272" s="12"/>
      <c r="K272" s="13"/>
    </row>
    <row r="273" spans="1:11" ht="12.75">
      <c r="C273" s="17"/>
      <c r="D273" s="17"/>
      <c r="E273" s="17"/>
      <c r="F273" s="17"/>
      <c r="G273" s="12"/>
      <c r="H273" s="12"/>
      <c r="I273" s="12"/>
      <c r="J273" s="12"/>
      <c r="K273" s="13"/>
    </row>
    <row r="274" spans="1:11" ht="12.75">
      <c r="C274" s="17"/>
      <c r="D274" s="17"/>
      <c r="E274" s="17"/>
      <c r="F274" s="17"/>
      <c r="G274" s="12"/>
      <c r="H274" s="12"/>
      <c r="I274" s="12"/>
      <c r="J274" s="12"/>
      <c r="K274" s="13"/>
    </row>
    <row r="275" spans="1:11" ht="12.75">
      <c r="C275" s="17"/>
      <c r="D275" s="17"/>
      <c r="E275" s="17"/>
      <c r="F275" s="17"/>
      <c r="G275" s="12"/>
      <c r="H275" s="12"/>
      <c r="I275" s="12"/>
      <c r="J275" s="12"/>
      <c r="K275" s="13"/>
    </row>
    <row r="276" spans="1:11" ht="12.75">
      <c r="C276" s="17"/>
      <c r="D276" s="17"/>
      <c r="E276" s="17"/>
      <c r="F276" s="17"/>
      <c r="G276" s="12"/>
      <c r="H276" s="12"/>
      <c r="I276" s="12"/>
      <c r="J276" s="12"/>
      <c r="K276" s="13"/>
    </row>
    <row r="277" spans="1:11" ht="12.75">
      <c r="C277" s="17"/>
      <c r="D277" s="17"/>
      <c r="E277" s="17"/>
      <c r="F277" s="17"/>
      <c r="G277" s="12"/>
      <c r="H277" s="12"/>
      <c r="I277" s="12"/>
      <c r="J277" s="12"/>
      <c r="K277" s="13"/>
    </row>
    <row r="278" spans="1:11" ht="12.75">
      <c r="C278" s="17"/>
      <c r="D278" s="17"/>
      <c r="E278" s="17"/>
      <c r="F278" s="17"/>
      <c r="G278" s="12"/>
      <c r="H278" s="12"/>
      <c r="I278" s="12"/>
      <c r="J278" s="12"/>
      <c r="K278" s="13"/>
    </row>
    <row r="279" spans="1:11" ht="12.75">
      <c r="C279" s="17"/>
      <c r="D279" s="17"/>
      <c r="E279" s="17"/>
      <c r="F279" s="17"/>
      <c r="G279" s="12"/>
      <c r="H279" s="12"/>
      <c r="I279" s="12"/>
      <c r="J279" s="12"/>
      <c r="K279" s="13"/>
    </row>
    <row r="280" spans="1:11" ht="12.75">
      <c r="A280" s="14"/>
      <c r="C280" s="17"/>
      <c r="D280" s="17"/>
      <c r="E280" s="17"/>
      <c r="F280" s="17"/>
      <c r="G280" s="12"/>
      <c r="H280" s="12"/>
      <c r="I280" s="12"/>
      <c r="J280" s="12"/>
      <c r="K280" s="13"/>
    </row>
    <row r="281" spans="1:11" ht="12.75">
      <c r="C281" s="17"/>
      <c r="D281" s="17"/>
      <c r="E281" s="17"/>
      <c r="F281" s="17"/>
      <c r="G281" s="12"/>
      <c r="H281" s="12"/>
      <c r="I281" s="12"/>
      <c r="J281" s="12"/>
      <c r="K281" s="13"/>
    </row>
    <row r="282" spans="1:11" ht="12.75">
      <c r="C282" s="17"/>
      <c r="D282" s="17"/>
      <c r="E282" s="17"/>
      <c r="F282" s="17"/>
      <c r="G282" s="12"/>
      <c r="H282" s="12"/>
      <c r="I282" s="12"/>
      <c r="J282" s="12"/>
      <c r="K282" s="13"/>
    </row>
    <row r="283" spans="1:11" ht="12.75">
      <c r="C283" s="17"/>
      <c r="D283" s="17"/>
      <c r="E283" s="17"/>
      <c r="F283" s="17"/>
      <c r="G283" s="12"/>
      <c r="H283" s="12"/>
      <c r="I283" s="12"/>
      <c r="J283" s="12"/>
      <c r="K283" s="13"/>
    </row>
    <row r="284" spans="1:11" ht="12.75">
      <c r="A284" s="14"/>
      <c r="C284" s="17"/>
      <c r="D284" s="17"/>
      <c r="E284" s="17"/>
      <c r="F284" s="17"/>
      <c r="G284" s="12"/>
      <c r="H284" s="12"/>
      <c r="I284" s="12"/>
      <c r="J284" s="12"/>
      <c r="K284" s="13"/>
    </row>
    <row r="285" spans="1:11" ht="12.75">
      <c r="C285" s="17"/>
      <c r="D285" s="17"/>
      <c r="E285" s="17"/>
      <c r="F285" s="17"/>
      <c r="G285" s="12"/>
      <c r="H285" s="12"/>
      <c r="I285" s="12"/>
      <c r="J285" s="12"/>
      <c r="K285" s="13"/>
    </row>
    <row r="286" spans="1:11" ht="12.75">
      <c r="C286" s="17"/>
      <c r="D286" s="17"/>
      <c r="E286" s="17"/>
      <c r="F286" s="17"/>
      <c r="G286" s="12"/>
      <c r="H286" s="12"/>
      <c r="I286" s="12"/>
      <c r="J286" s="12"/>
      <c r="K286" s="13"/>
    </row>
    <row r="287" spans="1:11" ht="12.75">
      <c r="C287" s="17"/>
      <c r="D287" s="17"/>
      <c r="E287" s="17"/>
      <c r="F287" s="17"/>
      <c r="G287" s="12"/>
      <c r="H287" s="12"/>
      <c r="I287" s="12"/>
      <c r="J287" s="12"/>
      <c r="K287" s="13"/>
    </row>
    <row r="288" spans="1:11" ht="12.75">
      <c r="C288" s="17"/>
      <c r="D288" s="17"/>
      <c r="E288" s="17"/>
      <c r="F288" s="17"/>
      <c r="G288" s="12"/>
      <c r="H288" s="12"/>
      <c r="I288" s="12"/>
      <c r="J288" s="12"/>
      <c r="K288" s="13"/>
    </row>
    <row r="289" spans="1:49" ht="12.75">
      <c r="C289" s="17"/>
      <c r="D289" s="17"/>
      <c r="E289" s="17"/>
      <c r="F289" s="17"/>
      <c r="G289" s="12"/>
      <c r="H289" s="12"/>
      <c r="I289" s="12"/>
      <c r="J289" s="12"/>
      <c r="K289" s="13"/>
    </row>
    <row r="290" spans="1:49" ht="12.75">
      <c r="C290" s="17"/>
      <c r="D290" s="17"/>
      <c r="E290" s="17"/>
      <c r="F290" s="17"/>
      <c r="G290" s="12"/>
      <c r="H290" s="12"/>
      <c r="I290" s="12"/>
      <c r="J290" s="12"/>
      <c r="K290" s="13"/>
    </row>
    <row r="291" spans="1:49" ht="12.75">
      <c r="C291" s="17"/>
      <c r="D291" s="17"/>
      <c r="E291" s="17"/>
      <c r="F291" s="17"/>
      <c r="G291" s="12"/>
      <c r="H291" s="12"/>
      <c r="I291" s="12"/>
      <c r="J291" s="12"/>
      <c r="K291" s="13"/>
    </row>
    <row r="292" spans="1:49" ht="12.75">
      <c r="C292" s="17"/>
      <c r="D292" s="17"/>
      <c r="E292" s="17"/>
      <c r="F292" s="17"/>
      <c r="G292" s="12"/>
      <c r="H292" s="12"/>
      <c r="I292" s="12"/>
      <c r="J292" s="12"/>
      <c r="K292" s="13"/>
    </row>
    <row r="293" spans="1:49" ht="12.75">
      <c r="C293" s="17"/>
      <c r="D293" s="17"/>
      <c r="E293" s="638"/>
      <c r="F293" s="638"/>
      <c r="G293" s="12"/>
      <c r="H293" s="12"/>
      <c r="I293" s="12"/>
      <c r="J293" s="12"/>
      <c r="K293" s="13"/>
    </row>
    <row r="294" spans="1:49" ht="12.75">
      <c r="C294" s="17"/>
      <c r="D294" s="17"/>
      <c r="E294" s="17"/>
      <c r="F294" s="17"/>
      <c r="G294" s="12"/>
      <c r="H294" s="12"/>
      <c r="I294" s="12"/>
      <c r="J294" s="12"/>
      <c r="K294" s="13"/>
    </row>
    <row r="295" spans="1:49" ht="12.75">
      <c r="C295" s="17"/>
      <c r="D295" s="17"/>
      <c r="E295" s="17"/>
      <c r="F295" s="17"/>
      <c r="G295" s="12"/>
      <c r="H295" s="12"/>
      <c r="I295" s="12"/>
      <c r="J295" s="12"/>
      <c r="K295" s="13"/>
    </row>
    <row r="296" spans="1:49" ht="12.75">
      <c r="C296" s="17"/>
      <c r="D296" s="17"/>
      <c r="E296" s="17"/>
      <c r="F296" s="17"/>
      <c r="G296" s="12"/>
      <c r="H296" s="12"/>
      <c r="I296" s="12"/>
      <c r="J296" s="12"/>
      <c r="K296" s="13"/>
    </row>
    <row r="297" spans="1:49" ht="12.75">
      <c r="C297" s="17"/>
      <c r="D297" s="17"/>
      <c r="E297" s="17"/>
      <c r="F297" s="17"/>
      <c r="G297" s="12"/>
      <c r="H297" s="12"/>
      <c r="I297" s="12"/>
      <c r="J297" s="12"/>
      <c r="K297" s="13"/>
    </row>
    <row r="298" spans="1:49" ht="12.75">
      <c r="A298" s="14"/>
      <c r="B298" s="14"/>
      <c r="C298" s="17"/>
      <c r="D298" s="17"/>
      <c r="E298" s="17"/>
      <c r="F298" s="17"/>
      <c r="G298" s="12"/>
      <c r="H298" s="12"/>
      <c r="I298" s="12"/>
      <c r="J298" s="12"/>
      <c r="K298" s="13"/>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row>
    <row r="299" spans="1:49" ht="12.75">
      <c r="C299" s="17"/>
      <c r="D299" s="620"/>
      <c r="E299" s="638"/>
      <c r="F299" s="638"/>
      <c r="G299" s="12"/>
      <c r="H299" s="12"/>
      <c r="I299" s="12"/>
      <c r="J299" s="12"/>
      <c r="K299" s="13"/>
    </row>
    <row r="300" spans="1:49" ht="12.75">
      <c r="C300" s="17"/>
      <c r="D300" s="620"/>
      <c r="E300" s="17"/>
      <c r="F300" s="17"/>
      <c r="G300" s="12"/>
      <c r="H300" s="12"/>
      <c r="I300" s="12"/>
      <c r="J300" s="12"/>
      <c r="K300" s="13"/>
    </row>
    <row r="301" spans="1:49" ht="12.75">
      <c r="C301" s="17"/>
      <c r="D301" s="17"/>
      <c r="E301" s="17"/>
      <c r="F301" s="17"/>
      <c r="G301" s="12"/>
      <c r="H301" s="12"/>
      <c r="I301" s="12"/>
      <c r="J301" s="12"/>
      <c r="K301" s="13"/>
    </row>
    <row r="302" spans="1:49" ht="12.75">
      <c r="C302" s="17"/>
      <c r="D302" s="17"/>
      <c r="E302" s="17"/>
      <c r="F302" s="17"/>
      <c r="G302" s="12"/>
      <c r="H302" s="12"/>
      <c r="I302" s="12"/>
      <c r="J302" s="12"/>
      <c r="K302" s="13"/>
    </row>
    <row r="303" spans="1:49" ht="12.75">
      <c r="A303" s="14"/>
      <c r="C303" s="17"/>
      <c r="D303" s="17"/>
      <c r="E303" s="17"/>
      <c r="F303" s="17"/>
      <c r="G303" s="12"/>
      <c r="H303" s="12"/>
      <c r="I303" s="12"/>
      <c r="J303" s="12"/>
      <c r="K303" s="13"/>
    </row>
    <row r="304" spans="1:49" ht="12.75">
      <c r="A304" s="14"/>
      <c r="C304" s="17"/>
      <c r="D304" s="17"/>
      <c r="E304" s="17"/>
      <c r="F304" s="17"/>
      <c r="G304" s="12"/>
      <c r="H304" s="12"/>
      <c r="I304" s="12"/>
      <c r="J304" s="12"/>
      <c r="K304" s="13"/>
    </row>
    <row r="305" spans="3:11" ht="12.75">
      <c r="C305" s="17"/>
      <c r="D305" s="17"/>
      <c r="E305" s="17"/>
      <c r="F305" s="17"/>
      <c r="G305" s="12"/>
      <c r="H305" s="12"/>
      <c r="I305" s="12"/>
      <c r="J305" s="12"/>
      <c r="K305" s="13"/>
    </row>
    <row r="306" spans="3:11" ht="12.75">
      <c r="C306" s="17"/>
      <c r="D306" s="17"/>
      <c r="E306" s="17"/>
      <c r="F306" s="17"/>
      <c r="G306" s="12"/>
      <c r="H306" s="12"/>
      <c r="I306" s="12"/>
      <c r="J306" s="12"/>
      <c r="K306" s="13"/>
    </row>
    <row r="307" spans="3:11" ht="12.75">
      <c r="C307" s="17"/>
      <c r="D307" s="17"/>
      <c r="E307" s="17"/>
      <c r="F307" s="17"/>
      <c r="G307" s="12"/>
      <c r="H307" s="12"/>
      <c r="I307" s="12"/>
      <c r="J307" s="12"/>
      <c r="K307" s="13"/>
    </row>
    <row r="308" spans="3:11" ht="12.75">
      <c r="C308" s="17"/>
      <c r="D308" s="17"/>
      <c r="E308" s="17"/>
      <c r="F308" s="17"/>
      <c r="G308" s="12"/>
      <c r="H308" s="12"/>
      <c r="I308" s="12"/>
      <c r="J308" s="12"/>
      <c r="K308" s="13"/>
    </row>
    <row r="309" spans="3:11" ht="12.75">
      <c r="C309" s="17"/>
      <c r="D309" s="17"/>
      <c r="E309" s="17"/>
      <c r="F309" s="17"/>
      <c r="G309" s="12"/>
      <c r="H309" s="12"/>
      <c r="I309" s="12"/>
      <c r="J309" s="12"/>
      <c r="K309" s="13"/>
    </row>
    <row r="310" spans="3:11" ht="12.75">
      <c r="C310" s="17"/>
      <c r="D310" s="17"/>
      <c r="E310" s="638"/>
      <c r="F310" s="638"/>
      <c r="G310" s="12"/>
      <c r="H310" s="12"/>
      <c r="I310" s="12"/>
      <c r="J310" s="12"/>
      <c r="K310" s="13"/>
    </row>
    <row r="311" spans="3:11" ht="12.75">
      <c r="C311" s="17"/>
      <c r="D311" s="17"/>
      <c r="E311" s="17"/>
      <c r="F311" s="17"/>
      <c r="G311" s="12"/>
      <c r="H311" s="12"/>
      <c r="I311" s="12"/>
      <c r="J311" s="12"/>
      <c r="K311" s="13"/>
    </row>
    <row r="312" spans="3:11" ht="12.75">
      <c r="C312" s="17"/>
      <c r="D312" s="17"/>
      <c r="E312" s="17"/>
      <c r="F312" s="17"/>
      <c r="G312" s="12"/>
      <c r="H312" s="12"/>
      <c r="I312" s="12"/>
      <c r="J312" s="12"/>
      <c r="K312" s="13"/>
    </row>
    <row r="313" spans="3:11" ht="12.75">
      <c r="C313" s="17"/>
      <c r="D313" s="17"/>
      <c r="E313" s="17"/>
      <c r="F313" s="17"/>
      <c r="G313" s="12"/>
      <c r="H313" s="12"/>
      <c r="I313" s="12"/>
      <c r="J313" s="12"/>
      <c r="K313" s="13"/>
    </row>
    <row r="314" spans="3:11" ht="12.75">
      <c r="C314" s="17"/>
      <c r="D314" s="17"/>
      <c r="E314" s="17"/>
      <c r="F314" s="17"/>
      <c r="G314" s="12"/>
      <c r="H314" s="12"/>
      <c r="I314" s="12"/>
      <c r="J314" s="12"/>
      <c r="K314" s="13"/>
    </row>
    <row r="315" spans="3:11" ht="12.75">
      <c r="C315" s="17"/>
      <c r="D315" s="17"/>
      <c r="E315" s="17"/>
      <c r="F315" s="17"/>
      <c r="G315" s="12"/>
      <c r="H315" s="12"/>
      <c r="I315" s="12"/>
      <c r="J315" s="12"/>
      <c r="K315" s="13"/>
    </row>
    <row r="316" spans="3:11" ht="12.75">
      <c r="C316" s="17"/>
      <c r="D316" s="17"/>
      <c r="E316" s="17"/>
      <c r="F316" s="17"/>
      <c r="G316" s="12"/>
      <c r="H316" s="12"/>
      <c r="I316" s="12"/>
      <c r="J316" s="12"/>
      <c r="K316" s="13"/>
    </row>
    <row r="317" spans="3:11" ht="12.75">
      <c r="C317" s="17"/>
      <c r="D317" s="17"/>
      <c r="E317" s="17"/>
      <c r="F317" s="17"/>
      <c r="G317" s="12"/>
      <c r="H317" s="12"/>
      <c r="I317" s="12"/>
      <c r="J317" s="12"/>
      <c r="K317" s="13"/>
    </row>
    <row r="318" spans="3:11" ht="12.75">
      <c r="C318" s="17"/>
      <c r="D318" s="17"/>
      <c r="E318" s="17"/>
      <c r="F318" s="17"/>
      <c r="G318" s="12"/>
      <c r="H318" s="12"/>
      <c r="I318" s="12"/>
      <c r="J318" s="12"/>
      <c r="K318" s="13"/>
    </row>
    <row r="319" spans="3:11" ht="12.75">
      <c r="C319" s="17"/>
      <c r="D319" s="17"/>
      <c r="E319" s="17"/>
      <c r="F319" s="17"/>
      <c r="G319" s="12"/>
      <c r="H319" s="12"/>
      <c r="I319" s="12"/>
      <c r="J319" s="12"/>
      <c r="K319" s="13"/>
    </row>
    <row r="320" spans="3:11" ht="12.75">
      <c r="C320" s="17"/>
      <c r="D320" s="17"/>
      <c r="E320" s="17"/>
      <c r="F320" s="17"/>
      <c r="G320" s="12"/>
      <c r="H320" s="12"/>
      <c r="I320" s="12"/>
      <c r="J320" s="12"/>
      <c r="K320" s="13"/>
    </row>
    <row r="321" spans="3:11" ht="12.75">
      <c r="C321" s="17"/>
      <c r="D321" s="17"/>
      <c r="E321" s="17"/>
      <c r="F321" s="17"/>
      <c r="G321" s="12"/>
      <c r="H321" s="12"/>
      <c r="I321" s="12"/>
      <c r="J321" s="12"/>
      <c r="K321" s="13"/>
    </row>
    <row r="322" spans="3:11" ht="12.75">
      <c r="C322" s="17"/>
      <c r="D322" s="17"/>
      <c r="E322" s="17"/>
      <c r="F322" s="17"/>
      <c r="G322" s="12"/>
      <c r="H322" s="12"/>
      <c r="I322" s="12"/>
      <c r="J322" s="12"/>
      <c r="K322" s="13"/>
    </row>
    <row r="323" spans="3:11" ht="12.75">
      <c r="C323" s="17"/>
      <c r="D323" s="17"/>
      <c r="E323" s="17"/>
      <c r="F323" s="17"/>
      <c r="G323" s="12"/>
      <c r="H323" s="12"/>
      <c r="I323" s="12"/>
      <c r="J323" s="12"/>
      <c r="K323" s="13"/>
    </row>
    <row r="324" spans="3:11" ht="12.75">
      <c r="C324" s="17"/>
      <c r="D324" s="17"/>
      <c r="E324" s="17"/>
      <c r="F324" s="17"/>
      <c r="G324" s="12"/>
      <c r="H324" s="12"/>
      <c r="I324" s="12"/>
      <c r="J324" s="12"/>
      <c r="K324" s="13"/>
    </row>
    <row r="325" spans="3:11" ht="12.75">
      <c r="C325" s="17"/>
      <c r="D325" s="17"/>
      <c r="E325" s="17"/>
      <c r="F325" s="17"/>
      <c r="G325" s="12"/>
      <c r="H325" s="12"/>
      <c r="I325" s="12"/>
      <c r="J325" s="12"/>
      <c r="K325" s="13"/>
    </row>
    <row r="326" spans="3:11" ht="12.75">
      <c r="C326" s="17"/>
      <c r="D326" s="17"/>
      <c r="E326" s="17"/>
      <c r="F326" s="17"/>
      <c r="G326" s="12"/>
      <c r="H326" s="12"/>
      <c r="I326" s="12"/>
      <c r="J326" s="12"/>
      <c r="K326" s="13"/>
    </row>
    <row r="327" spans="3:11" ht="12.75">
      <c r="C327" s="17"/>
      <c r="D327" s="17"/>
      <c r="E327" s="17"/>
      <c r="F327" s="17"/>
      <c r="G327" s="12"/>
      <c r="H327" s="12"/>
      <c r="I327" s="12"/>
      <c r="J327" s="12"/>
      <c r="K327" s="13"/>
    </row>
    <row r="328" spans="3:11" ht="12.75">
      <c r="C328" s="17"/>
      <c r="D328" s="17"/>
      <c r="E328" s="17"/>
      <c r="F328" s="17"/>
      <c r="G328" s="12"/>
      <c r="H328" s="12"/>
      <c r="I328" s="12"/>
      <c r="J328" s="12"/>
      <c r="K328" s="13"/>
    </row>
    <row r="329" spans="3:11" ht="12.75">
      <c r="C329" s="17"/>
      <c r="D329" s="17"/>
      <c r="E329" s="17"/>
      <c r="F329" s="17"/>
      <c r="G329" s="12"/>
      <c r="H329" s="12"/>
      <c r="I329" s="12"/>
      <c r="J329" s="12"/>
      <c r="K329" s="13"/>
    </row>
    <row r="330" spans="3:11" ht="12.75">
      <c r="C330" s="17"/>
      <c r="D330" s="17"/>
      <c r="E330" s="17"/>
      <c r="F330" s="17"/>
      <c r="G330" s="12"/>
      <c r="H330" s="12"/>
      <c r="I330" s="12"/>
      <c r="J330" s="12"/>
      <c r="K330" s="13"/>
    </row>
    <row r="331" spans="3:11" ht="12.75">
      <c r="C331" s="17"/>
      <c r="D331" s="17"/>
      <c r="E331" s="17"/>
      <c r="F331" s="17"/>
      <c r="G331" s="12"/>
      <c r="H331" s="12"/>
      <c r="I331" s="12"/>
      <c r="J331" s="12"/>
      <c r="K331" s="13"/>
    </row>
    <row r="332" spans="3:11" ht="12.75">
      <c r="C332" s="17"/>
      <c r="D332" s="17"/>
      <c r="E332" s="17"/>
      <c r="F332" s="17"/>
      <c r="G332" s="12"/>
      <c r="H332" s="12"/>
      <c r="I332" s="12"/>
      <c r="J332" s="12"/>
      <c r="K332" s="13"/>
    </row>
    <row r="333" spans="3:11" ht="12.75">
      <c r="C333" s="17"/>
      <c r="D333" s="17"/>
      <c r="E333" s="17"/>
      <c r="F333" s="17"/>
      <c r="G333" s="12"/>
      <c r="H333" s="12"/>
      <c r="I333" s="12"/>
      <c r="J333" s="12"/>
      <c r="K333" s="13"/>
    </row>
    <row r="334" spans="3:11" ht="12.75">
      <c r="C334" s="17"/>
      <c r="D334" s="17"/>
      <c r="E334" s="17"/>
      <c r="F334" s="17"/>
      <c r="G334" s="12"/>
      <c r="H334" s="12"/>
      <c r="I334" s="12"/>
      <c r="J334" s="12"/>
      <c r="K334" s="13"/>
    </row>
    <row r="335" spans="3:11" ht="12.75">
      <c r="C335" s="17"/>
      <c r="D335" s="17"/>
      <c r="E335" s="17"/>
      <c r="F335" s="17"/>
      <c r="G335" s="12"/>
      <c r="H335" s="12"/>
      <c r="I335" s="12"/>
      <c r="J335" s="12"/>
      <c r="K335" s="13"/>
    </row>
    <row r="336" spans="3:11" ht="12.75">
      <c r="C336" s="17"/>
      <c r="D336" s="17"/>
      <c r="E336" s="17"/>
      <c r="F336" s="17"/>
      <c r="G336" s="12"/>
      <c r="H336" s="12"/>
      <c r="I336" s="12"/>
      <c r="J336" s="12"/>
      <c r="K336" s="13"/>
    </row>
    <row r="337" spans="3:11" ht="12.75">
      <c r="C337" s="17"/>
      <c r="D337" s="17"/>
      <c r="E337" s="17"/>
      <c r="F337" s="17"/>
      <c r="G337" s="12"/>
      <c r="H337" s="12"/>
      <c r="I337" s="12"/>
      <c r="J337" s="12"/>
      <c r="K337" s="13"/>
    </row>
    <row r="338" spans="3:11" ht="12.75">
      <c r="C338" s="17"/>
      <c r="D338" s="17"/>
      <c r="E338" s="17"/>
      <c r="F338" s="17"/>
      <c r="G338" s="12"/>
      <c r="H338" s="12"/>
      <c r="I338" s="12"/>
      <c r="J338" s="12"/>
      <c r="K338" s="13"/>
    </row>
    <row r="339" spans="3:11" ht="12.75">
      <c r="C339" s="17"/>
      <c r="D339" s="17"/>
      <c r="E339" s="17"/>
      <c r="F339" s="17"/>
      <c r="G339" s="12"/>
      <c r="H339" s="12"/>
      <c r="I339" s="12"/>
      <c r="J339" s="12"/>
      <c r="K339" s="13"/>
    </row>
    <row r="340" spans="3:11" ht="12.75">
      <c r="C340" s="17"/>
      <c r="D340" s="17"/>
      <c r="E340" s="17"/>
      <c r="F340" s="17"/>
      <c r="G340" s="12"/>
      <c r="H340" s="12"/>
      <c r="I340" s="12"/>
      <c r="J340" s="12"/>
      <c r="K340" s="13"/>
    </row>
    <row r="341" spans="3:11" ht="12.75">
      <c r="C341" s="17"/>
      <c r="D341" s="17"/>
      <c r="E341" s="17"/>
      <c r="F341" s="17"/>
      <c r="G341" s="12"/>
      <c r="H341" s="12"/>
      <c r="I341" s="12"/>
      <c r="J341" s="12"/>
      <c r="K341" s="13"/>
    </row>
    <row r="342" spans="3:11" ht="12.75">
      <c r="C342" s="17"/>
      <c r="D342" s="17"/>
      <c r="E342" s="17"/>
      <c r="F342" s="17"/>
      <c r="G342" s="12"/>
      <c r="H342" s="12"/>
      <c r="I342" s="12"/>
      <c r="J342" s="12"/>
      <c r="K342" s="13"/>
    </row>
    <row r="343" spans="3:11" ht="12.75">
      <c r="C343" s="17"/>
      <c r="D343" s="17"/>
      <c r="E343" s="17"/>
      <c r="F343" s="17"/>
      <c r="G343" s="12"/>
      <c r="H343" s="12"/>
      <c r="I343" s="12"/>
      <c r="J343" s="12"/>
      <c r="K343" s="13"/>
    </row>
    <row r="344" spans="3:11" ht="12.75">
      <c r="C344" s="17"/>
      <c r="D344" s="17"/>
      <c r="E344" s="17"/>
      <c r="F344" s="17"/>
      <c r="G344" s="12"/>
      <c r="H344" s="12"/>
      <c r="I344" s="12"/>
      <c r="J344" s="12"/>
      <c r="K344" s="13"/>
    </row>
    <row r="345" spans="3:11" ht="12.75">
      <c r="C345" s="17"/>
      <c r="D345" s="17"/>
      <c r="E345" s="17"/>
      <c r="F345" s="17"/>
      <c r="G345" s="12"/>
      <c r="H345" s="12"/>
      <c r="I345" s="12"/>
      <c r="J345" s="12"/>
      <c r="K345" s="13"/>
    </row>
    <row r="346" spans="3:11" ht="12.75">
      <c r="C346" s="17"/>
      <c r="D346" s="17"/>
      <c r="E346" s="17"/>
      <c r="F346" s="17"/>
      <c r="G346" s="12"/>
      <c r="H346" s="12"/>
      <c r="I346" s="12"/>
      <c r="J346" s="12"/>
      <c r="K346" s="13"/>
    </row>
    <row r="347" spans="3:11" ht="12.75">
      <c r="C347" s="17"/>
      <c r="D347" s="17"/>
      <c r="E347" s="17"/>
      <c r="F347" s="17"/>
      <c r="G347" s="12"/>
      <c r="H347" s="12"/>
      <c r="I347" s="12"/>
      <c r="J347" s="12"/>
      <c r="K347" s="13"/>
    </row>
    <row r="348" spans="3:11" ht="12.75">
      <c r="C348" s="17"/>
      <c r="D348" s="17"/>
      <c r="E348" s="17"/>
      <c r="F348" s="17"/>
      <c r="G348" s="12"/>
      <c r="H348" s="12"/>
      <c r="I348" s="12"/>
      <c r="J348" s="12"/>
      <c r="K348" s="13"/>
    </row>
    <row r="349" spans="3:11" ht="12.75">
      <c r="C349" s="17"/>
      <c r="D349" s="17"/>
      <c r="E349" s="17"/>
      <c r="F349" s="17"/>
      <c r="G349" s="12"/>
      <c r="H349" s="12"/>
      <c r="I349" s="12"/>
      <c r="J349" s="12"/>
      <c r="K349" s="13"/>
    </row>
    <row r="350" spans="3:11" ht="12.75">
      <c r="C350" s="17"/>
      <c r="D350" s="17"/>
      <c r="E350" s="17"/>
      <c r="F350" s="17"/>
      <c r="G350" s="12"/>
      <c r="H350" s="12"/>
      <c r="I350" s="12"/>
      <c r="J350" s="12"/>
      <c r="K350" s="13"/>
    </row>
    <row r="351" spans="3:11" ht="12.75">
      <c r="C351" s="17"/>
      <c r="D351" s="17"/>
      <c r="E351" s="17"/>
      <c r="F351" s="17"/>
      <c r="G351" s="12"/>
      <c r="H351" s="12"/>
      <c r="I351" s="12"/>
      <c r="J351" s="12"/>
      <c r="K351" s="13"/>
    </row>
    <row r="352" spans="3:11" ht="12.75">
      <c r="C352" s="17"/>
      <c r="D352" s="17"/>
      <c r="E352" s="17"/>
      <c r="F352" s="17"/>
      <c r="G352" s="12"/>
      <c r="H352" s="12"/>
      <c r="I352" s="12"/>
      <c r="J352" s="12"/>
      <c r="K352" s="13"/>
    </row>
    <row r="353" spans="3:11" ht="12.75">
      <c r="C353" s="17"/>
      <c r="D353" s="17"/>
      <c r="E353" s="17"/>
      <c r="F353" s="17"/>
      <c r="G353" s="12"/>
      <c r="H353" s="12"/>
      <c r="I353" s="12"/>
      <c r="J353" s="12"/>
      <c r="K353" s="13"/>
    </row>
    <row r="354" spans="3:11" ht="12.75">
      <c r="C354" s="17"/>
      <c r="D354" s="17"/>
      <c r="E354" s="17"/>
      <c r="F354" s="17"/>
      <c r="G354" s="12"/>
      <c r="H354" s="12"/>
      <c r="I354" s="12"/>
      <c r="J354" s="12"/>
      <c r="K354" s="13"/>
    </row>
    <row r="355" spans="3:11" ht="12.75">
      <c r="C355" s="17"/>
      <c r="D355" s="17"/>
      <c r="E355" s="17"/>
      <c r="F355" s="17"/>
      <c r="G355" s="12"/>
      <c r="H355" s="12"/>
      <c r="I355" s="12"/>
      <c r="J355" s="12"/>
      <c r="K355" s="13"/>
    </row>
    <row r="356" spans="3:11" ht="12.75">
      <c r="C356" s="17"/>
      <c r="D356" s="17"/>
      <c r="E356" s="17"/>
      <c r="F356" s="17"/>
      <c r="G356" s="12"/>
      <c r="H356" s="12"/>
      <c r="I356" s="12"/>
      <c r="J356" s="12"/>
      <c r="K356" s="13"/>
    </row>
    <row r="357" spans="3:11" ht="12.75">
      <c r="C357" s="17"/>
      <c r="D357" s="17"/>
      <c r="E357" s="17"/>
      <c r="F357" s="17"/>
      <c r="G357" s="12"/>
      <c r="H357" s="12"/>
      <c r="I357" s="12"/>
      <c r="J357" s="12"/>
      <c r="K357" s="13"/>
    </row>
    <row r="358" spans="3:11" ht="12.75">
      <c r="C358" s="17"/>
      <c r="D358" s="17"/>
      <c r="E358" s="17"/>
      <c r="F358" s="17"/>
      <c r="G358" s="12"/>
      <c r="H358" s="12"/>
      <c r="I358" s="12"/>
      <c r="J358" s="12"/>
      <c r="K358" s="13"/>
    </row>
    <row r="359" spans="3:11" ht="12.75">
      <c r="C359" s="17"/>
      <c r="D359" s="17"/>
      <c r="E359" s="17"/>
      <c r="F359" s="17"/>
      <c r="G359" s="12"/>
      <c r="H359" s="12"/>
      <c r="I359" s="12"/>
      <c r="J359" s="12"/>
      <c r="K359" s="13"/>
    </row>
    <row r="360" spans="3:11" ht="12.75">
      <c r="C360" s="17"/>
      <c r="D360" s="17"/>
      <c r="E360" s="17"/>
      <c r="F360" s="17"/>
      <c r="G360" s="12"/>
      <c r="H360" s="12"/>
      <c r="I360" s="12"/>
      <c r="J360" s="12"/>
      <c r="K360" s="13"/>
    </row>
    <row r="361" spans="3:11" ht="12.75">
      <c r="C361" s="17"/>
      <c r="D361" s="17"/>
      <c r="E361" s="17"/>
      <c r="F361" s="17"/>
      <c r="G361" s="12"/>
      <c r="H361" s="12"/>
      <c r="I361" s="12"/>
      <c r="J361" s="12"/>
      <c r="K361" s="13"/>
    </row>
    <row r="362" spans="3:11" ht="12.75">
      <c r="C362" s="17"/>
      <c r="D362" s="17"/>
      <c r="E362" s="17"/>
      <c r="F362" s="17"/>
      <c r="G362" s="12"/>
      <c r="H362" s="12"/>
      <c r="I362" s="12"/>
      <c r="J362" s="12"/>
      <c r="K362" s="13"/>
    </row>
    <row r="363" spans="3:11" ht="12.75">
      <c r="C363" s="17"/>
      <c r="D363" s="17"/>
      <c r="E363" s="17"/>
      <c r="F363" s="17"/>
      <c r="G363" s="12"/>
      <c r="H363" s="12"/>
      <c r="I363" s="12"/>
      <c r="J363" s="12"/>
      <c r="K363" s="13"/>
    </row>
    <row r="364" spans="3:11" ht="12.75">
      <c r="C364" s="17"/>
      <c r="D364" s="17"/>
      <c r="E364" s="17"/>
      <c r="F364" s="17"/>
      <c r="G364" s="12"/>
      <c r="H364" s="12"/>
      <c r="I364" s="12"/>
      <c r="J364" s="12"/>
      <c r="K364" s="13"/>
    </row>
    <row r="365" spans="3:11" ht="12.75">
      <c r="C365" s="17"/>
      <c r="D365" s="17"/>
      <c r="E365" s="17"/>
      <c r="F365" s="17"/>
      <c r="G365" s="12"/>
      <c r="H365" s="12"/>
      <c r="I365" s="12"/>
      <c r="J365" s="12"/>
      <c r="K365" s="13"/>
    </row>
    <row r="366" spans="3:11" ht="12.75">
      <c r="C366" s="17"/>
      <c r="D366" s="17"/>
      <c r="E366" s="17"/>
      <c r="F366" s="17"/>
      <c r="G366" s="12"/>
      <c r="H366" s="12"/>
      <c r="I366" s="12"/>
      <c r="J366" s="12"/>
      <c r="K366" s="13"/>
    </row>
    <row r="367" spans="3:11" ht="12.75">
      <c r="C367" s="17"/>
      <c r="D367" s="17"/>
      <c r="E367" s="17"/>
      <c r="F367" s="17"/>
      <c r="G367" s="12"/>
      <c r="H367" s="12"/>
      <c r="I367" s="12"/>
      <c r="J367" s="12"/>
      <c r="K367" s="13"/>
    </row>
    <row r="368" spans="3:11" ht="12.75">
      <c r="C368" s="17"/>
      <c r="D368" s="17"/>
      <c r="E368" s="17"/>
      <c r="F368" s="17"/>
      <c r="G368" s="12"/>
      <c r="H368" s="12"/>
      <c r="I368" s="12"/>
      <c r="J368" s="12"/>
      <c r="K368" s="13"/>
    </row>
    <row r="369" spans="3:11" ht="12.75">
      <c r="C369" s="17"/>
      <c r="D369" s="17"/>
      <c r="E369" s="17"/>
      <c r="F369" s="17"/>
      <c r="G369" s="12"/>
      <c r="H369" s="12"/>
      <c r="I369" s="12"/>
      <c r="J369" s="12"/>
      <c r="K369" s="13"/>
    </row>
    <row r="370" spans="3:11" ht="12.75">
      <c r="C370" s="17"/>
      <c r="D370" s="17"/>
      <c r="E370" s="17"/>
      <c r="F370" s="17"/>
      <c r="G370" s="12"/>
      <c r="H370" s="12"/>
      <c r="I370" s="12"/>
      <c r="J370" s="12"/>
      <c r="K370" s="13"/>
    </row>
    <row r="371" spans="3:11" ht="12.75">
      <c r="C371" s="17"/>
      <c r="D371" s="17"/>
      <c r="E371" s="17"/>
      <c r="F371" s="17"/>
      <c r="G371" s="12"/>
      <c r="H371" s="12"/>
      <c r="I371" s="12"/>
      <c r="J371" s="12"/>
      <c r="K371" s="13"/>
    </row>
    <row r="372" spans="3:11" ht="12.75">
      <c r="C372" s="17"/>
      <c r="D372" s="17"/>
      <c r="E372" s="17"/>
      <c r="F372" s="17"/>
      <c r="G372" s="12"/>
      <c r="H372" s="12"/>
      <c r="I372" s="12"/>
      <c r="J372" s="12"/>
      <c r="K372" s="13"/>
    </row>
    <row r="373" spans="3:11" ht="12.75">
      <c r="C373" s="17"/>
      <c r="D373" s="17"/>
      <c r="E373" s="17"/>
      <c r="F373" s="17"/>
      <c r="G373" s="12"/>
      <c r="H373" s="12"/>
      <c r="I373" s="12"/>
      <c r="J373" s="12"/>
      <c r="K373" s="13"/>
    </row>
    <row r="374" spans="3:11" ht="12.75">
      <c r="C374" s="17"/>
      <c r="D374" s="17"/>
      <c r="E374" s="17"/>
      <c r="F374" s="17"/>
      <c r="G374" s="12"/>
      <c r="H374" s="12"/>
      <c r="I374" s="12"/>
      <c r="J374" s="12"/>
      <c r="K374" s="13"/>
    </row>
    <row r="375" spans="3:11" ht="12.75">
      <c r="C375" s="17"/>
      <c r="D375" s="17"/>
      <c r="E375" s="17"/>
      <c r="F375" s="17"/>
      <c r="G375" s="12"/>
      <c r="H375" s="12"/>
      <c r="I375" s="12"/>
      <c r="J375" s="12"/>
      <c r="K375" s="13"/>
    </row>
    <row r="376" spans="3:11" ht="12.75">
      <c r="C376" s="17"/>
      <c r="D376" s="17"/>
      <c r="E376" s="17"/>
      <c r="F376" s="17"/>
      <c r="G376" s="12"/>
      <c r="H376" s="12"/>
      <c r="I376" s="12"/>
      <c r="J376" s="12"/>
      <c r="K376" s="13"/>
    </row>
    <row r="377" spans="3:11" ht="12.75">
      <c r="C377" s="17"/>
      <c r="D377" s="17"/>
      <c r="E377" s="17"/>
      <c r="F377" s="17"/>
      <c r="G377" s="12"/>
      <c r="H377" s="12"/>
      <c r="I377" s="12"/>
      <c r="J377" s="12"/>
      <c r="K377" s="13"/>
    </row>
    <row r="378" spans="3:11" ht="12.75">
      <c r="C378" s="17"/>
      <c r="D378" s="17"/>
      <c r="E378" s="17"/>
      <c r="F378" s="17"/>
      <c r="G378" s="12"/>
      <c r="H378" s="12"/>
      <c r="I378" s="12"/>
      <c r="J378" s="12"/>
      <c r="K378" s="13"/>
    </row>
    <row r="379" spans="3:11" ht="12.75">
      <c r="C379" s="17"/>
      <c r="D379" s="17"/>
      <c r="E379" s="17"/>
      <c r="F379" s="17"/>
      <c r="G379" s="12"/>
      <c r="H379" s="12"/>
      <c r="I379" s="12"/>
      <c r="J379" s="12"/>
      <c r="K379" s="13"/>
    </row>
    <row r="380" spans="3:11" ht="12.75">
      <c r="C380" s="17"/>
      <c r="D380" s="17"/>
      <c r="E380" s="17"/>
      <c r="F380" s="17"/>
      <c r="G380" s="12"/>
      <c r="H380" s="12"/>
      <c r="I380" s="12"/>
      <c r="J380" s="12"/>
      <c r="K380" s="13"/>
    </row>
    <row r="381" spans="3:11" ht="12.75">
      <c r="C381" s="17"/>
      <c r="D381" s="17"/>
      <c r="E381" s="17"/>
      <c r="F381" s="17"/>
      <c r="G381" s="12"/>
      <c r="H381" s="12"/>
      <c r="I381" s="12"/>
      <c r="J381" s="12"/>
      <c r="K381" s="13"/>
    </row>
    <row r="382" spans="3:11" ht="12.75">
      <c r="C382" s="17"/>
      <c r="D382" s="17"/>
      <c r="E382" s="17"/>
      <c r="F382" s="17"/>
      <c r="G382" s="12"/>
      <c r="H382" s="12"/>
      <c r="I382" s="12"/>
      <c r="J382" s="12"/>
      <c r="K382" s="13"/>
    </row>
    <row r="383" spans="3:11" ht="12.75">
      <c r="C383" s="17"/>
      <c r="D383" s="17"/>
      <c r="E383" s="17"/>
      <c r="F383" s="17"/>
      <c r="G383" s="12"/>
      <c r="H383" s="12"/>
      <c r="I383" s="12"/>
      <c r="J383" s="12"/>
      <c r="K383" s="13"/>
    </row>
    <row r="384" spans="3:11" ht="12.75">
      <c r="C384" s="17"/>
      <c r="D384" s="17"/>
      <c r="E384" s="17"/>
      <c r="F384" s="17"/>
      <c r="G384" s="12"/>
      <c r="H384" s="12"/>
      <c r="I384" s="12"/>
      <c r="J384" s="12"/>
      <c r="K384" s="13"/>
    </row>
    <row r="385" spans="3:11" ht="12.75">
      <c r="C385" s="17"/>
      <c r="D385" s="17"/>
      <c r="E385" s="17"/>
      <c r="F385" s="17"/>
      <c r="G385" s="12"/>
      <c r="H385" s="12"/>
      <c r="I385" s="12"/>
      <c r="J385" s="12"/>
      <c r="K385" s="13"/>
    </row>
    <row r="386" spans="3:11" ht="12.75">
      <c r="C386" s="17"/>
      <c r="D386" s="17"/>
      <c r="E386" s="17"/>
      <c r="F386" s="17"/>
      <c r="G386" s="12"/>
      <c r="H386" s="12"/>
      <c r="I386" s="12"/>
      <c r="J386" s="12"/>
      <c r="K386" s="13"/>
    </row>
    <row r="387" spans="3:11" ht="12.75">
      <c r="C387" s="17"/>
      <c r="D387" s="17"/>
      <c r="E387" s="17"/>
      <c r="F387" s="17"/>
      <c r="G387" s="12"/>
      <c r="H387" s="12"/>
      <c r="I387" s="12"/>
      <c r="J387" s="12"/>
      <c r="K387" s="13"/>
    </row>
    <row r="388" spans="3:11" ht="12.75">
      <c r="C388" s="17"/>
      <c r="D388" s="17"/>
      <c r="E388" s="17"/>
      <c r="F388" s="17"/>
      <c r="G388" s="12"/>
      <c r="H388" s="12"/>
      <c r="I388" s="12"/>
      <c r="J388" s="12"/>
      <c r="K388" s="13"/>
    </row>
    <row r="389" spans="3:11" ht="12.75">
      <c r="C389" s="17"/>
      <c r="D389" s="17"/>
      <c r="E389" s="17"/>
      <c r="F389" s="17"/>
      <c r="G389" s="12"/>
      <c r="H389" s="12"/>
      <c r="I389" s="12"/>
      <c r="J389" s="12"/>
      <c r="K389" s="13"/>
    </row>
    <row r="390" spans="3:11" ht="12.75">
      <c r="C390" s="17"/>
      <c r="D390" s="17"/>
      <c r="E390" s="17"/>
      <c r="F390" s="17"/>
      <c r="G390" s="12"/>
      <c r="H390" s="12"/>
      <c r="I390" s="12"/>
      <c r="J390" s="12"/>
      <c r="K390" s="13"/>
    </row>
    <row r="391" spans="3:11" ht="12.75">
      <c r="C391" s="17"/>
      <c r="D391" s="17"/>
      <c r="E391" s="17"/>
      <c r="F391" s="17"/>
      <c r="G391" s="12"/>
      <c r="H391" s="12"/>
      <c r="I391" s="12"/>
      <c r="J391" s="12"/>
      <c r="K391" s="13"/>
    </row>
    <row r="392" spans="3:11" ht="12.75">
      <c r="C392" s="17"/>
      <c r="D392" s="17"/>
      <c r="E392" s="17"/>
      <c r="F392" s="17"/>
      <c r="G392" s="12"/>
      <c r="H392" s="12"/>
      <c r="I392" s="12"/>
      <c r="J392" s="12"/>
      <c r="K392" s="13"/>
    </row>
    <row r="393" spans="3:11" ht="12.75">
      <c r="C393" s="17"/>
      <c r="D393" s="17"/>
      <c r="E393" s="17"/>
      <c r="F393" s="17"/>
      <c r="G393" s="12"/>
      <c r="H393" s="12"/>
      <c r="I393" s="12"/>
      <c r="J393" s="12"/>
      <c r="K393" s="13"/>
    </row>
    <row r="394" spans="3:11" ht="12.75">
      <c r="C394" s="17"/>
      <c r="D394" s="17"/>
      <c r="E394" s="17"/>
      <c r="F394" s="17"/>
      <c r="G394" s="12"/>
      <c r="H394" s="12"/>
      <c r="I394" s="12"/>
      <c r="J394" s="12"/>
      <c r="K394" s="13"/>
    </row>
    <row r="395" spans="3:11" ht="12.75">
      <c r="C395" s="17"/>
      <c r="D395" s="17"/>
      <c r="E395" s="17"/>
      <c r="F395" s="17"/>
      <c r="G395" s="12"/>
      <c r="H395" s="12"/>
      <c r="I395" s="12"/>
      <c r="J395" s="12"/>
      <c r="K395" s="13"/>
    </row>
    <row r="396" spans="3:11" ht="12.75">
      <c r="C396" s="17"/>
      <c r="D396" s="17"/>
      <c r="E396" s="17"/>
      <c r="F396" s="17"/>
      <c r="G396" s="12"/>
      <c r="H396" s="12"/>
      <c r="I396" s="12"/>
      <c r="J396" s="12"/>
      <c r="K396" s="13"/>
    </row>
    <row r="397" spans="3:11" ht="12.75">
      <c r="C397" s="17"/>
      <c r="D397" s="17"/>
      <c r="E397" s="17"/>
      <c r="F397" s="17"/>
      <c r="G397" s="12"/>
      <c r="H397" s="12"/>
      <c r="I397" s="12"/>
      <c r="J397" s="12"/>
      <c r="K397" s="13"/>
    </row>
    <row r="398" spans="3:11" ht="12.75">
      <c r="C398" s="17"/>
      <c r="D398" s="17"/>
      <c r="E398" s="17"/>
      <c r="F398" s="17"/>
      <c r="G398" s="12"/>
      <c r="H398" s="12"/>
      <c r="I398" s="12"/>
      <c r="J398" s="12"/>
      <c r="K398" s="13"/>
    </row>
    <row r="399" spans="3:11" ht="12.75">
      <c r="C399" s="17"/>
      <c r="D399" s="17"/>
      <c r="E399" s="17"/>
      <c r="F399" s="17"/>
      <c r="G399" s="12"/>
      <c r="H399" s="12"/>
      <c r="I399" s="12"/>
      <c r="J399" s="12"/>
      <c r="K399" s="13"/>
    </row>
    <row r="400" spans="3:11" ht="12.75">
      <c r="C400" s="17"/>
      <c r="D400" s="17"/>
      <c r="E400" s="17"/>
      <c r="F400" s="17"/>
      <c r="G400" s="12"/>
      <c r="H400" s="12"/>
      <c r="I400" s="12"/>
      <c r="J400" s="12"/>
      <c r="K400" s="13"/>
    </row>
    <row r="401" spans="3:11" ht="12.75">
      <c r="C401" s="17"/>
      <c r="D401" s="17"/>
      <c r="E401" s="17"/>
      <c r="F401" s="17"/>
      <c r="G401" s="12"/>
      <c r="H401" s="12"/>
      <c r="I401" s="12"/>
      <c r="J401" s="12"/>
      <c r="K401" s="13"/>
    </row>
    <row r="402" spans="3:11" ht="12.75">
      <c r="C402" s="17"/>
      <c r="D402" s="17"/>
      <c r="E402" s="17"/>
      <c r="F402" s="17"/>
      <c r="G402" s="12"/>
      <c r="H402" s="12"/>
      <c r="I402" s="12"/>
      <c r="J402" s="12"/>
      <c r="K402" s="13"/>
    </row>
    <row r="403" spans="3:11" ht="12.75">
      <c r="C403" s="17"/>
      <c r="D403" s="17"/>
      <c r="E403" s="17"/>
      <c r="F403" s="17"/>
      <c r="G403" s="12"/>
      <c r="H403" s="12"/>
      <c r="I403" s="12"/>
      <c r="J403" s="12"/>
      <c r="K403" s="13"/>
    </row>
    <row r="404" spans="3:11" ht="12.75">
      <c r="C404" s="17"/>
      <c r="D404" s="17"/>
      <c r="E404" s="17"/>
      <c r="F404" s="17"/>
      <c r="G404" s="12"/>
      <c r="H404" s="12"/>
      <c r="I404" s="12"/>
      <c r="J404" s="12"/>
      <c r="K404" s="13"/>
    </row>
    <row r="405" spans="3:11" ht="12.75">
      <c r="C405" s="17"/>
      <c r="D405" s="17"/>
      <c r="E405" s="17"/>
      <c r="F405" s="17"/>
      <c r="G405" s="12"/>
      <c r="H405" s="12"/>
      <c r="I405" s="12"/>
      <c r="J405" s="12"/>
      <c r="K405" s="13"/>
    </row>
    <row r="406" spans="3:11" ht="12.75">
      <c r="C406" s="17"/>
      <c r="D406" s="17"/>
      <c r="E406" s="17"/>
      <c r="F406" s="17"/>
      <c r="G406" s="12"/>
      <c r="H406" s="12"/>
      <c r="I406" s="12"/>
      <c r="J406" s="12"/>
      <c r="K406" s="13"/>
    </row>
    <row r="407" spans="3:11" ht="12.75">
      <c r="C407" s="17"/>
      <c r="D407" s="17"/>
      <c r="E407" s="17"/>
      <c r="F407" s="17"/>
      <c r="G407" s="12"/>
      <c r="H407" s="12"/>
      <c r="I407" s="12"/>
      <c r="J407" s="12"/>
      <c r="K407" s="13"/>
    </row>
    <row r="408" spans="3:11" ht="12.75">
      <c r="C408" s="17"/>
      <c r="D408" s="17"/>
      <c r="E408" s="17"/>
      <c r="F408" s="17"/>
      <c r="G408" s="12"/>
      <c r="H408" s="12"/>
      <c r="I408" s="12"/>
      <c r="J408" s="12"/>
      <c r="K408" s="13"/>
    </row>
    <row r="409" spans="3:11" ht="12.75">
      <c r="C409" s="17"/>
      <c r="D409" s="17"/>
      <c r="E409" s="17"/>
      <c r="F409" s="17"/>
      <c r="G409" s="12"/>
      <c r="H409" s="12"/>
      <c r="I409" s="12"/>
      <c r="J409" s="12"/>
      <c r="K409" s="13"/>
    </row>
    <row r="410" spans="3:11" ht="12.75">
      <c r="C410" s="17"/>
      <c r="D410" s="17"/>
      <c r="E410" s="17"/>
      <c r="F410" s="17"/>
      <c r="G410" s="12"/>
      <c r="H410" s="12"/>
      <c r="I410" s="12"/>
      <c r="J410" s="12"/>
      <c r="K410" s="13"/>
    </row>
    <row r="411" spans="3:11" ht="12.75">
      <c r="C411" s="17"/>
      <c r="D411" s="17"/>
      <c r="E411" s="17"/>
      <c r="F411" s="17"/>
      <c r="G411" s="12"/>
      <c r="H411" s="12"/>
      <c r="I411" s="12"/>
      <c r="J411" s="12"/>
      <c r="K411" s="13"/>
    </row>
    <row r="412" spans="3:11" ht="12.75">
      <c r="C412" s="17"/>
      <c r="D412" s="17"/>
      <c r="E412" s="17"/>
      <c r="F412" s="17"/>
      <c r="G412" s="12"/>
      <c r="H412" s="12"/>
      <c r="I412" s="12"/>
      <c r="J412" s="12"/>
      <c r="K412" s="13"/>
    </row>
    <row r="413" spans="3:11" ht="12.75">
      <c r="C413" s="17"/>
      <c r="D413" s="17"/>
      <c r="E413" s="17"/>
      <c r="F413" s="17"/>
      <c r="G413" s="12"/>
      <c r="H413" s="12"/>
      <c r="I413" s="12"/>
      <c r="J413" s="12"/>
      <c r="K413" s="13"/>
    </row>
    <row r="414" spans="3:11" ht="12.75">
      <c r="C414" s="17"/>
      <c r="D414" s="17"/>
      <c r="E414" s="17"/>
      <c r="F414" s="17"/>
      <c r="G414" s="12"/>
      <c r="H414" s="12"/>
      <c r="I414" s="12"/>
      <c r="J414" s="12"/>
      <c r="K414" s="13"/>
    </row>
    <row r="415" spans="3:11" ht="12.75">
      <c r="C415" s="17"/>
      <c r="D415" s="17"/>
      <c r="E415" s="17"/>
      <c r="F415" s="17"/>
      <c r="G415" s="12"/>
      <c r="H415" s="12"/>
      <c r="I415" s="12"/>
      <c r="J415" s="12"/>
      <c r="K415" s="13"/>
    </row>
    <row r="416" spans="3:11" ht="12.75">
      <c r="C416" s="17"/>
      <c r="D416" s="17"/>
      <c r="E416" s="17"/>
      <c r="F416" s="17"/>
      <c r="G416" s="12"/>
      <c r="H416" s="12"/>
      <c r="I416" s="12"/>
      <c r="J416" s="12"/>
      <c r="K416" s="13"/>
    </row>
    <row r="417" spans="3:11" ht="12.75">
      <c r="C417" s="17"/>
      <c r="D417" s="17"/>
      <c r="E417" s="17"/>
      <c r="F417" s="17"/>
      <c r="G417" s="12"/>
      <c r="H417" s="12"/>
      <c r="I417" s="12"/>
      <c r="J417" s="12"/>
      <c r="K417" s="13"/>
    </row>
    <row r="418" spans="3:11" ht="12.75">
      <c r="C418" s="17"/>
      <c r="D418" s="17"/>
      <c r="E418" s="17"/>
      <c r="F418" s="17"/>
      <c r="G418" s="12"/>
      <c r="H418" s="12"/>
      <c r="I418" s="12"/>
      <c r="J418" s="12"/>
      <c r="K418" s="13"/>
    </row>
    <row r="419" spans="3:11" ht="12.75">
      <c r="C419" s="17"/>
      <c r="D419" s="17"/>
      <c r="E419" s="17"/>
      <c r="F419" s="17"/>
      <c r="G419" s="12"/>
      <c r="H419" s="12"/>
      <c r="I419" s="12"/>
      <c r="J419" s="12"/>
      <c r="K419" s="13"/>
    </row>
    <row r="420" spans="3:11" ht="12.75">
      <c r="C420" s="17"/>
      <c r="D420" s="17"/>
      <c r="E420" s="17"/>
      <c r="F420" s="17"/>
      <c r="G420" s="12"/>
      <c r="H420" s="12"/>
      <c r="I420" s="12"/>
      <c r="J420" s="12"/>
      <c r="K420" s="13"/>
    </row>
    <row r="421" spans="3:11" ht="12.75">
      <c r="C421" s="17"/>
      <c r="D421" s="17"/>
      <c r="E421" s="17"/>
      <c r="F421" s="17"/>
      <c r="G421" s="12"/>
      <c r="H421" s="12"/>
      <c r="I421" s="12"/>
      <c r="J421" s="12"/>
      <c r="K421" s="13"/>
    </row>
    <row r="422" spans="3:11" ht="12.75">
      <c r="C422" s="17"/>
      <c r="D422" s="17"/>
      <c r="E422" s="17"/>
      <c r="F422" s="17"/>
      <c r="G422" s="12"/>
      <c r="H422" s="12"/>
      <c r="I422" s="12"/>
      <c r="J422" s="12"/>
      <c r="K422" s="13"/>
    </row>
    <row r="423" spans="3:11" ht="12.75">
      <c r="C423" s="17"/>
      <c r="D423" s="17"/>
      <c r="E423" s="17"/>
      <c r="F423" s="17"/>
      <c r="G423" s="12"/>
      <c r="H423" s="12"/>
      <c r="I423" s="12"/>
      <c r="J423" s="12"/>
      <c r="K423" s="13"/>
    </row>
    <row r="424" spans="3:11" ht="12.75">
      <c r="C424" s="17"/>
      <c r="D424" s="17"/>
      <c r="E424" s="17"/>
      <c r="F424" s="17"/>
      <c r="G424" s="12"/>
      <c r="H424" s="12"/>
      <c r="I424" s="12"/>
      <c r="J424" s="12"/>
      <c r="K424" s="13"/>
    </row>
    <row r="425" spans="3:11" ht="12.75">
      <c r="C425" s="17"/>
      <c r="D425" s="17"/>
      <c r="E425" s="17"/>
      <c r="F425" s="17"/>
      <c r="G425" s="12"/>
      <c r="H425" s="12"/>
      <c r="I425" s="12"/>
      <c r="J425" s="12"/>
      <c r="K425" s="13"/>
    </row>
    <row r="426" spans="3:11" ht="12.75">
      <c r="C426" s="17"/>
      <c r="D426" s="17"/>
      <c r="E426" s="17"/>
      <c r="F426" s="17"/>
      <c r="G426" s="12"/>
      <c r="H426" s="12"/>
      <c r="I426" s="12"/>
      <c r="J426" s="12"/>
      <c r="K426" s="13"/>
    </row>
    <row r="427" spans="3:11" ht="12.75">
      <c r="C427" s="17"/>
      <c r="D427" s="17"/>
      <c r="E427" s="17"/>
      <c r="F427" s="17"/>
      <c r="G427" s="12"/>
      <c r="H427" s="12"/>
      <c r="I427" s="12"/>
      <c r="J427" s="12"/>
      <c r="K427" s="13"/>
    </row>
    <row r="428" spans="3:11" ht="12.75">
      <c r="C428" s="17"/>
      <c r="D428" s="17"/>
      <c r="E428" s="17"/>
      <c r="F428" s="17"/>
      <c r="G428" s="12"/>
      <c r="H428" s="12"/>
      <c r="I428" s="12"/>
      <c r="J428" s="12"/>
      <c r="K428" s="13"/>
    </row>
    <row r="429" spans="3:11" ht="12.75">
      <c r="C429" s="17"/>
      <c r="D429" s="17"/>
      <c r="E429" s="17"/>
      <c r="F429" s="17"/>
      <c r="G429" s="12"/>
      <c r="H429" s="12"/>
      <c r="I429" s="12"/>
      <c r="J429" s="12"/>
      <c r="K429" s="13"/>
    </row>
    <row r="430" spans="3:11" ht="12.75">
      <c r="C430" s="17"/>
      <c r="D430" s="17"/>
      <c r="E430" s="17"/>
      <c r="F430" s="17"/>
      <c r="G430" s="12"/>
      <c r="H430" s="12"/>
      <c r="I430" s="12"/>
      <c r="J430" s="12"/>
      <c r="K430" s="13"/>
    </row>
    <row r="431" spans="3:11" ht="12.75">
      <c r="C431" s="17"/>
      <c r="D431" s="17"/>
      <c r="E431" s="17"/>
      <c r="F431" s="17"/>
      <c r="G431" s="12"/>
      <c r="H431" s="12"/>
      <c r="I431" s="12"/>
      <c r="J431" s="12"/>
      <c r="K431" s="13"/>
    </row>
    <row r="432" spans="3:11" ht="12.75">
      <c r="C432" s="17"/>
      <c r="D432" s="17"/>
      <c r="E432" s="17"/>
      <c r="F432" s="17"/>
      <c r="G432" s="12"/>
      <c r="H432" s="12"/>
      <c r="I432" s="12"/>
      <c r="J432" s="12"/>
      <c r="K432" s="13"/>
    </row>
    <row r="433" spans="3:11" ht="12.75">
      <c r="C433" s="17"/>
      <c r="D433" s="17"/>
      <c r="E433" s="17"/>
      <c r="F433" s="17"/>
      <c r="G433" s="12"/>
      <c r="H433" s="12"/>
      <c r="I433" s="12"/>
      <c r="J433" s="12"/>
      <c r="K433" s="13"/>
    </row>
    <row r="434" spans="3:11" ht="12.75">
      <c r="C434" s="17"/>
      <c r="D434" s="17"/>
      <c r="E434" s="17"/>
      <c r="F434" s="17"/>
      <c r="G434" s="12"/>
      <c r="H434" s="12"/>
      <c r="I434" s="12"/>
      <c r="J434" s="12"/>
      <c r="K434" s="13"/>
    </row>
    <row r="435" spans="3:11" ht="12.75">
      <c r="C435" s="17"/>
      <c r="D435" s="17"/>
      <c r="E435" s="17"/>
      <c r="F435" s="17"/>
      <c r="G435" s="12"/>
      <c r="H435" s="12"/>
      <c r="I435" s="12"/>
      <c r="J435" s="12"/>
      <c r="K435" s="13"/>
    </row>
    <row r="436" spans="3:11" ht="12.75">
      <c r="C436" s="17"/>
      <c r="D436" s="17"/>
      <c r="E436" s="17"/>
      <c r="F436" s="17"/>
      <c r="G436" s="12"/>
      <c r="H436" s="12"/>
      <c r="I436" s="12"/>
      <c r="J436" s="12"/>
      <c r="K436" s="13"/>
    </row>
    <row r="437" spans="3:11" ht="12.75">
      <c r="C437" s="17"/>
      <c r="D437" s="17"/>
      <c r="E437" s="17"/>
      <c r="F437" s="17"/>
      <c r="G437" s="12"/>
      <c r="H437" s="12"/>
      <c r="I437" s="12"/>
      <c r="J437" s="12"/>
      <c r="K437" s="13"/>
    </row>
    <row r="438" spans="3:11" ht="12.75">
      <c r="C438" s="17"/>
      <c r="D438" s="17"/>
      <c r="E438" s="17"/>
      <c r="F438" s="17"/>
      <c r="G438" s="12"/>
      <c r="H438" s="12"/>
      <c r="I438" s="12"/>
      <c r="J438" s="12"/>
      <c r="K438" s="13"/>
    </row>
    <row r="439" spans="3:11" ht="12.75">
      <c r="C439" s="17"/>
      <c r="D439" s="17"/>
      <c r="E439" s="17"/>
      <c r="F439" s="17"/>
      <c r="G439" s="12"/>
      <c r="H439" s="12"/>
      <c r="I439" s="12"/>
      <c r="J439" s="12"/>
      <c r="K439" s="13"/>
    </row>
    <row r="440" spans="3:11" ht="12.75">
      <c r="C440" s="17"/>
      <c r="D440" s="17"/>
      <c r="E440" s="17"/>
      <c r="F440" s="17"/>
      <c r="G440" s="12"/>
      <c r="H440" s="12"/>
      <c r="I440" s="12"/>
      <c r="J440" s="12"/>
      <c r="K440" s="13"/>
    </row>
    <row r="441" spans="3:11" ht="12.75">
      <c r="C441" s="17"/>
      <c r="D441" s="17"/>
      <c r="E441" s="17"/>
      <c r="F441" s="17"/>
      <c r="G441" s="12"/>
      <c r="H441" s="12"/>
      <c r="I441" s="12"/>
      <c r="J441" s="12"/>
      <c r="K441" s="13"/>
    </row>
    <row r="442" spans="3:11" ht="12.75">
      <c r="C442" s="17"/>
      <c r="D442" s="17"/>
      <c r="E442" s="17"/>
      <c r="F442" s="17"/>
      <c r="G442" s="12"/>
      <c r="H442" s="12"/>
      <c r="I442" s="12"/>
      <c r="J442" s="12"/>
      <c r="K442" s="13"/>
    </row>
    <row r="443" spans="3:11" ht="12.75">
      <c r="C443" s="17"/>
      <c r="D443" s="17"/>
      <c r="E443" s="17"/>
      <c r="F443" s="17"/>
      <c r="G443" s="12"/>
      <c r="H443" s="12"/>
      <c r="I443" s="12"/>
      <c r="J443" s="12"/>
      <c r="K443" s="13"/>
    </row>
    <row r="444" spans="3:11" ht="12.75">
      <c r="C444" s="17"/>
      <c r="D444" s="17"/>
      <c r="E444" s="17"/>
      <c r="F444" s="17"/>
      <c r="G444" s="12"/>
      <c r="H444" s="12"/>
      <c r="I444" s="12"/>
      <c r="J444" s="12"/>
      <c r="K444" s="13"/>
    </row>
    <row r="445" spans="3:11" ht="12.75">
      <c r="C445" s="17"/>
      <c r="D445" s="17"/>
      <c r="E445" s="17"/>
      <c r="F445" s="17"/>
      <c r="G445" s="12"/>
      <c r="H445" s="12"/>
      <c r="I445" s="12"/>
      <c r="J445" s="12"/>
      <c r="K445" s="13"/>
    </row>
    <row r="446" spans="3:11" ht="12.75">
      <c r="C446" s="17"/>
      <c r="D446" s="17"/>
      <c r="E446" s="17"/>
      <c r="F446" s="17"/>
      <c r="G446" s="12"/>
      <c r="H446" s="12"/>
      <c r="I446" s="12"/>
      <c r="J446" s="12"/>
      <c r="K446" s="13"/>
    </row>
    <row r="447" spans="3:11" ht="12.75">
      <c r="C447" s="17"/>
      <c r="D447" s="17"/>
      <c r="E447" s="17"/>
      <c r="F447" s="17"/>
      <c r="G447" s="12"/>
      <c r="H447" s="12"/>
      <c r="I447" s="12"/>
      <c r="J447" s="12"/>
      <c r="K447" s="13"/>
    </row>
    <row r="448" spans="3:11" ht="12.75">
      <c r="C448" s="17"/>
      <c r="D448" s="17"/>
      <c r="E448" s="17"/>
      <c r="F448" s="17"/>
      <c r="G448" s="12"/>
      <c r="H448" s="12"/>
      <c r="I448" s="12"/>
      <c r="J448" s="12"/>
      <c r="K448" s="13"/>
    </row>
    <row r="449" spans="3:11" ht="12.75">
      <c r="C449" s="17"/>
      <c r="D449" s="17"/>
      <c r="E449" s="17"/>
      <c r="F449" s="17"/>
      <c r="G449" s="12"/>
      <c r="H449" s="12"/>
      <c r="I449" s="12"/>
      <c r="J449" s="12"/>
      <c r="K449" s="13"/>
    </row>
    <row r="450" spans="3:11" ht="12.75">
      <c r="C450" s="17"/>
      <c r="D450" s="17"/>
      <c r="E450" s="17"/>
      <c r="F450" s="17"/>
      <c r="G450" s="12"/>
      <c r="H450" s="12"/>
      <c r="I450" s="12"/>
      <c r="J450" s="12"/>
      <c r="K450" s="13"/>
    </row>
    <row r="451" spans="3:11" ht="12.75">
      <c r="C451" s="17"/>
      <c r="D451" s="17"/>
      <c r="E451" s="17"/>
      <c r="F451" s="17"/>
      <c r="G451" s="12"/>
      <c r="H451" s="12"/>
      <c r="I451" s="12"/>
      <c r="J451" s="12"/>
      <c r="K451" s="13"/>
    </row>
    <row r="452" spans="3:11" ht="12.75">
      <c r="C452" s="17"/>
      <c r="D452" s="17"/>
      <c r="E452" s="17"/>
      <c r="F452" s="17"/>
      <c r="G452" s="12"/>
      <c r="H452" s="12"/>
      <c r="I452" s="12"/>
      <c r="J452" s="12"/>
      <c r="K452" s="13"/>
    </row>
    <row r="453" spans="3:11" ht="12.75">
      <c r="C453" s="17"/>
      <c r="D453" s="17"/>
      <c r="E453" s="17"/>
      <c r="F453" s="17"/>
      <c r="G453" s="12"/>
      <c r="H453" s="12"/>
      <c r="I453" s="12"/>
      <c r="J453" s="12"/>
      <c r="K453" s="13"/>
    </row>
    <row r="454" spans="3:11" ht="12.75">
      <c r="C454" s="17"/>
      <c r="D454" s="17"/>
      <c r="E454" s="17"/>
      <c r="F454" s="17"/>
      <c r="G454" s="12"/>
      <c r="H454" s="12"/>
      <c r="I454" s="12"/>
      <c r="J454" s="12"/>
      <c r="K454" s="13"/>
    </row>
    <row r="455" spans="3:11" ht="12.75">
      <c r="C455" s="17"/>
      <c r="D455" s="17"/>
      <c r="E455" s="17"/>
      <c r="F455" s="17"/>
      <c r="G455" s="12"/>
      <c r="H455" s="12"/>
      <c r="I455" s="12"/>
      <c r="J455" s="12"/>
      <c r="K455" s="13"/>
    </row>
    <row r="456" spans="3:11" ht="12.75">
      <c r="C456" s="17"/>
      <c r="D456" s="17"/>
      <c r="E456" s="17"/>
      <c r="F456" s="17"/>
      <c r="G456" s="12"/>
      <c r="H456" s="12"/>
      <c r="I456" s="12"/>
      <c r="J456" s="12"/>
      <c r="K456" s="13"/>
    </row>
    <row r="457" spans="3:11" ht="12.75">
      <c r="C457" s="17"/>
      <c r="D457" s="17"/>
      <c r="E457" s="17"/>
      <c r="F457" s="17"/>
      <c r="G457" s="12"/>
      <c r="H457" s="12"/>
      <c r="I457" s="12"/>
      <c r="J457" s="12"/>
      <c r="K457" s="13"/>
    </row>
    <row r="458" spans="3:11" ht="12.75">
      <c r="C458" s="17"/>
      <c r="D458" s="17"/>
      <c r="E458" s="17"/>
      <c r="F458" s="17"/>
      <c r="G458" s="12"/>
      <c r="H458" s="12"/>
      <c r="I458" s="12"/>
      <c r="J458" s="12"/>
      <c r="K458" s="13"/>
    </row>
    <row r="459" spans="3:11" ht="12.75">
      <c r="C459" s="17"/>
      <c r="D459" s="17"/>
      <c r="E459" s="17"/>
      <c r="F459" s="17"/>
      <c r="G459" s="12"/>
      <c r="H459" s="12"/>
      <c r="I459" s="12"/>
      <c r="J459" s="12"/>
      <c r="K459" s="13"/>
    </row>
    <row r="460" spans="3:11" ht="12.75">
      <c r="C460" s="17"/>
      <c r="D460" s="17"/>
      <c r="E460" s="17"/>
      <c r="F460" s="17"/>
      <c r="G460" s="12"/>
      <c r="H460" s="12"/>
      <c r="I460" s="12"/>
      <c r="J460" s="12"/>
      <c r="K460" s="13"/>
    </row>
    <row r="461" spans="3:11" ht="12.75">
      <c r="C461" s="17"/>
      <c r="D461" s="17"/>
      <c r="E461" s="17"/>
      <c r="F461" s="17"/>
      <c r="G461" s="12"/>
      <c r="H461" s="12"/>
      <c r="I461" s="12"/>
      <c r="J461" s="12"/>
      <c r="K461" s="13"/>
    </row>
    <row r="462" spans="3:11" ht="12.75">
      <c r="C462" s="17"/>
      <c r="D462" s="17"/>
      <c r="E462" s="17"/>
      <c r="F462" s="17"/>
      <c r="G462" s="12"/>
      <c r="H462" s="12"/>
      <c r="I462" s="12"/>
      <c r="J462" s="12"/>
      <c r="K462" s="13"/>
    </row>
    <row r="463" spans="3:11" ht="12.75">
      <c r="C463" s="17"/>
      <c r="D463" s="17"/>
      <c r="E463" s="17"/>
      <c r="F463" s="17"/>
      <c r="G463" s="12"/>
      <c r="H463" s="12"/>
      <c r="I463" s="12"/>
      <c r="J463" s="12"/>
      <c r="K463" s="13"/>
    </row>
    <row r="464" spans="3:11" ht="12.75">
      <c r="C464" s="17"/>
      <c r="D464" s="17"/>
      <c r="E464" s="17"/>
      <c r="F464" s="17"/>
      <c r="G464" s="12"/>
      <c r="H464" s="12"/>
      <c r="I464" s="12"/>
      <c r="J464" s="12"/>
      <c r="K464" s="13"/>
    </row>
    <row r="465" spans="3:11" ht="12.75">
      <c r="C465" s="17"/>
      <c r="D465" s="17"/>
      <c r="E465" s="17"/>
      <c r="F465" s="17"/>
      <c r="G465" s="12"/>
      <c r="H465" s="12"/>
      <c r="I465" s="12"/>
      <c r="J465" s="12"/>
      <c r="K465" s="13"/>
    </row>
    <row r="466" spans="3:11" ht="12.75">
      <c r="C466" s="17"/>
      <c r="D466" s="17"/>
      <c r="E466" s="17"/>
      <c r="F466" s="17"/>
      <c r="G466" s="12"/>
      <c r="H466" s="12"/>
      <c r="I466" s="12"/>
      <c r="J466" s="12"/>
      <c r="K466" s="13"/>
    </row>
    <row r="467" spans="3:11" ht="12.75">
      <c r="C467" s="17"/>
      <c r="D467" s="17"/>
      <c r="E467" s="17"/>
      <c r="F467" s="17"/>
      <c r="G467" s="12"/>
      <c r="H467" s="12"/>
      <c r="I467" s="12"/>
      <c r="J467" s="12"/>
      <c r="K467" s="13"/>
    </row>
    <row r="468" spans="3:11" ht="12.75">
      <c r="C468" s="17"/>
      <c r="D468" s="17"/>
      <c r="E468" s="17"/>
      <c r="F468" s="17"/>
      <c r="G468" s="12"/>
      <c r="H468" s="12"/>
      <c r="I468" s="12"/>
      <c r="J468" s="12"/>
      <c r="K468" s="13"/>
    </row>
    <row r="469" spans="3:11" ht="12.75">
      <c r="C469" s="17"/>
      <c r="D469" s="17"/>
      <c r="E469" s="17"/>
      <c r="F469" s="17"/>
      <c r="G469" s="12"/>
      <c r="H469" s="12"/>
      <c r="I469" s="12"/>
      <c r="J469" s="12"/>
      <c r="K469" s="13"/>
    </row>
    <row r="470" spans="3:11" ht="12.75">
      <c r="C470" s="17"/>
      <c r="D470" s="17"/>
      <c r="E470" s="17"/>
      <c r="F470" s="17"/>
      <c r="G470" s="12"/>
      <c r="H470" s="12"/>
      <c r="I470" s="12"/>
      <c r="J470" s="12"/>
      <c r="K470" s="13"/>
    </row>
    <row r="471" spans="3:11" ht="12.75">
      <c r="C471" s="17"/>
      <c r="D471" s="17"/>
      <c r="E471" s="17"/>
      <c r="F471" s="17"/>
      <c r="G471" s="12"/>
      <c r="H471" s="12"/>
      <c r="I471" s="12"/>
      <c r="J471" s="12"/>
      <c r="K471" s="13"/>
    </row>
    <row r="472" spans="3:11" ht="12.75">
      <c r="C472" s="17"/>
      <c r="D472" s="17"/>
      <c r="E472" s="17"/>
      <c r="F472" s="17"/>
      <c r="G472" s="12"/>
      <c r="H472" s="12"/>
      <c r="I472" s="12"/>
      <c r="J472" s="12"/>
      <c r="K472" s="13"/>
    </row>
    <row r="473" spans="3:11" ht="12.75">
      <c r="C473" s="17"/>
      <c r="D473" s="17"/>
      <c r="E473" s="17"/>
      <c r="F473" s="17"/>
      <c r="G473" s="12"/>
      <c r="H473" s="12"/>
      <c r="I473" s="12"/>
      <c r="J473" s="12"/>
      <c r="K473" s="13"/>
    </row>
    <row r="474" spans="3:11" ht="12.75">
      <c r="C474" s="17"/>
      <c r="D474" s="17"/>
      <c r="E474" s="17"/>
      <c r="F474" s="17"/>
      <c r="G474" s="12"/>
      <c r="H474" s="12"/>
      <c r="I474" s="12"/>
      <c r="J474" s="12"/>
      <c r="K474" s="13"/>
    </row>
    <row r="475" spans="3:11" ht="12.75">
      <c r="C475" s="17"/>
      <c r="D475" s="17"/>
      <c r="E475" s="17"/>
      <c r="F475" s="17"/>
      <c r="G475" s="12"/>
      <c r="H475" s="12"/>
      <c r="I475" s="12"/>
      <c r="J475" s="12"/>
      <c r="K475" s="13"/>
    </row>
    <row r="476" spans="3:11" ht="12.75">
      <c r="C476" s="17"/>
      <c r="D476" s="17"/>
      <c r="E476" s="17"/>
      <c r="F476" s="17"/>
      <c r="G476" s="12"/>
      <c r="H476" s="12"/>
      <c r="I476" s="12"/>
      <c r="J476" s="12"/>
      <c r="K476" s="13"/>
    </row>
    <row r="477" spans="3:11" ht="12.75">
      <c r="C477" s="17"/>
      <c r="D477" s="17"/>
      <c r="E477" s="17"/>
      <c r="F477" s="17"/>
      <c r="G477" s="12"/>
      <c r="H477" s="12"/>
      <c r="I477" s="12"/>
      <c r="J477" s="12"/>
      <c r="K477" s="13"/>
    </row>
    <row r="478" spans="3:11" ht="12.75">
      <c r="C478" s="17"/>
      <c r="D478" s="17"/>
      <c r="E478" s="17"/>
      <c r="F478" s="17"/>
      <c r="G478" s="12"/>
      <c r="H478" s="12"/>
      <c r="I478" s="12"/>
      <c r="J478" s="12"/>
      <c r="K478" s="13"/>
    </row>
    <row r="479" spans="3:11" ht="12.75">
      <c r="C479" s="17"/>
      <c r="D479" s="17"/>
      <c r="E479" s="17"/>
      <c r="F479" s="17"/>
      <c r="G479" s="12"/>
      <c r="H479" s="12"/>
      <c r="I479" s="12"/>
      <c r="J479" s="12"/>
      <c r="K479" s="13"/>
    </row>
    <row r="480" spans="3:11" ht="12.75">
      <c r="C480" s="17"/>
      <c r="D480" s="17"/>
      <c r="E480" s="17"/>
      <c r="F480" s="17"/>
      <c r="G480" s="12"/>
      <c r="H480" s="12"/>
      <c r="I480" s="12"/>
      <c r="J480" s="12"/>
      <c r="K480" s="13"/>
    </row>
    <row r="481" spans="3:11" ht="12.75">
      <c r="C481" s="17"/>
      <c r="D481" s="17"/>
      <c r="E481" s="17"/>
      <c r="F481" s="17"/>
      <c r="G481" s="12"/>
      <c r="H481" s="12"/>
      <c r="I481" s="12"/>
      <c r="J481" s="12"/>
      <c r="K481" s="13"/>
    </row>
    <row r="482" spans="3:11" ht="12.75">
      <c r="C482" s="17"/>
      <c r="D482" s="17"/>
      <c r="E482" s="17"/>
      <c r="F482" s="17"/>
      <c r="G482" s="12"/>
      <c r="H482" s="12"/>
      <c r="I482" s="12"/>
      <c r="J482" s="12"/>
      <c r="K482" s="13"/>
    </row>
    <row r="483" spans="3:11" ht="12.75">
      <c r="C483" s="17"/>
      <c r="D483" s="17"/>
      <c r="E483" s="17"/>
      <c r="F483" s="17"/>
      <c r="G483" s="12"/>
      <c r="H483" s="12"/>
      <c r="I483" s="12"/>
      <c r="J483" s="12"/>
      <c r="K483" s="13"/>
    </row>
    <row r="484" spans="3:11" ht="12.75">
      <c r="C484" s="17"/>
      <c r="D484" s="17"/>
      <c r="E484" s="17"/>
      <c r="F484" s="17"/>
      <c r="G484" s="12"/>
      <c r="H484" s="12"/>
      <c r="I484" s="12"/>
      <c r="J484" s="12"/>
      <c r="K484" s="13"/>
    </row>
    <row r="485" spans="3:11" ht="12.75">
      <c r="C485" s="17"/>
      <c r="D485" s="17"/>
      <c r="E485" s="17"/>
      <c r="F485" s="17"/>
      <c r="G485" s="12"/>
      <c r="H485" s="12"/>
      <c r="I485" s="12"/>
      <c r="J485" s="12"/>
      <c r="K485" s="13"/>
    </row>
    <row r="486" spans="3:11" ht="12.75">
      <c r="C486" s="17"/>
      <c r="D486" s="17"/>
      <c r="E486" s="17"/>
      <c r="F486" s="17"/>
      <c r="G486" s="12"/>
      <c r="H486" s="12"/>
      <c r="I486" s="12"/>
      <c r="J486" s="12"/>
      <c r="K486" s="13"/>
    </row>
    <row r="487" spans="3:11" ht="12.75">
      <c r="C487" s="17"/>
      <c r="D487" s="17"/>
      <c r="E487" s="17"/>
      <c r="F487" s="17"/>
      <c r="G487" s="12"/>
      <c r="H487" s="12"/>
      <c r="I487" s="12"/>
      <c r="J487" s="12"/>
      <c r="K487" s="13"/>
    </row>
    <row r="488" spans="3:11" ht="12.75">
      <c r="C488" s="17"/>
      <c r="D488" s="17"/>
      <c r="E488" s="17"/>
      <c r="F488" s="17"/>
      <c r="G488" s="12"/>
      <c r="H488" s="12"/>
      <c r="I488" s="12"/>
      <c r="J488" s="12"/>
      <c r="K488" s="13"/>
    </row>
    <row r="489" spans="3:11" ht="12.75">
      <c r="C489" s="17"/>
      <c r="D489" s="17"/>
      <c r="E489" s="17"/>
      <c r="F489" s="17"/>
      <c r="G489" s="12"/>
      <c r="H489" s="12"/>
      <c r="I489" s="12"/>
      <c r="J489" s="12"/>
      <c r="K489" s="13"/>
    </row>
    <row r="490" spans="3:11" ht="12.75">
      <c r="C490" s="17"/>
      <c r="D490" s="17"/>
      <c r="E490" s="17"/>
      <c r="F490" s="17"/>
      <c r="G490" s="12"/>
      <c r="H490" s="12"/>
      <c r="I490" s="12"/>
      <c r="J490" s="12"/>
      <c r="K490" s="13"/>
    </row>
    <row r="491" spans="3:11" ht="12.75">
      <c r="C491" s="17"/>
      <c r="D491" s="17"/>
      <c r="E491" s="17"/>
      <c r="F491" s="17"/>
      <c r="G491" s="12"/>
      <c r="H491" s="12"/>
      <c r="I491" s="12"/>
      <c r="J491" s="12"/>
      <c r="K491" s="13"/>
    </row>
    <row r="492" spans="3:11" ht="12.75">
      <c r="C492" s="17"/>
      <c r="D492" s="17"/>
      <c r="E492" s="17"/>
      <c r="F492" s="17"/>
      <c r="G492" s="12"/>
      <c r="H492" s="12"/>
      <c r="I492" s="12"/>
      <c r="J492" s="12"/>
      <c r="K492" s="13"/>
    </row>
    <row r="493" spans="3:11" ht="12.75">
      <c r="C493" s="17"/>
      <c r="D493" s="17"/>
      <c r="E493" s="17"/>
      <c r="F493" s="17"/>
      <c r="G493" s="12"/>
      <c r="H493" s="12"/>
      <c r="I493" s="12"/>
      <c r="J493" s="12"/>
      <c r="K493" s="13"/>
    </row>
    <row r="494" spans="3:11" ht="12.75">
      <c r="C494" s="17"/>
      <c r="D494" s="17"/>
      <c r="E494" s="17"/>
      <c r="F494" s="17"/>
      <c r="G494" s="12"/>
      <c r="H494" s="12"/>
      <c r="I494" s="12"/>
      <c r="J494" s="12"/>
      <c r="K494" s="13"/>
    </row>
    <row r="495" spans="3:11" ht="12.75">
      <c r="C495" s="17"/>
      <c r="D495" s="17"/>
      <c r="E495" s="17"/>
      <c r="F495" s="17"/>
      <c r="G495" s="12"/>
      <c r="H495" s="12"/>
      <c r="I495" s="12"/>
      <c r="J495" s="12"/>
      <c r="K495" s="13"/>
    </row>
    <row r="496" spans="3:11" ht="12.75">
      <c r="C496" s="17"/>
      <c r="D496" s="17"/>
      <c r="E496" s="17"/>
      <c r="F496" s="17"/>
      <c r="G496" s="12"/>
      <c r="H496" s="12"/>
      <c r="I496" s="12"/>
      <c r="J496" s="12"/>
      <c r="K496" s="13"/>
    </row>
    <row r="497" spans="3:11" ht="12.75">
      <c r="C497" s="17"/>
      <c r="D497" s="17"/>
      <c r="E497" s="17"/>
      <c r="F497" s="17"/>
      <c r="G497" s="12"/>
      <c r="H497" s="12"/>
      <c r="I497" s="12"/>
      <c r="J497" s="12"/>
      <c r="K497" s="13"/>
    </row>
    <row r="498" spans="3:11" ht="12.75">
      <c r="C498" s="17"/>
      <c r="D498" s="17"/>
      <c r="E498" s="17"/>
      <c r="F498" s="17"/>
      <c r="G498" s="12"/>
      <c r="H498" s="12"/>
      <c r="I498" s="12"/>
      <c r="J498" s="12"/>
      <c r="K498" s="13"/>
    </row>
    <row r="499" spans="3:11" ht="12.75">
      <c r="C499" s="17"/>
      <c r="D499" s="17"/>
      <c r="E499" s="17"/>
      <c r="F499" s="17"/>
      <c r="G499" s="12"/>
      <c r="H499" s="12"/>
      <c r="I499" s="12"/>
      <c r="J499" s="12"/>
      <c r="K499" s="13"/>
    </row>
    <row r="500" spans="3:11" ht="12.75">
      <c r="C500" s="17"/>
      <c r="D500" s="17"/>
      <c r="E500" s="17"/>
      <c r="F500" s="17"/>
      <c r="G500" s="12"/>
      <c r="H500" s="12"/>
      <c r="I500" s="12"/>
      <c r="J500" s="12"/>
      <c r="K500" s="13"/>
    </row>
    <row r="501" spans="3:11" ht="12.75">
      <c r="C501" s="17"/>
      <c r="D501" s="17"/>
      <c r="E501" s="17"/>
      <c r="F501" s="17"/>
      <c r="G501" s="12"/>
      <c r="H501" s="12"/>
      <c r="I501" s="12"/>
      <c r="J501" s="12"/>
      <c r="K501" s="13"/>
    </row>
    <row r="502" spans="3:11" ht="12.75">
      <c r="C502" s="17"/>
      <c r="D502" s="17"/>
      <c r="E502" s="17"/>
      <c r="F502" s="17"/>
      <c r="G502" s="12"/>
      <c r="H502" s="12"/>
      <c r="I502" s="12"/>
      <c r="J502" s="12"/>
      <c r="K502" s="13"/>
    </row>
    <row r="503" spans="3:11" ht="12.75">
      <c r="C503" s="17"/>
      <c r="D503" s="17"/>
      <c r="E503" s="17"/>
      <c r="F503" s="17"/>
      <c r="G503" s="12"/>
      <c r="H503" s="12"/>
      <c r="I503" s="12"/>
      <c r="J503" s="12"/>
      <c r="K503" s="13"/>
    </row>
    <row r="504" spans="3:11" ht="12.75">
      <c r="C504" s="17"/>
      <c r="D504" s="17"/>
      <c r="E504" s="17"/>
      <c r="F504" s="17"/>
      <c r="G504" s="12"/>
      <c r="H504" s="12"/>
      <c r="I504" s="12"/>
      <c r="J504" s="12"/>
      <c r="K504" s="13"/>
    </row>
    <row r="505" spans="3:11" ht="12.75">
      <c r="C505" s="17"/>
      <c r="D505" s="17"/>
      <c r="E505" s="17"/>
      <c r="F505" s="17"/>
      <c r="G505" s="12"/>
      <c r="H505" s="12"/>
      <c r="I505" s="12"/>
      <c r="J505" s="12"/>
      <c r="K505" s="13"/>
    </row>
    <row r="506" spans="3:11" ht="12.75">
      <c r="C506" s="17"/>
      <c r="D506" s="17"/>
      <c r="E506" s="17"/>
      <c r="F506" s="17"/>
      <c r="G506" s="12"/>
      <c r="H506" s="12"/>
      <c r="I506" s="12"/>
      <c r="J506" s="12"/>
      <c r="K506" s="13"/>
    </row>
    <row r="507" spans="3:11" ht="12.75">
      <c r="C507" s="17"/>
      <c r="D507" s="17"/>
      <c r="E507" s="17"/>
      <c r="F507" s="17"/>
      <c r="G507" s="12"/>
      <c r="H507" s="12"/>
      <c r="I507" s="12"/>
      <c r="J507" s="12"/>
      <c r="K507" s="13"/>
    </row>
    <row r="508" spans="3:11" ht="12.75">
      <c r="C508" s="17"/>
      <c r="D508" s="17"/>
      <c r="E508" s="17"/>
      <c r="F508" s="17"/>
      <c r="G508" s="12"/>
      <c r="H508" s="12"/>
      <c r="I508" s="12"/>
      <c r="J508" s="12"/>
      <c r="K508" s="13"/>
    </row>
    <row r="509" spans="3:11" ht="12.75">
      <c r="C509" s="17"/>
      <c r="D509" s="17"/>
      <c r="E509" s="17"/>
      <c r="F509" s="17"/>
      <c r="G509" s="12"/>
      <c r="H509" s="12"/>
      <c r="I509" s="12"/>
      <c r="J509" s="12"/>
      <c r="K509" s="13"/>
    </row>
    <row r="510" spans="3:11" ht="12.75">
      <c r="C510" s="17"/>
      <c r="D510" s="17"/>
      <c r="E510" s="17"/>
      <c r="F510" s="17"/>
      <c r="G510" s="12"/>
      <c r="H510" s="12"/>
      <c r="I510" s="12"/>
      <c r="J510" s="12"/>
      <c r="K510" s="13"/>
    </row>
    <row r="511" spans="3:11" ht="12.75">
      <c r="C511" s="17"/>
      <c r="D511" s="17"/>
      <c r="E511" s="17"/>
      <c r="F511" s="17"/>
      <c r="G511" s="12"/>
      <c r="H511" s="12"/>
      <c r="I511" s="12"/>
      <c r="J511" s="12"/>
      <c r="K511" s="13"/>
    </row>
    <row r="512" spans="3:11" ht="12.75">
      <c r="C512" s="17"/>
      <c r="D512" s="17"/>
      <c r="E512" s="17"/>
      <c r="F512" s="17"/>
      <c r="G512" s="12"/>
      <c r="H512" s="12"/>
      <c r="I512" s="12"/>
      <c r="J512" s="12"/>
      <c r="K512" s="13"/>
    </row>
    <row r="513" spans="3:11" ht="12.75">
      <c r="C513" s="17"/>
      <c r="D513" s="17"/>
      <c r="E513" s="17"/>
      <c r="F513" s="17"/>
      <c r="G513" s="12"/>
      <c r="H513" s="12"/>
      <c r="I513" s="12"/>
      <c r="J513" s="12"/>
      <c r="K513" s="13"/>
    </row>
    <row r="514" spans="3:11" ht="12.75">
      <c r="C514" s="17"/>
      <c r="D514" s="17"/>
      <c r="E514" s="17"/>
      <c r="F514" s="17"/>
      <c r="G514" s="12"/>
      <c r="H514" s="12"/>
      <c r="I514" s="12"/>
      <c r="J514" s="12"/>
      <c r="K514" s="13"/>
    </row>
    <row r="515" spans="3:11" ht="12.75">
      <c r="C515" s="17"/>
      <c r="D515" s="17"/>
      <c r="E515" s="17"/>
      <c r="F515" s="17"/>
      <c r="G515" s="12"/>
      <c r="H515" s="12"/>
      <c r="I515" s="12"/>
      <c r="J515" s="12"/>
      <c r="K515" s="13"/>
    </row>
    <row r="516" spans="3:11" ht="12.75">
      <c r="C516" s="17"/>
      <c r="D516" s="17"/>
      <c r="E516" s="17"/>
      <c r="F516" s="17"/>
      <c r="G516" s="12"/>
      <c r="H516" s="12"/>
      <c r="I516" s="12"/>
      <c r="J516" s="12"/>
      <c r="K516" s="13"/>
    </row>
    <row r="517" spans="3:11" ht="12.75">
      <c r="C517" s="17"/>
      <c r="D517" s="17"/>
      <c r="E517" s="17"/>
      <c r="F517" s="17"/>
      <c r="G517" s="12"/>
      <c r="H517" s="12"/>
      <c r="I517" s="12"/>
      <c r="J517" s="12"/>
      <c r="K517" s="13"/>
    </row>
    <row r="518" spans="3:11" ht="12.75">
      <c r="C518" s="17"/>
      <c r="D518" s="17"/>
      <c r="E518" s="17"/>
      <c r="F518" s="17"/>
      <c r="G518" s="12"/>
      <c r="H518" s="12"/>
      <c r="I518" s="12"/>
      <c r="J518" s="12"/>
      <c r="K518" s="13"/>
    </row>
    <row r="519" spans="3:11" ht="12.75">
      <c r="C519" s="17"/>
      <c r="D519" s="17"/>
      <c r="E519" s="17"/>
      <c r="F519" s="17"/>
      <c r="G519" s="12"/>
      <c r="H519" s="12"/>
      <c r="I519" s="12"/>
      <c r="J519" s="12"/>
      <c r="K519" s="13"/>
    </row>
    <row r="520" spans="3:11" ht="12.75">
      <c r="C520" s="17"/>
      <c r="D520" s="17"/>
      <c r="E520" s="17"/>
      <c r="F520" s="17"/>
      <c r="G520" s="12"/>
      <c r="H520" s="12"/>
      <c r="I520" s="12"/>
      <c r="J520" s="12"/>
      <c r="K520" s="13"/>
    </row>
    <row r="521" spans="3:11" ht="12.75">
      <c r="C521" s="17"/>
      <c r="D521" s="17"/>
      <c r="E521" s="17"/>
      <c r="F521" s="17"/>
      <c r="G521" s="12"/>
      <c r="H521" s="12"/>
      <c r="I521" s="12"/>
      <c r="J521" s="12"/>
      <c r="K521" s="13"/>
    </row>
    <row r="522" spans="3:11" ht="12.75">
      <c r="C522" s="17"/>
      <c r="D522" s="17"/>
      <c r="E522" s="17"/>
      <c r="F522" s="17"/>
      <c r="G522" s="12"/>
      <c r="H522" s="12"/>
      <c r="I522" s="12"/>
      <c r="J522" s="12"/>
      <c r="K522" s="13"/>
    </row>
    <row r="523" spans="3:11" ht="12.75">
      <c r="C523" s="17"/>
      <c r="D523" s="17"/>
      <c r="E523" s="17"/>
      <c r="F523" s="17"/>
      <c r="G523" s="12"/>
      <c r="H523" s="12"/>
      <c r="I523" s="12"/>
      <c r="J523" s="12"/>
      <c r="K523" s="13"/>
    </row>
    <row r="524" spans="3:11" ht="12.75">
      <c r="C524" s="17"/>
      <c r="D524" s="17"/>
      <c r="E524" s="17"/>
      <c r="F524" s="17"/>
      <c r="G524" s="12"/>
      <c r="H524" s="12"/>
      <c r="I524" s="12"/>
      <c r="J524" s="12"/>
      <c r="K524" s="13"/>
    </row>
    <row r="525" spans="3:11" ht="12.75">
      <c r="C525" s="17"/>
      <c r="D525" s="17"/>
      <c r="E525" s="17"/>
      <c r="F525" s="17"/>
      <c r="G525" s="12"/>
      <c r="H525" s="12"/>
      <c r="I525" s="12"/>
      <c r="J525" s="12"/>
      <c r="K525" s="13"/>
    </row>
    <row r="526" spans="3:11" ht="12.75">
      <c r="C526" s="17"/>
      <c r="D526" s="17"/>
      <c r="E526" s="17"/>
      <c r="F526" s="17"/>
      <c r="G526" s="12"/>
      <c r="H526" s="12"/>
      <c r="I526" s="12"/>
      <c r="J526" s="12"/>
      <c r="K526" s="13"/>
    </row>
    <row r="527" spans="3:11" ht="12.75">
      <c r="C527" s="17"/>
      <c r="D527" s="17"/>
      <c r="E527" s="17"/>
      <c r="F527" s="17"/>
      <c r="G527" s="12"/>
      <c r="H527" s="12"/>
      <c r="I527" s="12"/>
      <c r="J527" s="12"/>
      <c r="K527" s="13"/>
    </row>
    <row r="528" spans="3:11" ht="12.75">
      <c r="C528" s="17"/>
      <c r="D528" s="17"/>
      <c r="E528" s="17"/>
      <c r="F528" s="17"/>
      <c r="G528" s="12"/>
      <c r="H528" s="12"/>
      <c r="I528" s="12"/>
      <c r="J528" s="12"/>
      <c r="K528" s="13"/>
    </row>
    <row r="529" spans="3:11" ht="12.75">
      <c r="C529" s="17"/>
      <c r="D529" s="17"/>
      <c r="E529" s="17"/>
      <c r="F529" s="17"/>
      <c r="G529" s="12"/>
      <c r="H529" s="12"/>
      <c r="I529" s="12"/>
      <c r="J529" s="12"/>
      <c r="K529" s="13"/>
    </row>
    <row r="530" spans="3:11" ht="12.75">
      <c r="C530" s="17"/>
      <c r="D530" s="17"/>
      <c r="E530" s="17"/>
      <c r="F530" s="17"/>
      <c r="G530" s="12"/>
      <c r="H530" s="12"/>
      <c r="I530" s="12"/>
      <c r="J530" s="12"/>
      <c r="K530" s="13"/>
    </row>
    <row r="531" spans="3:11" ht="12.75">
      <c r="C531" s="17"/>
      <c r="D531" s="17"/>
      <c r="E531" s="17"/>
      <c r="F531" s="17"/>
      <c r="G531" s="12"/>
      <c r="H531" s="12"/>
      <c r="I531" s="12"/>
      <c r="J531" s="12"/>
      <c r="K531" s="13"/>
    </row>
    <row r="532" spans="3:11" ht="12.75">
      <c r="C532" s="17"/>
      <c r="D532" s="17"/>
      <c r="E532" s="17"/>
      <c r="F532" s="17"/>
      <c r="G532" s="12"/>
      <c r="H532" s="12"/>
      <c r="I532" s="12"/>
      <c r="J532" s="12"/>
      <c r="K532" s="13"/>
    </row>
    <row r="533" spans="3:11" ht="12.75">
      <c r="C533" s="17"/>
      <c r="D533" s="17"/>
      <c r="E533" s="17"/>
      <c r="F533" s="17"/>
      <c r="G533" s="12"/>
      <c r="H533" s="12"/>
      <c r="I533" s="12"/>
      <c r="J533" s="12"/>
      <c r="K533" s="13"/>
    </row>
    <row r="534" spans="3:11" ht="12.75">
      <c r="C534" s="17"/>
      <c r="D534" s="17"/>
      <c r="E534" s="17"/>
      <c r="F534" s="17"/>
      <c r="G534" s="12"/>
      <c r="H534" s="12"/>
      <c r="I534" s="12"/>
      <c r="J534" s="12"/>
      <c r="K534" s="13"/>
    </row>
    <row r="535" spans="3:11" ht="12.75">
      <c r="C535" s="17"/>
      <c r="D535" s="17"/>
      <c r="E535" s="17"/>
      <c r="F535" s="17"/>
      <c r="G535" s="12"/>
      <c r="H535" s="12"/>
      <c r="I535" s="12"/>
      <c r="J535" s="12"/>
      <c r="K535" s="13"/>
    </row>
    <row r="536" spans="3:11" ht="12.75">
      <c r="C536" s="17"/>
      <c r="D536" s="17"/>
      <c r="E536" s="17"/>
      <c r="F536" s="17"/>
      <c r="G536" s="12"/>
      <c r="H536" s="12"/>
      <c r="I536" s="12"/>
      <c r="J536" s="12"/>
      <c r="K536" s="13"/>
    </row>
    <row r="537" spans="3:11" ht="12.75">
      <c r="C537" s="17"/>
      <c r="D537" s="17"/>
      <c r="E537" s="17"/>
      <c r="F537" s="17"/>
      <c r="G537" s="12"/>
      <c r="H537" s="12"/>
      <c r="I537" s="12"/>
      <c r="J537" s="12"/>
      <c r="K537" s="13"/>
    </row>
    <row r="538" spans="3:11" ht="12.75">
      <c r="C538" s="17"/>
      <c r="D538" s="17"/>
      <c r="E538" s="17"/>
      <c r="F538" s="17"/>
      <c r="G538" s="12"/>
      <c r="H538" s="12"/>
      <c r="I538" s="12"/>
      <c r="J538" s="12"/>
      <c r="K538" s="13"/>
    </row>
    <row r="539" spans="3:11" ht="12.75">
      <c r="C539" s="17"/>
      <c r="D539" s="17"/>
      <c r="E539" s="17"/>
      <c r="F539" s="17"/>
      <c r="G539" s="12"/>
      <c r="H539" s="12"/>
      <c r="I539" s="12"/>
      <c r="J539" s="12"/>
      <c r="K539" s="13"/>
    </row>
    <row r="540" spans="3:11" ht="12.75">
      <c r="C540" s="17"/>
      <c r="D540" s="17"/>
      <c r="E540" s="17"/>
      <c r="F540" s="17"/>
      <c r="G540" s="12"/>
      <c r="H540" s="12"/>
      <c r="I540" s="12"/>
      <c r="J540" s="12"/>
      <c r="K540" s="13"/>
    </row>
    <row r="541" spans="3:11" ht="12.75">
      <c r="C541" s="17"/>
      <c r="D541" s="17"/>
      <c r="E541" s="17"/>
      <c r="F541" s="17"/>
      <c r="G541" s="12"/>
      <c r="H541" s="12"/>
      <c r="I541" s="12"/>
      <c r="J541" s="12"/>
      <c r="K541" s="13"/>
    </row>
    <row r="542" spans="3:11" ht="12.75">
      <c r="C542" s="17"/>
      <c r="D542" s="17"/>
      <c r="E542" s="17"/>
      <c r="F542" s="17"/>
      <c r="G542" s="12"/>
      <c r="H542" s="12"/>
      <c r="I542" s="12"/>
      <c r="J542" s="12"/>
      <c r="K542" s="13"/>
    </row>
    <row r="543" spans="3:11" ht="12.75">
      <c r="C543" s="17"/>
      <c r="D543" s="17"/>
      <c r="E543" s="17"/>
      <c r="F543" s="17"/>
      <c r="G543" s="12"/>
      <c r="H543" s="12"/>
      <c r="I543" s="12"/>
      <c r="J543" s="12"/>
      <c r="K543" s="13"/>
    </row>
    <row r="544" spans="3:11" ht="12.75">
      <c r="C544" s="17"/>
      <c r="D544" s="17"/>
      <c r="E544" s="17"/>
      <c r="F544" s="17"/>
      <c r="G544" s="12"/>
      <c r="H544" s="12"/>
      <c r="I544" s="12"/>
      <c r="J544" s="12"/>
      <c r="K544" s="13"/>
    </row>
    <row r="545" spans="3:11" ht="12.75">
      <c r="C545" s="17"/>
      <c r="D545" s="17"/>
      <c r="E545" s="17"/>
      <c r="F545" s="17"/>
      <c r="G545" s="12"/>
      <c r="H545" s="12"/>
      <c r="I545" s="12"/>
      <c r="J545" s="12"/>
      <c r="K545" s="13"/>
    </row>
    <row r="546" spans="3:11" ht="12.75">
      <c r="C546" s="17"/>
      <c r="D546" s="17"/>
      <c r="E546" s="17"/>
      <c r="F546" s="17"/>
      <c r="G546" s="12"/>
      <c r="H546" s="12"/>
      <c r="I546" s="12"/>
      <c r="J546" s="12"/>
      <c r="K546" s="13"/>
    </row>
    <row r="547" spans="3:11" ht="12.75">
      <c r="C547" s="17"/>
      <c r="D547" s="17"/>
      <c r="E547" s="17"/>
      <c r="F547" s="17"/>
      <c r="G547" s="12"/>
      <c r="H547" s="12"/>
      <c r="I547" s="12"/>
      <c r="J547" s="12"/>
      <c r="K547" s="13"/>
    </row>
    <row r="548" spans="3:11" ht="12.75">
      <c r="C548" s="17"/>
      <c r="D548" s="17"/>
      <c r="E548" s="17"/>
      <c r="F548" s="17"/>
      <c r="G548" s="12"/>
      <c r="H548" s="12"/>
      <c r="I548" s="12"/>
      <c r="J548" s="12"/>
      <c r="K548" s="13"/>
    </row>
    <row r="549" spans="3:11" ht="12.75">
      <c r="C549" s="17"/>
      <c r="D549" s="17"/>
      <c r="E549" s="17"/>
      <c r="F549" s="17"/>
      <c r="G549" s="12"/>
      <c r="H549" s="12"/>
      <c r="I549" s="12"/>
      <c r="J549" s="12"/>
      <c r="K549" s="13"/>
    </row>
    <row r="550" spans="3:11" ht="12.75">
      <c r="C550" s="17"/>
      <c r="D550" s="17"/>
      <c r="E550" s="17"/>
      <c r="F550" s="17"/>
      <c r="G550" s="12"/>
      <c r="H550" s="12"/>
      <c r="I550" s="12"/>
      <c r="J550" s="12"/>
      <c r="K550" s="13"/>
    </row>
    <row r="551" spans="3:11" ht="12.75">
      <c r="C551" s="17"/>
      <c r="D551" s="17"/>
      <c r="E551" s="17"/>
      <c r="F551" s="17"/>
      <c r="G551" s="12"/>
      <c r="H551" s="12"/>
      <c r="I551" s="12"/>
      <c r="J551" s="12"/>
      <c r="K551" s="13"/>
    </row>
    <row r="552" spans="3:11" ht="12.75">
      <c r="C552" s="17"/>
      <c r="D552" s="17"/>
      <c r="E552" s="17"/>
      <c r="F552" s="17"/>
      <c r="G552" s="12"/>
      <c r="H552" s="12"/>
      <c r="I552" s="12"/>
      <c r="J552" s="12"/>
      <c r="K552" s="13"/>
    </row>
    <row r="553" spans="3:11" ht="12.75">
      <c r="C553" s="17"/>
      <c r="D553" s="17"/>
      <c r="E553" s="17"/>
      <c r="F553" s="17"/>
      <c r="G553" s="12"/>
      <c r="H553" s="12"/>
      <c r="I553" s="12"/>
      <c r="J553" s="12"/>
      <c r="K553" s="13"/>
    </row>
    <row r="554" spans="3:11" ht="12.75">
      <c r="C554" s="17"/>
      <c r="D554" s="17"/>
      <c r="E554" s="17"/>
      <c r="F554" s="17"/>
      <c r="G554" s="12"/>
      <c r="H554" s="12"/>
      <c r="I554" s="12"/>
      <c r="J554" s="12"/>
      <c r="K554" s="13"/>
    </row>
    <row r="555" spans="3:11" ht="12.75">
      <c r="C555" s="17"/>
      <c r="D555" s="17"/>
      <c r="E555" s="17"/>
      <c r="F555" s="17"/>
      <c r="G555" s="12"/>
      <c r="H555" s="12"/>
      <c r="I555" s="12"/>
      <c r="J555" s="12"/>
      <c r="K555" s="13"/>
    </row>
    <row r="556" spans="3:11" ht="12.75">
      <c r="C556" s="17"/>
      <c r="D556" s="17"/>
      <c r="E556" s="17"/>
      <c r="F556" s="17"/>
      <c r="G556" s="12"/>
      <c r="H556" s="12"/>
      <c r="I556" s="12"/>
      <c r="J556" s="12"/>
      <c r="K556" s="13"/>
    </row>
    <row r="557" spans="3:11" ht="12.75">
      <c r="C557" s="17"/>
      <c r="D557" s="17"/>
      <c r="E557" s="17"/>
      <c r="F557" s="17"/>
      <c r="G557" s="12"/>
      <c r="H557" s="12"/>
      <c r="I557" s="12"/>
      <c r="J557" s="12"/>
      <c r="K557" s="13"/>
    </row>
    <row r="558" spans="3:11" ht="12.75">
      <c r="C558" s="17"/>
      <c r="D558" s="17"/>
      <c r="E558" s="17"/>
      <c r="F558" s="17"/>
      <c r="G558" s="12"/>
      <c r="H558" s="12"/>
      <c r="I558" s="12"/>
      <c r="J558" s="12"/>
      <c r="K558" s="13"/>
    </row>
    <row r="559" spans="3:11" ht="12.75">
      <c r="C559" s="17"/>
      <c r="D559" s="17"/>
      <c r="E559" s="17"/>
      <c r="F559" s="17"/>
      <c r="G559" s="12"/>
      <c r="H559" s="12"/>
      <c r="I559" s="12"/>
      <c r="J559" s="12"/>
      <c r="K559" s="13"/>
    </row>
    <row r="560" spans="3:11" ht="12.75">
      <c r="C560" s="17"/>
      <c r="D560" s="17"/>
      <c r="E560" s="17"/>
      <c r="F560" s="17"/>
      <c r="G560" s="12"/>
      <c r="H560" s="12"/>
      <c r="I560" s="12"/>
      <c r="J560" s="12"/>
      <c r="K560" s="13"/>
    </row>
    <row r="561" spans="3:11" ht="12.75">
      <c r="C561" s="17"/>
      <c r="D561" s="17"/>
      <c r="E561" s="17"/>
      <c r="F561" s="17"/>
      <c r="G561" s="12"/>
      <c r="H561" s="12"/>
      <c r="I561" s="12"/>
      <c r="J561" s="12"/>
      <c r="K561" s="13"/>
    </row>
    <row r="562" spans="3:11" ht="12.75">
      <c r="C562" s="17"/>
      <c r="D562" s="17"/>
      <c r="E562" s="17"/>
      <c r="F562" s="17"/>
      <c r="G562" s="12"/>
      <c r="H562" s="12"/>
      <c r="I562" s="12"/>
      <c r="J562" s="12"/>
      <c r="K562" s="13"/>
    </row>
    <row r="563" spans="3:11" ht="12.75">
      <c r="C563" s="17"/>
      <c r="D563" s="17"/>
      <c r="E563" s="17"/>
      <c r="F563" s="17"/>
      <c r="G563" s="12"/>
      <c r="H563" s="12"/>
      <c r="I563" s="12"/>
      <c r="J563" s="12"/>
      <c r="K563" s="13"/>
    </row>
    <row r="564" spans="3:11" ht="12.75">
      <c r="C564" s="17"/>
      <c r="D564" s="17"/>
      <c r="E564" s="17"/>
      <c r="F564" s="17"/>
      <c r="G564" s="12"/>
      <c r="H564" s="12"/>
      <c r="I564" s="12"/>
      <c r="J564" s="12"/>
      <c r="K564" s="13"/>
    </row>
    <row r="565" spans="3:11" ht="12.75">
      <c r="C565" s="17"/>
      <c r="D565" s="17"/>
      <c r="E565" s="17"/>
      <c r="F565" s="17"/>
      <c r="G565" s="12"/>
      <c r="H565" s="12"/>
      <c r="I565" s="12"/>
      <c r="J565" s="12"/>
      <c r="K565" s="13"/>
    </row>
    <row r="566" spans="3:11" ht="12.75">
      <c r="C566" s="17"/>
      <c r="D566" s="17"/>
      <c r="E566" s="17"/>
      <c r="F566" s="17"/>
      <c r="G566" s="12"/>
      <c r="H566" s="12"/>
      <c r="I566" s="12"/>
      <c r="J566" s="12"/>
      <c r="K566" s="13"/>
    </row>
    <row r="567" spans="3:11" ht="12.75">
      <c r="C567" s="17"/>
      <c r="D567" s="17"/>
      <c r="E567" s="17"/>
      <c r="F567" s="17"/>
      <c r="G567" s="12"/>
      <c r="H567" s="12"/>
      <c r="I567" s="12"/>
      <c r="J567" s="12"/>
      <c r="K567" s="13"/>
    </row>
    <row r="568" spans="3:11" ht="12.75">
      <c r="C568" s="17"/>
      <c r="D568" s="17"/>
      <c r="E568" s="17"/>
      <c r="F568" s="17"/>
      <c r="G568" s="12"/>
      <c r="H568" s="12"/>
      <c r="I568" s="12"/>
      <c r="J568" s="12"/>
      <c r="K568" s="13"/>
    </row>
    <row r="569" spans="3:11" ht="12.75">
      <c r="C569" s="17"/>
      <c r="D569" s="17"/>
      <c r="E569" s="17"/>
      <c r="F569" s="17"/>
      <c r="G569" s="12"/>
      <c r="H569" s="12"/>
      <c r="I569" s="12"/>
      <c r="J569" s="12"/>
      <c r="K569" s="13"/>
    </row>
    <row r="570" spans="3:11" ht="12.75">
      <c r="C570" s="17"/>
      <c r="D570" s="17"/>
      <c r="E570" s="17"/>
      <c r="F570" s="17"/>
      <c r="G570" s="12"/>
      <c r="H570" s="12"/>
      <c r="I570" s="12"/>
      <c r="J570" s="12"/>
      <c r="K570" s="13"/>
    </row>
    <row r="571" spans="3:11" ht="12.75">
      <c r="C571" s="17"/>
      <c r="D571" s="17"/>
      <c r="E571" s="17"/>
      <c r="F571" s="17"/>
      <c r="G571" s="12"/>
      <c r="H571" s="12"/>
      <c r="I571" s="12"/>
      <c r="J571" s="12"/>
      <c r="K571" s="13"/>
    </row>
    <row r="572" spans="3:11" ht="12.75">
      <c r="C572" s="17"/>
      <c r="D572" s="17"/>
      <c r="E572" s="17"/>
      <c r="F572" s="17"/>
      <c r="G572" s="12"/>
      <c r="H572" s="12"/>
      <c r="I572" s="12"/>
      <c r="J572" s="12"/>
      <c r="K572" s="13"/>
    </row>
    <row r="573" spans="3:11" ht="12.75">
      <c r="C573" s="17"/>
      <c r="D573" s="17"/>
      <c r="E573" s="17"/>
      <c r="F573" s="17"/>
      <c r="G573" s="12"/>
      <c r="H573" s="12"/>
      <c r="I573" s="12"/>
      <c r="J573" s="12"/>
      <c r="K573" s="13"/>
    </row>
    <row r="574" spans="3:11" ht="12.75">
      <c r="C574" s="17"/>
      <c r="D574" s="17"/>
      <c r="E574" s="17"/>
      <c r="F574" s="17"/>
      <c r="G574" s="12"/>
      <c r="H574" s="12"/>
      <c r="I574" s="12"/>
      <c r="J574" s="12"/>
      <c r="K574" s="13"/>
    </row>
    <row r="575" spans="3:11" ht="12.75">
      <c r="C575" s="17"/>
      <c r="D575" s="17"/>
      <c r="E575" s="17"/>
      <c r="F575" s="17"/>
      <c r="G575" s="12"/>
      <c r="H575" s="12"/>
      <c r="I575" s="12"/>
      <c r="J575" s="12"/>
      <c r="K575" s="13"/>
    </row>
    <row r="576" spans="3:11" ht="12.75">
      <c r="C576" s="17"/>
      <c r="D576" s="17"/>
      <c r="E576" s="17"/>
      <c r="F576" s="17"/>
      <c r="G576" s="12"/>
      <c r="H576" s="12"/>
      <c r="I576" s="12"/>
      <c r="J576" s="12"/>
      <c r="K576" s="13"/>
    </row>
    <row r="577" spans="3:11" ht="12.75">
      <c r="C577" s="17"/>
      <c r="D577" s="17"/>
      <c r="E577" s="17"/>
      <c r="F577" s="17"/>
      <c r="G577" s="12"/>
      <c r="H577" s="12"/>
      <c r="I577" s="12"/>
      <c r="J577" s="12"/>
      <c r="K577" s="13"/>
    </row>
    <row r="578" spans="3:11" ht="12.75">
      <c r="C578" s="17"/>
      <c r="D578" s="17"/>
      <c r="E578" s="17"/>
      <c r="F578" s="17"/>
      <c r="G578" s="12"/>
      <c r="H578" s="12"/>
      <c r="I578" s="12"/>
      <c r="J578" s="12"/>
      <c r="K578" s="13"/>
    </row>
    <row r="579" spans="3:11" ht="12.75">
      <c r="C579" s="17"/>
      <c r="D579" s="17"/>
      <c r="E579" s="17"/>
      <c r="F579" s="17"/>
      <c r="G579" s="12"/>
      <c r="H579" s="12"/>
      <c r="I579" s="12"/>
      <c r="J579" s="12"/>
      <c r="K579" s="13"/>
    </row>
    <row r="580" spans="3:11" ht="12.75">
      <c r="C580" s="17"/>
      <c r="D580" s="17"/>
      <c r="E580" s="17"/>
      <c r="F580" s="17"/>
      <c r="G580" s="12"/>
      <c r="H580" s="12"/>
      <c r="I580" s="12"/>
      <c r="J580" s="12"/>
      <c r="K580" s="13"/>
    </row>
    <row r="581" spans="3:11" ht="12.75">
      <c r="C581" s="17"/>
      <c r="D581" s="17"/>
      <c r="E581" s="17"/>
      <c r="F581" s="17"/>
      <c r="G581" s="12"/>
      <c r="H581" s="12"/>
      <c r="I581" s="12"/>
      <c r="J581" s="12"/>
      <c r="K581" s="13"/>
    </row>
    <row r="582" spans="3:11" ht="12.75">
      <c r="C582" s="17"/>
      <c r="D582" s="17"/>
      <c r="E582" s="17"/>
      <c r="F582" s="17"/>
      <c r="G582" s="12"/>
      <c r="H582" s="12"/>
      <c r="I582" s="12"/>
      <c r="J582" s="12"/>
      <c r="K582" s="13"/>
    </row>
    <row r="583" spans="3:11" ht="12.75">
      <c r="C583" s="17"/>
      <c r="D583" s="17"/>
      <c r="E583" s="17"/>
      <c r="F583" s="17"/>
      <c r="G583" s="12"/>
      <c r="H583" s="12"/>
      <c r="I583" s="12"/>
      <c r="J583" s="12"/>
      <c r="K583" s="13"/>
    </row>
    <row r="584" spans="3:11" ht="12.75">
      <c r="C584" s="17"/>
      <c r="D584" s="17"/>
      <c r="E584" s="17"/>
      <c r="F584" s="17"/>
      <c r="G584" s="12"/>
      <c r="H584" s="12"/>
      <c r="I584" s="12"/>
      <c r="J584" s="12"/>
      <c r="K584" s="13"/>
    </row>
    <row r="585" spans="3:11" ht="12.75">
      <c r="C585" s="17"/>
      <c r="D585" s="17"/>
      <c r="E585" s="17"/>
      <c r="F585" s="17"/>
      <c r="G585" s="12"/>
      <c r="H585" s="12"/>
      <c r="I585" s="12"/>
      <c r="J585" s="12"/>
      <c r="K585" s="13"/>
    </row>
    <row r="586" spans="3:11" ht="12.75">
      <c r="C586" s="17"/>
      <c r="D586" s="17"/>
      <c r="E586" s="17"/>
      <c r="F586" s="17"/>
      <c r="G586" s="12"/>
      <c r="H586" s="12"/>
      <c r="I586" s="12"/>
      <c r="J586" s="12"/>
      <c r="K586" s="13"/>
    </row>
    <row r="587" spans="3:11" ht="12.75">
      <c r="C587" s="17"/>
      <c r="D587" s="17"/>
      <c r="E587" s="17"/>
      <c r="F587" s="17"/>
      <c r="G587" s="12"/>
      <c r="H587" s="12"/>
      <c r="I587" s="12"/>
      <c r="J587" s="12"/>
      <c r="K587" s="13"/>
    </row>
    <row r="588" spans="3:11" ht="12.75">
      <c r="C588" s="17"/>
      <c r="D588" s="17"/>
      <c r="E588" s="17"/>
      <c r="F588" s="17"/>
      <c r="G588" s="12"/>
      <c r="H588" s="12"/>
      <c r="I588" s="12"/>
      <c r="J588" s="12"/>
      <c r="K588" s="13"/>
    </row>
    <row r="589" spans="3:11" ht="12.75">
      <c r="C589" s="17"/>
      <c r="D589" s="17"/>
      <c r="E589" s="17"/>
      <c r="F589" s="17"/>
      <c r="G589" s="12"/>
      <c r="H589" s="12"/>
      <c r="I589" s="12"/>
      <c r="J589" s="12"/>
      <c r="K589" s="13"/>
    </row>
    <row r="590" spans="3:11" ht="12.75">
      <c r="C590" s="17"/>
      <c r="D590" s="17"/>
      <c r="E590" s="17"/>
      <c r="F590" s="17"/>
      <c r="G590" s="12"/>
      <c r="H590" s="12"/>
      <c r="I590" s="12"/>
      <c r="J590" s="12"/>
      <c r="K590" s="13"/>
    </row>
    <row r="591" spans="3:11" ht="12.75">
      <c r="C591" s="17"/>
      <c r="D591" s="17"/>
      <c r="E591" s="17"/>
      <c r="F591" s="17"/>
      <c r="G591" s="12"/>
      <c r="H591" s="12"/>
      <c r="I591" s="12"/>
      <c r="J591" s="12"/>
      <c r="K591" s="13"/>
    </row>
    <row r="592" spans="3:11" ht="12.75">
      <c r="C592" s="17"/>
      <c r="D592" s="17"/>
      <c r="E592" s="17"/>
      <c r="F592" s="17"/>
      <c r="G592" s="12"/>
      <c r="H592" s="12"/>
      <c r="I592" s="12"/>
      <c r="J592" s="12"/>
      <c r="K592" s="13"/>
    </row>
    <row r="593" spans="3:11" ht="12.75">
      <c r="C593" s="17"/>
      <c r="D593" s="17"/>
      <c r="E593" s="17"/>
      <c r="F593" s="17"/>
      <c r="G593" s="12"/>
      <c r="H593" s="12"/>
      <c r="I593" s="12"/>
      <c r="J593" s="12"/>
      <c r="K593" s="13"/>
    </row>
    <row r="594" spans="3:11" ht="12.75">
      <c r="C594" s="17"/>
      <c r="D594" s="17"/>
      <c r="E594" s="17"/>
      <c r="F594" s="17"/>
      <c r="G594" s="12"/>
      <c r="H594" s="12"/>
      <c r="I594" s="12"/>
      <c r="J594" s="12"/>
      <c r="K594" s="13"/>
    </row>
    <row r="595" spans="3:11" ht="12.75">
      <c r="C595" s="17"/>
      <c r="D595" s="17"/>
      <c r="E595" s="17"/>
      <c r="F595" s="17"/>
      <c r="G595" s="12"/>
      <c r="H595" s="12"/>
      <c r="I595" s="12"/>
      <c r="J595" s="12"/>
      <c r="K595" s="13"/>
    </row>
    <row r="596" spans="3:11" ht="12.75">
      <c r="C596" s="17"/>
      <c r="D596" s="17"/>
      <c r="E596" s="17"/>
      <c r="F596" s="17"/>
      <c r="G596" s="12"/>
      <c r="H596" s="12"/>
      <c r="I596" s="12"/>
      <c r="J596" s="12"/>
      <c r="K596" s="13"/>
    </row>
    <row r="597" spans="3:11" ht="12.75">
      <c r="C597" s="17"/>
      <c r="D597" s="17"/>
      <c r="E597" s="17"/>
      <c r="F597" s="17"/>
      <c r="G597" s="12"/>
      <c r="H597" s="12"/>
      <c r="I597" s="12"/>
      <c r="J597" s="12"/>
      <c r="K597" s="13"/>
    </row>
    <row r="598" spans="3:11" ht="12.75">
      <c r="C598" s="17"/>
      <c r="D598" s="17"/>
      <c r="E598" s="17"/>
      <c r="F598" s="17"/>
      <c r="G598" s="12"/>
      <c r="H598" s="12"/>
      <c r="I598" s="12"/>
      <c r="J598" s="12"/>
      <c r="K598" s="13"/>
    </row>
    <row r="599" spans="3:11" ht="12.75">
      <c r="C599" s="17"/>
      <c r="D599" s="17"/>
      <c r="E599" s="17"/>
      <c r="F599" s="17"/>
      <c r="G599" s="12"/>
      <c r="H599" s="12"/>
      <c r="I599" s="12"/>
      <c r="J599" s="12"/>
      <c r="K599" s="13"/>
    </row>
    <row r="600" spans="3:11" ht="12.75">
      <c r="C600" s="17"/>
      <c r="D600" s="17"/>
      <c r="E600" s="17"/>
      <c r="F600" s="17"/>
      <c r="G600" s="12"/>
      <c r="H600" s="12"/>
      <c r="I600" s="12"/>
      <c r="J600" s="12"/>
      <c r="K600" s="13"/>
    </row>
    <row r="601" spans="3:11" ht="12.75">
      <c r="C601" s="17"/>
      <c r="D601" s="17"/>
      <c r="E601" s="17"/>
      <c r="F601" s="17"/>
      <c r="G601" s="12"/>
      <c r="H601" s="12"/>
      <c r="I601" s="12"/>
      <c r="J601" s="12"/>
      <c r="K601" s="13"/>
    </row>
    <row r="602" spans="3:11" ht="12.75">
      <c r="C602" s="17"/>
      <c r="D602" s="17"/>
      <c r="E602" s="17"/>
      <c r="F602" s="17"/>
      <c r="G602" s="12"/>
      <c r="H602" s="12"/>
      <c r="I602" s="12"/>
      <c r="J602" s="12"/>
      <c r="K602" s="13"/>
    </row>
    <row r="603" spans="3:11" ht="12.75">
      <c r="C603" s="17"/>
      <c r="D603" s="17"/>
      <c r="E603" s="17"/>
      <c r="F603" s="17"/>
      <c r="G603" s="12"/>
      <c r="H603" s="12"/>
      <c r="I603" s="12"/>
      <c r="J603" s="12"/>
      <c r="K603" s="13"/>
    </row>
    <row r="604" spans="3:11" ht="12.75">
      <c r="C604" s="17"/>
      <c r="D604" s="17"/>
      <c r="E604" s="17"/>
      <c r="F604" s="17"/>
      <c r="G604" s="12"/>
      <c r="H604" s="12"/>
      <c r="I604" s="12"/>
      <c r="J604" s="12"/>
      <c r="K604" s="13"/>
    </row>
    <row r="605" spans="3:11" ht="12.75">
      <c r="C605" s="17"/>
      <c r="D605" s="17"/>
      <c r="E605" s="17"/>
      <c r="F605" s="17"/>
      <c r="G605" s="12"/>
      <c r="H605" s="12"/>
      <c r="I605" s="12"/>
      <c r="J605" s="12"/>
      <c r="K605" s="13"/>
    </row>
    <row r="606" spans="3:11" ht="12.75">
      <c r="C606" s="17"/>
      <c r="D606" s="17"/>
      <c r="E606" s="17"/>
      <c r="F606" s="17"/>
      <c r="G606" s="12"/>
      <c r="H606" s="12"/>
      <c r="I606" s="12"/>
      <c r="J606" s="12"/>
      <c r="K606" s="13"/>
    </row>
    <row r="607" spans="3:11" ht="12.75">
      <c r="C607" s="17"/>
      <c r="D607" s="17"/>
      <c r="E607" s="17"/>
      <c r="F607" s="17"/>
      <c r="G607" s="12"/>
      <c r="H607" s="12"/>
      <c r="I607" s="12"/>
      <c r="J607" s="12"/>
      <c r="K607" s="13"/>
    </row>
    <row r="608" spans="3:11" ht="12.75">
      <c r="C608" s="17"/>
      <c r="D608" s="17"/>
      <c r="E608" s="17"/>
      <c r="F608" s="17"/>
      <c r="G608" s="12"/>
      <c r="H608" s="12"/>
      <c r="I608" s="12"/>
      <c r="J608" s="12"/>
      <c r="K608" s="13"/>
    </row>
    <row r="609" spans="3:11" ht="12.75">
      <c r="C609" s="17"/>
      <c r="D609" s="17"/>
      <c r="E609" s="17"/>
      <c r="F609" s="17"/>
      <c r="G609" s="12"/>
      <c r="H609" s="12"/>
      <c r="I609" s="12"/>
      <c r="J609" s="12"/>
      <c r="K609" s="13"/>
    </row>
    <row r="610" spans="3:11" ht="12.75">
      <c r="C610" s="17"/>
      <c r="D610" s="17"/>
      <c r="E610" s="17"/>
      <c r="F610" s="17"/>
      <c r="G610" s="12"/>
      <c r="H610" s="12"/>
      <c r="I610" s="12"/>
      <c r="J610" s="12"/>
      <c r="K610" s="13"/>
    </row>
    <row r="611" spans="3:11" ht="12.75">
      <c r="C611" s="17"/>
      <c r="D611" s="17"/>
      <c r="E611" s="17"/>
      <c r="F611" s="17"/>
      <c r="G611" s="12"/>
      <c r="H611" s="12"/>
      <c r="I611" s="12"/>
      <c r="J611" s="12"/>
      <c r="K611" s="13"/>
    </row>
    <row r="612" spans="3:11" ht="12.75">
      <c r="C612" s="17"/>
      <c r="D612" s="17"/>
      <c r="E612" s="17"/>
      <c r="F612" s="17"/>
      <c r="G612" s="12"/>
      <c r="H612" s="12"/>
      <c r="I612" s="12"/>
      <c r="J612" s="12"/>
      <c r="K612" s="13"/>
    </row>
    <row r="613" spans="3:11" ht="12.75">
      <c r="C613" s="17"/>
      <c r="D613" s="17"/>
      <c r="E613" s="17"/>
      <c r="F613" s="17"/>
      <c r="G613" s="12"/>
      <c r="H613" s="12"/>
      <c r="I613" s="12"/>
      <c r="J613" s="12"/>
      <c r="K613" s="13"/>
    </row>
    <row r="614" spans="3:11" ht="12.75">
      <c r="C614" s="17"/>
      <c r="D614" s="17"/>
      <c r="E614" s="17"/>
      <c r="F614" s="17"/>
      <c r="G614" s="12"/>
      <c r="H614" s="12"/>
      <c r="I614" s="12"/>
      <c r="J614" s="12"/>
      <c r="K614" s="13"/>
    </row>
    <row r="615" spans="3:11" ht="12.75">
      <c r="C615" s="17"/>
      <c r="D615" s="17"/>
      <c r="E615" s="17"/>
      <c r="F615" s="17"/>
      <c r="G615" s="12"/>
      <c r="H615" s="12"/>
      <c r="I615" s="12"/>
      <c r="J615" s="12"/>
      <c r="K615" s="13"/>
    </row>
    <row r="616" spans="3:11" ht="12.75">
      <c r="C616" s="17"/>
      <c r="D616" s="17"/>
      <c r="E616" s="17"/>
      <c r="F616" s="17"/>
      <c r="G616" s="12"/>
      <c r="H616" s="12"/>
      <c r="I616" s="12"/>
      <c r="J616" s="12"/>
      <c r="K616" s="13"/>
    </row>
    <row r="617" spans="3:11" ht="12.75">
      <c r="C617" s="17"/>
      <c r="D617" s="17"/>
      <c r="E617" s="17"/>
      <c r="F617" s="17"/>
      <c r="G617" s="12"/>
      <c r="H617" s="12"/>
      <c r="I617" s="12"/>
      <c r="J617" s="12"/>
      <c r="K617" s="13"/>
    </row>
    <row r="618" spans="3:11" ht="12.75">
      <c r="C618" s="17"/>
      <c r="D618" s="17"/>
      <c r="E618" s="17"/>
      <c r="F618" s="17"/>
      <c r="G618" s="12"/>
      <c r="H618" s="12"/>
      <c r="I618" s="12"/>
      <c r="J618" s="12"/>
      <c r="K618" s="13"/>
    </row>
    <row r="619" spans="3:11" ht="12.75">
      <c r="C619" s="17"/>
      <c r="D619" s="17"/>
      <c r="E619" s="17"/>
      <c r="F619" s="17"/>
      <c r="G619" s="12"/>
      <c r="H619" s="12"/>
      <c r="I619" s="12"/>
      <c r="J619" s="12"/>
      <c r="K619" s="13"/>
    </row>
    <row r="620" spans="3:11" ht="12.75">
      <c r="C620" s="17"/>
      <c r="D620" s="17"/>
      <c r="E620" s="17"/>
      <c r="F620" s="17"/>
      <c r="G620" s="12"/>
      <c r="H620" s="12"/>
      <c r="I620" s="12"/>
      <c r="J620" s="12"/>
      <c r="K620" s="13"/>
    </row>
    <row r="621" spans="3:11" ht="12.75">
      <c r="C621" s="17"/>
      <c r="D621" s="17"/>
      <c r="E621" s="17"/>
      <c r="F621" s="17"/>
      <c r="G621" s="12"/>
      <c r="H621" s="12"/>
      <c r="I621" s="12"/>
      <c r="J621" s="12"/>
      <c r="K621" s="13"/>
    </row>
    <row r="622" spans="3:11" ht="12.75">
      <c r="C622" s="17"/>
      <c r="D622" s="17"/>
      <c r="E622" s="17"/>
      <c r="F622" s="17"/>
      <c r="G622" s="12"/>
      <c r="H622" s="12"/>
      <c r="I622" s="12"/>
      <c r="J622" s="12"/>
      <c r="K622" s="13"/>
    </row>
    <row r="623" spans="3:11" ht="12.75">
      <c r="C623" s="17"/>
      <c r="D623" s="17"/>
      <c r="E623" s="17"/>
      <c r="F623" s="17"/>
      <c r="G623" s="12"/>
      <c r="H623" s="12"/>
      <c r="I623" s="12"/>
      <c r="J623" s="12"/>
      <c r="K623" s="13"/>
    </row>
    <row r="624" spans="3:11" ht="12.75">
      <c r="C624" s="17"/>
      <c r="D624" s="17"/>
      <c r="E624" s="17"/>
      <c r="F624" s="17"/>
      <c r="G624" s="12"/>
      <c r="H624" s="12"/>
      <c r="I624" s="12"/>
      <c r="J624" s="12"/>
      <c r="K624" s="13"/>
    </row>
    <row r="625" spans="3:11" ht="12.75">
      <c r="C625" s="17"/>
      <c r="D625" s="17"/>
      <c r="E625" s="17"/>
      <c r="F625" s="17"/>
      <c r="G625" s="12"/>
      <c r="H625" s="12"/>
      <c r="I625" s="12"/>
      <c r="J625" s="12"/>
      <c r="K625" s="13"/>
    </row>
    <row r="626" spans="3:11" ht="12.75">
      <c r="C626" s="17"/>
      <c r="D626" s="17"/>
      <c r="E626" s="17"/>
      <c r="F626" s="17"/>
      <c r="G626" s="12"/>
      <c r="H626" s="12"/>
      <c r="I626" s="12"/>
      <c r="J626" s="12"/>
      <c r="K626" s="13"/>
    </row>
    <row r="627" spans="3:11" ht="12.75">
      <c r="C627" s="17"/>
      <c r="D627" s="17"/>
      <c r="E627" s="17"/>
      <c r="F627" s="17"/>
      <c r="G627" s="12"/>
      <c r="H627" s="12"/>
      <c r="I627" s="12"/>
      <c r="J627" s="12"/>
      <c r="K627" s="13"/>
    </row>
    <row r="628" spans="3:11" ht="12.75">
      <c r="C628" s="17"/>
      <c r="D628" s="17"/>
      <c r="E628" s="17"/>
      <c r="F628" s="17"/>
      <c r="G628" s="12"/>
      <c r="H628" s="12"/>
      <c r="I628" s="12"/>
      <c r="J628" s="12"/>
      <c r="K628" s="13"/>
    </row>
    <row r="629" spans="3:11" ht="12.75">
      <c r="C629" s="17"/>
      <c r="D629" s="17"/>
      <c r="E629" s="17"/>
      <c r="F629" s="17"/>
      <c r="G629" s="12"/>
      <c r="H629" s="12"/>
      <c r="I629" s="12"/>
      <c r="J629" s="12"/>
      <c r="K629" s="13"/>
    </row>
    <row r="630" spans="3:11" ht="12.75">
      <c r="C630" s="17"/>
      <c r="D630" s="17"/>
      <c r="E630" s="17"/>
      <c r="F630" s="17"/>
      <c r="G630" s="12"/>
      <c r="H630" s="12"/>
      <c r="I630" s="12"/>
      <c r="J630" s="12"/>
      <c r="K630" s="13"/>
    </row>
    <row r="631" spans="3:11" ht="12.75">
      <c r="C631" s="17"/>
      <c r="D631" s="17"/>
      <c r="E631" s="17"/>
      <c r="F631" s="17"/>
      <c r="G631" s="12"/>
      <c r="H631" s="12"/>
      <c r="I631" s="12"/>
      <c r="J631" s="12"/>
      <c r="K631" s="13"/>
    </row>
    <row r="632" spans="3:11" ht="12.75">
      <c r="C632" s="17"/>
      <c r="D632" s="17"/>
      <c r="E632" s="17"/>
      <c r="F632" s="17"/>
      <c r="G632" s="12"/>
      <c r="H632" s="12"/>
      <c r="I632" s="12"/>
      <c r="J632" s="12"/>
      <c r="K632" s="13"/>
    </row>
    <row r="633" spans="3:11" ht="12.75">
      <c r="C633" s="17"/>
      <c r="D633" s="17"/>
      <c r="E633" s="17"/>
      <c r="F633" s="17"/>
      <c r="G633" s="12"/>
      <c r="H633" s="12"/>
      <c r="I633" s="12"/>
      <c r="J633" s="12"/>
      <c r="K633" s="13"/>
    </row>
    <row r="634" spans="3:11" ht="12.75">
      <c r="C634" s="17"/>
      <c r="D634" s="17"/>
      <c r="E634" s="17"/>
      <c r="F634" s="17"/>
      <c r="G634" s="12"/>
      <c r="H634" s="12"/>
      <c r="I634" s="12"/>
      <c r="J634" s="12"/>
      <c r="K634" s="13"/>
    </row>
    <row r="635" spans="3:11" ht="12.75">
      <c r="C635" s="17"/>
      <c r="D635" s="17"/>
      <c r="E635" s="17"/>
      <c r="F635" s="17"/>
      <c r="G635" s="12"/>
      <c r="H635" s="12"/>
      <c r="I635" s="12"/>
      <c r="J635" s="12"/>
      <c r="K635" s="13"/>
    </row>
    <row r="636" spans="3:11" ht="12.75">
      <c r="C636" s="17"/>
      <c r="D636" s="17"/>
      <c r="E636" s="17"/>
      <c r="F636" s="17"/>
      <c r="G636" s="12"/>
      <c r="H636" s="12"/>
      <c r="I636" s="12"/>
      <c r="J636" s="12"/>
      <c r="K636" s="13"/>
    </row>
    <row r="637" spans="3:11" ht="12.75">
      <c r="C637" s="17"/>
      <c r="D637" s="17"/>
      <c r="E637" s="17"/>
      <c r="F637" s="17"/>
      <c r="G637" s="12"/>
      <c r="H637" s="12"/>
      <c r="I637" s="12"/>
      <c r="J637" s="12"/>
      <c r="K637" s="13"/>
    </row>
    <row r="638" spans="3:11" ht="12.75">
      <c r="C638" s="17"/>
      <c r="D638" s="17"/>
      <c r="E638" s="17"/>
      <c r="F638" s="17"/>
      <c r="G638" s="12"/>
      <c r="H638" s="12"/>
      <c r="I638" s="12"/>
      <c r="J638" s="12"/>
      <c r="K638" s="13"/>
    </row>
    <row r="639" spans="3:11" ht="12.75">
      <c r="C639" s="17"/>
      <c r="D639" s="17"/>
      <c r="E639" s="17"/>
      <c r="F639" s="17"/>
      <c r="G639" s="12"/>
      <c r="H639" s="12"/>
      <c r="I639" s="12"/>
      <c r="J639" s="12"/>
      <c r="K639" s="13"/>
    </row>
    <row r="640" spans="3:11" ht="12.75">
      <c r="C640" s="17"/>
      <c r="D640" s="17"/>
      <c r="E640" s="17"/>
      <c r="F640" s="17"/>
      <c r="G640" s="12"/>
      <c r="H640" s="12"/>
      <c r="I640" s="12"/>
      <c r="J640" s="12"/>
      <c r="K640" s="13"/>
    </row>
    <row r="641" spans="3:11" ht="12.75">
      <c r="C641" s="17"/>
      <c r="D641" s="17"/>
      <c r="E641" s="17"/>
      <c r="F641" s="17"/>
      <c r="G641" s="12"/>
      <c r="H641" s="12"/>
      <c r="I641" s="12"/>
      <c r="J641" s="12"/>
      <c r="K641" s="13"/>
    </row>
    <row r="642" spans="3:11" ht="12.75">
      <c r="C642" s="17"/>
      <c r="D642" s="17"/>
      <c r="E642" s="17"/>
      <c r="F642" s="17"/>
      <c r="G642" s="12"/>
      <c r="H642" s="12"/>
      <c r="I642" s="12"/>
      <c r="J642" s="12"/>
      <c r="K642" s="13"/>
    </row>
    <row r="643" spans="3:11" ht="12.75">
      <c r="C643" s="17"/>
      <c r="D643" s="17"/>
      <c r="E643" s="17"/>
      <c r="F643" s="17"/>
      <c r="G643" s="12"/>
      <c r="H643" s="12"/>
      <c r="I643" s="12"/>
      <c r="J643" s="12"/>
      <c r="K643" s="13"/>
    </row>
    <row r="644" spans="3:11" ht="12.75">
      <c r="C644" s="17"/>
      <c r="D644" s="17"/>
      <c r="E644" s="17"/>
      <c r="F644" s="17"/>
      <c r="G644" s="12"/>
      <c r="H644" s="12"/>
      <c r="I644" s="12"/>
      <c r="J644" s="12"/>
      <c r="K644" s="13"/>
    </row>
    <row r="645" spans="3:11" ht="12.75">
      <c r="C645" s="17"/>
      <c r="D645" s="17"/>
      <c r="E645" s="17"/>
      <c r="F645" s="17"/>
      <c r="G645" s="12"/>
      <c r="H645" s="12"/>
      <c r="I645" s="12"/>
      <c r="J645" s="12"/>
      <c r="K645" s="13"/>
    </row>
    <row r="646" spans="3:11" ht="12.75">
      <c r="C646" s="17"/>
      <c r="D646" s="17"/>
      <c r="E646" s="17"/>
      <c r="F646" s="17"/>
      <c r="G646" s="12"/>
      <c r="H646" s="12"/>
      <c r="I646" s="12"/>
      <c r="J646" s="12"/>
      <c r="K646" s="13"/>
    </row>
    <row r="647" spans="3:11" ht="12.75">
      <c r="C647" s="17"/>
      <c r="D647" s="17"/>
      <c r="E647" s="17"/>
      <c r="F647" s="17"/>
      <c r="G647" s="12"/>
      <c r="H647" s="12"/>
      <c r="I647" s="12"/>
      <c r="J647" s="12"/>
      <c r="K647" s="13"/>
    </row>
    <row r="648" spans="3:11" ht="12.75">
      <c r="C648" s="17"/>
      <c r="D648" s="17"/>
      <c r="E648" s="17"/>
      <c r="F648" s="17"/>
      <c r="G648" s="12"/>
      <c r="H648" s="12"/>
      <c r="I648" s="12"/>
      <c r="J648" s="12"/>
      <c r="K648" s="13"/>
    </row>
    <row r="649" spans="3:11" ht="12.75">
      <c r="C649" s="17"/>
      <c r="D649" s="17"/>
      <c r="E649" s="17"/>
      <c r="F649" s="17"/>
      <c r="G649" s="12"/>
      <c r="H649" s="12"/>
      <c r="I649" s="12"/>
      <c r="J649" s="12"/>
      <c r="K649" s="13"/>
    </row>
    <row r="650" spans="3:11" ht="12.75">
      <c r="C650" s="17"/>
      <c r="D650" s="17"/>
      <c r="E650" s="17"/>
      <c r="F650" s="17"/>
      <c r="G650" s="12"/>
      <c r="H650" s="12"/>
      <c r="I650" s="12"/>
      <c r="J650" s="12"/>
      <c r="K650" s="13"/>
    </row>
    <row r="651" spans="3:11" ht="12.75">
      <c r="C651" s="17"/>
      <c r="D651" s="17"/>
      <c r="E651" s="17"/>
      <c r="F651" s="17"/>
      <c r="G651" s="12"/>
      <c r="H651" s="12"/>
      <c r="I651" s="12"/>
      <c r="J651" s="12"/>
      <c r="K651" s="13"/>
    </row>
    <row r="652" spans="3:11" ht="12.75">
      <c r="C652" s="17"/>
      <c r="D652" s="17"/>
      <c r="E652" s="17"/>
      <c r="F652" s="17"/>
      <c r="G652" s="12"/>
      <c r="H652" s="12"/>
      <c r="I652" s="12"/>
      <c r="J652" s="12"/>
      <c r="K652" s="13"/>
    </row>
    <row r="653" spans="3:11" ht="12.75">
      <c r="C653" s="17"/>
      <c r="D653" s="17"/>
      <c r="E653" s="17"/>
      <c r="F653" s="17"/>
      <c r="G653" s="12"/>
      <c r="H653" s="12"/>
      <c r="I653" s="12"/>
      <c r="J653" s="12"/>
      <c r="K653" s="13"/>
    </row>
    <row r="654" spans="3:11" ht="12.75">
      <c r="C654" s="17"/>
      <c r="D654" s="17"/>
      <c r="E654" s="17"/>
      <c r="F654" s="17"/>
      <c r="G654" s="12"/>
      <c r="H654" s="12"/>
      <c r="I654" s="12"/>
      <c r="J654" s="12"/>
      <c r="K654" s="13"/>
    </row>
    <row r="655" spans="3:11" ht="12.75">
      <c r="C655" s="17"/>
      <c r="D655" s="17"/>
      <c r="E655" s="17"/>
      <c r="F655" s="17"/>
      <c r="G655" s="12"/>
      <c r="H655" s="12"/>
      <c r="I655" s="12"/>
      <c r="J655" s="12"/>
      <c r="K655" s="13"/>
    </row>
    <row r="656" spans="3:11" ht="12.75">
      <c r="C656" s="17"/>
      <c r="D656" s="17"/>
      <c r="E656" s="17"/>
      <c r="F656" s="17"/>
      <c r="G656" s="12"/>
      <c r="H656" s="12"/>
      <c r="I656" s="12"/>
      <c r="J656" s="12"/>
      <c r="K656" s="13"/>
    </row>
    <row r="657" spans="3:11" ht="12.75">
      <c r="C657" s="17"/>
      <c r="D657" s="17"/>
      <c r="E657" s="17"/>
      <c r="F657" s="17"/>
      <c r="G657" s="12"/>
      <c r="H657" s="12"/>
      <c r="I657" s="12"/>
      <c r="J657" s="12"/>
      <c r="K657" s="13"/>
    </row>
    <row r="658" spans="3:11" ht="12.75">
      <c r="C658" s="17"/>
      <c r="D658" s="17"/>
      <c r="E658" s="17"/>
      <c r="F658" s="17"/>
      <c r="G658" s="12"/>
      <c r="H658" s="12"/>
      <c r="I658" s="12"/>
      <c r="J658" s="12"/>
      <c r="K658" s="13"/>
    </row>
    <row r="659" spans="3:11" ht="12.75">
      <c r="C659" s="17"/>
      <c r="D659" s="17"/>
      <c r="E659" s="17"/>
      <c r="F659" s="17"/>
      <c r="G659" s="12"/>
      <c r="H659" s="12"/>
      <c r="I659" s="12"/>
      <c r="J659" s="12"/>
      <c r="K659" s="13"/>
    </row>
    <row r="660" spans="3:11" ht="12.75">
      <c r="C660" s="17"/>
      <c r="D660" s="17"/>
      <c r="E660" s="17"/>
      <c r="F660" s="17"/>
      <c r="G660" s="12"/>
      <c r="H660" s="12"/>
      <c r="I660" s="12"/>
      <c r="J660" s="12"/>
      <c r="K660" s="13"/>
    </row>
    <row r="661" spans="3:11" ht="12.75">
      <c r="C661" s="17"/>
      <c r="D661" s="17"/>
      <c r="E661" s="17"/>
      <c r="F661" s="17"/>
      <c r="G661" s="12"/>
      <c r="H661" s="12"/>
      <c r="I661" s="12"/>
      <c r="J661" s="12"/>
      <c r="K661" s="13"/>
    </row>
    <row r="662" spans="3:11" ht="12.75">
      <c r="C662" s="17"/>
      <c r="D662" s="17"/>
      <c r="E662" s="17"/>
      <c r="F662" s="17"/>
      <c r="G662" s="12"/>
      <c r="H662" s="12"/>
      <c r="I662" s="12"/>
      <c r="J662" s="12"/>
      <c r="K662" s="13"/>
    </row>
    <row r="663" spans="3:11" ht="12.75">
      <c r="C663" s="17"/>
      <c r="D663" s="17"/>
      <c r="E663" s="17"/>
      <c r="F663" s="17"/>
      <c r="G663" s="12"/>
      <c r="H663" s="12"/>
      <c r="I663" s="12"/>
      <c r="J663" s="12"/>
      <c r="K663" s="13"/>
    </row>
    <row r="664" spans="3:11" ht="12.75">
      <c r="C664" s="17"/>
      <c r="D664" s="17"/>
      <c r="E664" s="17"/>
      <c r="F664" s="17"/>
      <c r="G664" s="12"/>
      <c r="H664" s="12"/>
      <c r="I664" s="12"/>
      <c r="J664" s="12"/>
      <c r="K664" s="13"/>
    </row>
    <row r="665" spans="3:11" ht="12.75">
      <c r="C665" s="17"/>
      <c r="D665" s="17"/>
      <c r="E665" s="17"/>
      <c r="F665" s="17"/>
      <c r="G665" s="12"/>
      <c r="H665" s="12"/>
      <c r="I665" s="12"/>
      <c r="J665" s="12"/>
      <c r="K665" s="13"/>
    </row>
    <row r="666" spans="3:11" ht="12.75">
      <c r="C666" s="17"/>
      <c r="D666" s="17"/>
      <c r="E666" s="17"/>
      <c r="F666" s="17"/>
      <c r="G666" s="12"/>
      <c r="H666" s="12"/>
      <c r="I666" s="12"/>
      <c r="J666" s="12"/>
      <c r="K666" s="13"/>
    </row>
    <row r="667" spans="3:11" ht="12.75">
      <c r="C667" s="17"/>
      <c r="D667" s="17"/>
      <c r="E667" s="17"/>
      <c r="F667" s="17"/>
      <c r="G667" s="12"/>
      <c r="H667" s="12"/>
      <c r="I667" s="12"/>
      <c r="J667" s="12"/>
      <c r="K667" s="13"/>
    </row>
    <row r="668" spans="3:11" ht="12.75">
      <c r="C668" s="17"/>
      <c r="D668" s="17"/>
      <c r="E668" s="17"/>
      <c r="F668" s="17"/>
      <c r="G668" s="12"/>
      <c r="H668" s="12"/>
      <c r="I668" s="12"/>
      <c r="J668" s="12"/>
      <c r="K668" s="13"/>
    </row>
    <row r="669" spans="3:11" ht="12.75">
      <c r="C669" s="17"/>
      <c r="D669" s="17"/>
      <c r="E669" s="17"/>
      <c r="F669" s="17"/>
      <c r="G669" s="12"/>
      <c r="H669" s="12"/>
      <c r="I669" s="12"/>
      <c r="J669" s="12"/>
      <c r="K669" s="13"/>
    </row>
    <row r="670" spans="3:11" ht="12.75">
      <c r="C670" s="17"/>
      <c r="D670" s="17"/>
      <c r="E670" s="17"/>
      <c r="F670" s="17"/>
      <c r="G670" s="12"/>
      <c r="H670" s="12"/>
      <c r="I670" s="12"/>
      <c r="J670" s="12"/>
      <c r="K670" s="13"/>
    </row>
    <row r="671" spans="3:11" ht="12.75">
      <c r="C671" s="17"/>
      <c r="D671" s="17"/>
      <c r="E671" s="17"/>
      <c r="F671" s="17"/>
      <c r="G671" s="12"/>
      <c r="H671" s="12"/>
      <c r="I671" s="12"/>
      <c r="J671" s="12"/>
      <c r="K671" s="13"/>
    </row>
    <row r="672" spans="3:11" ht="12.75">
      <c r="C672" s="17"/>
      <c r="D672" s="17"/>
      <c r="E672" s="17"/>
      <c r="F672" s="17"/>
      <c r="G672" s="12"/>
      <c r="H672" s="12"/>
      <c r="I672" s="12"/>
      <c r="J672" s="12"/>
      <c r="K672" s="13"/>
    </row>
    <row r="673" spans="3:11" ht="12.75">
      <c r="C673" s="17"/>
      <c r="D673" s="17"/>
      <c r="E673" s="17"/>
      <c r="F673" s="17"/>
      <c r="G673" s="12"/>
      <c r="H673" s="12"/>
      <c r="I673" s="12"/>
      <c r="J673" s="12"/>
      <c r="K673" s="13"/>
    </row>
    <row r="674" spans="3:11" ht="12.75">
      <c r="C674" s="17"/>
      <c r="D674" s="17"/>
      <c r="E674" s="17"/>
      <c r="F674" s="17"/>
      <c r="G674" s="12"/>
      <c r="H674" s="12"/>
      <c r="I674" s="12"/>
      <c r="J674" s="12"/>
      <c r="K674" s="13"/>
    </row>
    <row r="675" spans="3:11" ht="12.75">
      <c r="C675" s="17"/>
      <c r="D675" s="17"/>
      <c r="E675" s="17"/>
      <c r="F675" s="17"/>
      <c r="G675" s="12"/>
      <c r="H675" s="12"/>
      <c r="I675" s="12"/>
      <c r="J675" s="12"/>
      <c r="K675" s="13"/>
    </row>
    <row r="676" spans="3:11" ht="12.75">
      <c r="C676" s="17"/>
      <c r="D676" s="17"/>
      <c r="E676" s="17"/>
      <c r="F676" s="17"/>
      <c r="G676" s="12"/>
      <c r="H676" s="12"/>
      <c r="I676" s="12"/>
      <c r="J676" s="12"/>
      <c r="K676" s="13"/>
    </row>
    <row r="677" spans="3:11" ht="12.75">
      <c r="C677" s="17"/>
      <c r="D677" s="17"/>
      <c r="E677" s="17"/>
      <c r="F677" s="17"/>
      <c r="G677" s="12"/>
      <c r="H677" s="12"/>
      <c r="I677" s="12"/>
      <c r="J677" s="12"/>
      <c r="K677" s="13"/>
    </row>
    <row r="678" spans="3:11" ht="12.75">
      <c r="C678" s="17"/>
      <c r="D678" s="17"/>
      <c r="E678" s="17"/>
      <c r="F678" s="17"/>
      <c r="G678" s="12"/>
      <c r="H678" s="12"/>
      <c r="I678" s="12"/>
      <c r="J678" s="12"/>
      <c r="K678" s="13"/>
    </row>
    <row r="679" spans="3:11" ht="12.75">
      <c r="C679" s="17"/>
      <c r="D679" s="17"/>
      <c r="E679" s="17"/>
      <c r="F679" s="17"/>
      <c r="G679" s="12"/>
      <c r="H679" s="12"/>
      <c r="I679" s="12"/>
      <c r="J679" s="12"/>
      <c r="K679" s="13"/>
    </row>
    <row r="680" spans="3:11" ht="12.75">
      <c r="C680" s="17"/>
      <c r="D680" s="17"/>
      <c r="E680" s="17"/>
      <c r="F680" s="17"/>
      <c r="G680" s="12"/>
      <c r="H680" s="12"/>
      <c r="I680" s="12"/>
      <c r="J680" s="12"/>
      <c r="K680" s="13"/>
    </row>
    <row r="681" spans="3:11" ht="12.75">
      <c r="C681" s="17"/>
      <c r="D681" s="17"/>
      <c r="E681" s="17"/>
      <c r="F681" s="17"/>
      <c r="G681" s="12"/>
      <c r="H681" s="12"/>
      <c r="I681" s="12"/>
      <c r="J681" s="12"/>
      <c r="K681" s="13"/>
    </row>
    <row r="682" spans="3:11" ht="12.75">
      <c r="C682" s="17"/>
      <c r="D682" s="17"/>
      <c r="E682" s="17"/>
      <c r="F682" s="17"/>
      <c r="G682" s="12"/>
      <c r="H682" s="12"/>
      <c r="I682" s="12"/>
      <c r="J682" s="12"/>
      <c r="K682" s="13"/>
    </row>
    <row r="683" spans="3:11" ht="12.75">
      <c r="C683" s="17"/>
      <c r="D683" s="17"/>
      <c r="E683" s="17"/>
      <c r="F683" s="17"/>
      <c r="G683" s="12"/>
      <c r="H683" s="12"/>
      <c r="I683" s="12"/>
      <c r="J683" s="12"/>
      <c r="K683" s="13"/>
    </row>
    <row r="684" spans="3:11" ht="12.75">
      <c r="C684" s="17"/>
      <c r="D684" s="17"/>
      <c r="E684" s="17"/>
      <c r="F684" s="17"/>
      <c r="G684" s="12"/>
      <c r="H684" s="12"/>
      <c r="I684" s="12"/>
      <c r="J684" s="12"/>
      <c r="K684" s="13"/>
    </row>
    <row r="685" spans="3:11" ht="12.75">
      <c r="C685" s="17"/>
      <c r="D685" s="17"/>
      <c r="E685" s="17"/>
      <c r="F685" s="17"/>
      <c r="G685" s="12"/>
      <c r="H685" s="12"/>
      <c r="I685" s="12"/>
      <c r="J685" s="12"/>
      <c r="K685" s="13"/>
    </row>
    <row r="686" spans="3:11" ht="12.75">
      <c r="C686" s="17"/>
      <c r="D686" s="17"/>
      <c r="E686" s="17"/>
      <c r="F686" s="17"/>
      <c r="G686" s="12"/>
      <c r="H686" s="12"/>
      <c r="I686" s="12"/>
      <c r="J686" s="12"/>
      <c r="K686" s="13"/>
    </row>
    <row r="687" spans="3:11" ht="12.75">
      <c r="C687" s="17"/>
      <c r="D687" s="17"/>
      <c r="E687" s="17"/>
      <c r="F687" s="17"/>
      <c r="G687" s="12"/>
      <c r="H687" s="12"/>
      <c r="I687" s="12"/>
      <c r="J687" s="12"/>
      <c r="K687" s="13"/>
    </row>
    <row r="688" spans="3:11" ht="12.75">
      <c r="C688" s="17"/>
      <c r="D688" s="17"/>
      <c r="E688" s="17"/>
      <c r="F688" s="17"/>
      <c r="G688" s="12"/>
      <c r="H688" s="12"/>
      <c r="I688" s="12"/>
      <c r="J688" s="12"/>
      <c r="K688" s="13"/>
    </row>
    <row r="689" spans="3:11" ht="12.75">
      <c r="C689" s="17"/>
      <c r="D689" s="17"/>
      <c r="E689" s="17"/>
      <c r="F689" s="17"/>
      <c r="G689" s="12"/>
      <c r="H689" s="12"/>
      <c r="I689" s="12"/>
      <c r="J689" s="12"/>
      <c r="K689" s="13"/>
    </row>
    <row r="690" spans="3:11" ht="12.75">
      <c r="C690" s="17"/>
      <c r="D690" s="17"/>
      <c r="E690" s="17"/>
      <c r="F690" s="17"/>
      <c r="G690" s="12"/>
      <c r="H690" s="12"/>
      <c r="I690" s="12"/>
      <c r="J690" s="12"/>
      <c r="K690" s="13"/>
    </row>
    <row r="691" spans="3:11" ht="12.75">
      <c r="C691" s="17"/>
      <c r="D691" s="17"/>
      <c r="E691" s="17"/>
      <c r="F691" s="17"/>
      <c r="G691" s="12"/>
      <c r="H691" s="12"/>
      <c r="I691" s="12"/>
      <c r="J691" s="12"/>
      <c r="K691" s="13"/>
    </row>
    <row r="692" spans="3:11" ht="12.75">
      <c r="C692" s="17"/>
      <c r="D692" s="17"/>
      <c r="E692" s="17"/>
      <c r="F692" s="17"/>
      <c r="G692" s="12"/>
      <c r="H692" s="12"/>
      <c r="I692" s="12"/>
      <c r="J692" s="12"/>
      <c r="K692" s="13"/>
    </row>
    <row r="693" spans="3:11" ht="12.75">
      <c r="C693" s="17"/>
      <c r="D693" s="17"/>
      <c r="E693" s="17"/>
      <c r="F693" s="17"/>
      <c r="G693" s="12"/>
      <c r="H693" s="12"/>
      <c r="I693" s="12"/>
      <c r="J693" s="12"/>
      <c r="K693" s="13"/>
    </row>
    <row r="694" spans="3:11" ht="12.75">
      <c r="C694" s="17"/>
      <c r="D694" s="17"/>
      <c r="E694" s="17"/>
      <c r="F694" s="17"/>
      <c r="G694" s="12"/>
      <c r="H694" s="12"/>
      <c r="I694" s="12"/>
      <c r="J694" s="12"/>
      <c r="K694" s="13"/>
    </row>
    <row r="695" spans="3:11" ht="12.75">
      <c r="C695" s="17"/>
      <c r="D695" s="17"/>
      <c r="E695" s="17"/>
      <c r="F695" s="17"/>
      <c r="G695" s="12"/>
      <c r="H695" s="12"/>
      <c r="I695" s="12"/>
      <c r="J695" s="12"/>
      <c r="K695" s="13"/>
    </row>
    <row r="696" spans="3:11" ht="12.75">
      <c r="C696" s="17"/>
      <c r="D696" s="17"/>
      <c r="E696" s="17"/>
      <c r="F696" s="17"/>
      <c r="G696" s="12"/>
      <c r="H696" s="12"/>
      <c r="I696" s="12"/>
      <c r="J696" s="12"/>
      <c r="K696" s="13"/>
    </row>
    <row r="697" spans="3:11" ht="12.75">
      <c r="C697" s="17"/>
      <c r="D697" s="17"/>
      <c r="E697" s="17"/>
      <c r="F697" s="17"/>
      <c r="G697" s="12"/>
      <c r="H697" s="12"/>
      <c r="I697" s="12"/>
      <c r="J697" s="12"/>
      <c r="K697" s="13"/>
    </row>
    <row r="698" spans="3:11" ht="12.75">
      <c r="C698" s="17"/>
      <c r="D698" s="17"/>
      <c r="E698" s="17"/>
      <c r="F698" s="17"/>
      <c r="G698" s="12"/>
      <c r="H698" s="12"/>
      <c r="I698" s="12"/>
      <c r="J698" s="12"/>
      <c r="K698" s="13"/>
    </row>
    <row r="699" spans="3:11" ht="12.75">
      <c r="C699" s="17"/>
      <c r="D699" s="17"/>
      <c r="E699" s="17"/>
      <c r="F699" s="17"/>
      <c r="G699" s="12"/>
      <c r="H699" s="12"/>
      <c r="I699" s="12"/>
      <c r="J699" s="12"/>
      <c r="K699" s="13"/>
    </row>
    <row r="700" spans="3:11" ht="12.75">
      <c r="C700" s="17"/>
      <c r="D700" s="17"/>
      <c r="E700" s="17"/>
      <c r="F700" s="17"/>
      <c r="G700" s="12"/>
      <c r="H700" s="12"/>
      <c r="I700" s="12"/>
      <c r="J700" s="12"/>
      <c r="K700" s="13"/>
    </row>
    <row r="701" spans="3:11" ht="12.75">
      <c r="C701" s="17"/>
      <c r="D701" s="17"/>
      <c r="E701" s="17"/>
      <c r="F701" s="17"/>
      <c r="G701" s="12"/>
      <c r="H701" s="12"/>
      <c r="I701" s="12"/>
      <c r="J701" s="12"/>
      <c r="K701" s="13"/>
    </row>
    <row r="702" spans="3:11" ht="12.75">
      <c r="C702" s="17"/>
      <c r="D702" s="17"/>
      <c r="E702" s="17"/>
      <c r="F702" s="17"/>
      <c r="G702" s="12"/>
      <c r="H702" s="12"/>
      <c r="I702" s="12"/>
      <c r="J702" s="12"/>
      <c r="K702" s="13"/>
    </row>
    <row r="703" spans="3:11" ht="12.75">
      <c r="C703" s="17"/>
      <c r="D703" s="17"/>
      <c r="E703" s="17"/>
      <c r="F703" s="17"/>
      <c r="G703" s="12"/>
      <c r="H703" s="12"/>
      <c r="I703" s="12"/>
      <c r="J703" s="12"/>
      <c r="K703" s="13"/>
    </row>
    <row r="704" spans="3:11" ht="12.75">
      <c r="C704" s="17"/>
      <c r="D704" s="17"/>
      <c r="E704" s="17"/>
      <c r="F704" s="17"/>
      <c r="G704" s="12"/>
      <c r="H704" s="12"/>
      <c r="I704" s="12"/>
      <c r="J704" s="12"/>
      <c r="K704" s="13"/>
    </row>
    <row r="705" spans="3:11" ht="12.75">
      <c r="C705" s="17"/>
      <c r="D705" s="17"/>
      <c r="E705" s="17"/>
      <c r="F705" s="17"/>
      <c r="G705" s="12"/>
      <c r="H705" s="12"/>
      <c r="I705" s="12"/>
      <c r="J705" s="12"/>
      <c r="K705" s="13"/>
    </row>
    <row r="706" spans="3:11" ht="12.75">
      <c r="C706" s="17"/>
      <c r="D706" s="17"/>
      <c r="E706" s="17"/>
      <c r="F706" s="17"/>
      <c r="G706" s="12"/>
      <c r="H706" s="12"/>
      <c r="I706" s="12"/>
      <c r="J706" s="12"/>
      <c r="K706" s="13"/>
    </row>
    <row r="707" spans="3:11" ht="12.75">
      <c r="C707" s="17"/>
      <c r="D707" s="17"/>
      <c r="E707" s="17"/>
      <c r="F707" s="17"/>
      <c r="G707" s="12"/>
      <c r="H707" s="12"/>
      <c r="I707" s="12"/>
      <c r="J707" s="12"/>
      <c r="K707" s="13"/>
    </row>
    <row r="708" spans="3:11" ht="12.75">
      <c r="C708" s="17"/>
      <c r="D708" s="17"/>
      <c r="E708" s="17"/>
      <c r="F708" s="17"/>
      <c r="G708" s="12"/>
      <c r="H708" s="12"/>
      <c r="I708" s="12"/>
      <c r="J708" s="12"/>
      <c r="K708" s="13"/>
    </row>
    <row r="709" spans="3:11" ht="12.75">
      <c r="C709" s="17"/>
      <c r="D709" s="17"/>
      <c r="E709" s="17"/>
      <c r="F709" s="17"/>
      <c r="G709" s="12"/>
      <c r="H709" s="12"/>
      <c r="I709" s="12"/>
      <c r="J709" s="12"/>
      <c r="K709" s="13"/>
    </row>
    <row r="710" spans="3:11" ht="12.75">
      <c r="C710" s="17"/>
      <c r="D710" s="17"/>
      <c r="E710" s="17"/>
      <c r="F710" s="17"/>
      <c r="G710" s="12"/>
      <c r="H710" s="12"/>
      <c r="I710" s="12"/>
      <c r="J710" s="12"/>
      <c r="K710" s="13"/>
    </row>
    <row r="711" spans="3:11" ht="12.75">
      <c r="C711" s="17"/>
      <c r="D711" s="17"/>
      <c r="E711" s="17"/>
      <c r="F711" s="17"/>
      <c r="G711" s="12"/>
      <c r="H711" s="12"/>
      <c r="I711" s="12"/>
      <c r="J711" s="12"/>
      <c r="K711" s="13"/>
    </row>
    <row r="712" spans="3:11" ht="12.75">
      <c r="C712" s="17"/>
      <c r="D712" s="17"/>
      <c r="E712" s="17"/>
      <c r="F712" s="17"/>
      <c r="G712" s="12"/>
      <c r="H712" s="12"/>
      <c r="I712" s="12"/>
      <c r="J712" s="12"/>
      <c r="K712" s="13"/>
    </row>
    <row r="713" spans="3:11" ht="12.75">
      <c r="C713" s="17"/>
      <c r="D713" s="17"/>
      <c r="E713" s="17"/>
      <c r="F713" s="17"/>
      <c r="G713" s="12"/>
      <c r="H713" s="12"/>
      <c r="I713" s="12"/>
      <c r="J713" s="12"/>
      <c r="K713" s="13"/>
    </row>
    <row r="714" spans="3:11" ht="12.75">
      <c r="C714" s="17"/>
      <c r="D714" s="17"/>
      <c r="E714" s="17"/>
      <c r="F714" s="17"/>
      <c r="G714" s="12"/>
      <c r="H714" s="12"/>
      <c r="I714" s="12"/>
      <c r="J714" s="12"/>
      <c r="K714" s="13"/>
    </row>
    <row r="715" spans="3:11" ht="12.75">
      <c r="C715" s="17"/>
      <c r="D715" s="17"/>
      <c r="E715" s="17"/>
      <c r="F715" s="17"/>
      <c r="G715" s="12"/>
      <c r="H715" s="12"/>
      <c r="I715" s="12"/>
      <c r="J715" s="12"/>
      <c r="K715" s="13"/>
    </row>
    <row r="716" spans="3:11" ht="12.75">
      <c r="C716" s="17"/>
      <c r="D716" s="17"/>
      <c r="E716" s="17"/>
      <c r="F716" s="17"/>
      <c r="G716" s="12"/>
      <c r="H716" s="12"/>
      <c r="I716" s="12"/>
      <c r="J716" s="12"/>
      <c r="K716" s="13"/>
    </row>
    <row r="717" spans="3:11" ht="12.75">
      <c r="C717" s="17"/>
      <c r="D717" s="17"/>
      <c r="E717" s="17"/>
      <c r="F717" s="17"/>
      <c r="G717" s="12"/>
      <c r="H717" s="12"/>
      <c r="I717" s="12"/>
      <c r="J717" s="12"/>
      <c r="K717" s="13"/>
    </row>
    <row r="718" spans="3:11" ht="12.75">
      <c r="C718" s="17"/>
      <c r="D718" s="17"/>
      <c r="E718" s="17"/>
      <c r="F718" s="17"/>
      <c r="G718" s="12"/>
      <c r="H718" s="12"/>
      <c r="I718" s="12"/>
      <c r="J718" s="12"/>
      <c r="K718" s="13"/>
    </row>
    <row r="719" spans="3:11" ht="12.75">
      <c r="C719" s="17"/>
      <c r="D719" s="17"/>
      <c r="E719" s="17"/>
      <c r="F719" s="17"/>
      <c r="G719" s="12"/>
      <c r="H719" s="12"/>
      <c r="I719" s="12"/>
      <c r="J719" s="12"/>
      <c r="K719" s="13"/>
    </row>
    <row r="720" spans="3:11" ht="12.75">
      <c r="C720" s="17"/>
      <c r="D720" s="17"/>
      <c r="E720" s="17"/>
      <c r="F720" s="17"/>
      <c r="G720" s="12"/>
      <c r="H720" s="12"/>
      <c r="I720" s="12"/>
      <c r="J720" s="12"/>
      <c r="K720" s="13"/>
    </row>
    <row r="721" spans="3:11" ht="12.75">
      <c r="C721" s="17"/>
      <c r="D721" s="17"/>
      <c r="E721" s="17"/>
      <c r="F721" s="17"/>
      <c r="G721" s="12"/>
      <c r="H721" s="12"/>
      <c r="I721" s="12"/>
      <c r="J721" s="12"/>
      <c r="K721" s="13"/>
    </row>
    <row r="722" spans="3:11" ht="12.75">
      <c r="C722" s="17"/>
      <c r="D722" s="17"/>
      <c r="E722" s="17"/>
      <c r="F722" s="17"/>
      <c r="G722" s="12"/>
      <c r="H722" s="12"/>
      <c r="I722" s="12"/>
      <c r="J722" s="12"/>
      <c r="K722" s="13"/>
    </row>
    <row r="723" spans="3:11" ht="12.75">
      <c r="C723" s="17"/>
      <c r="D723" s="17"/>
      <c r="E723" s="17"/>
      <c r="F723" s="17"/>
      <c r="G723" s="12"/>
      <c r="H723" s="12"/>
      <c r="I723" s="12"/>
      <c r="J723" s="12"/>
      <c r="K723" s="13"/>
    </row>
    <row r="724" spans="3:11" ht="12.75">
      <c r="C724" s="17"/>
      <c r="D724" s="17"/>
      <c r="E724" s="17"/>
      <c r="F724" s="17"/>
      <c r="G724" s="12"/>
      <c r="H724" s="12"/>
      <c r="I724" s="12"/>
      <c r="J724" s="12"/>
      <c r="K724" s="13"/>
    </row>
    <row r="725" spans="3:11" ht="12.75">
      <c r="C725" s="17"/>
      <c r="D725" s="17"/>
      <c r="E725" s="17"/>
      <c r="F725" s="17"/>
      <c r="G725" s="12"/>
      <c r="H725" s="12"/>
      <c r="I725" s="12"/>
      <c r="J725" s="12"/>
      <c r="K725" s="13"/>
    </row>
    <row r="726" spans="3:11" ht="12.75">
      <c r="C726" s="17"/>
      <c r="D726" s="17"/>
      <c r="E726" s="17"/>
      <c r="F726" s="17"/>
      <c r="G726" s="12"/>
      <c r="H726" s="12"/>
      <c r="I726" s="12"/>
      <c r="J726" s="12"/>
      <c r="K726" s="13"/>
    </row>
    <row r="727" spans="3:11" ht="12.75">
      <c r="C727" s="17"/>
      <c r="D727" s="17"/>
      <c r="E727" s="17"/>
      <c r="F727" s="17"/>
      <c r="G727" s="12"/>
      <c r="H727" s="12"/>
      <c r="I727" s="12"/>
      <c r="J727" s="12"/>
      <c r="K727" s="13"/>
    </row>
    <row r="728" spans="3:11" ht="12.75">
      <c r="C728" s="17"/>
      <c r="D728" s="17"/>
      <c r="E728" s="17"/>
      <c r="F728" s="17"/>
      <c r="G728" s="12"/>
      <c r="H728" s="12"/>
      <c r="I728" s="12"/>
      <c r="J728" s="12"/>
      <c r="K728" s="13"/>
    </row>
    <row r="729" spans="3:11" ht="12.75">
      <c r="C729" s="17"/>
      <c r="D729" s="17"/>
      <c r="E729" s="17"/>
      <c r="F729" s="17"/>
      <c r="G729" s="12"/>
      <c r="H729" s="12"/>
      <c r="I729" s="12"/>
      <c r="J729" s="12"/>
      <c r="K729" s="13"/>
    </row>
    <row r="730" spans="3:11" ht="12.75">
      <c r="C730" s="17"/>
      <c r="D730" s="17"/>
      <c r="E730" s="17"/>
      <c r="F730" s="17"/>
      <c r="G730" s="12"/>
      <c r="H730" s="12"/>
      <c r="I730" s="12"/>
      <c r="J730" s="12"/>
      <c r="K730" s="13"/>
    </row>
    <row r="731" spans="3:11" ht="12.75">
      <c r="C731" s="17"/>
      <c r="D731" s="17"/>
      <c r="E731" s="17"/>
      <c r="F731" s="17"/>
      <c r="G731" s="12"/>
      <c r="H731" s="12"/>
      <c r="I731" s="12"/>
      <c r="J731" s="12"/>
      <c r="K731" s="13"/>
    </row>
    <row r="732" spans="3:11" ht="12.75">
      <c r="C732" s="17"/>
      <c r="D732" s="17"/>
      <c r="E732" s="17"/>
      <c r="F732" s="17"/>
      <c r="G732" s="12"/>
      <c r="H732" s="12"/>
      <c r="I732" s="12"/>
      <c r="J732" s="12"/>
      <c r="K732" s="13"/>
    </row>
    <row r="733" spans="3:11" ht="12.75">
      <c r="C733" s="17"/>
      <c r="D733" s="17"/>
      <c r="E733" s="17"/>
      <c r="F733" s="17"/>
      <c r="G733" s="12"/>
      <c r="H733" s="12"/>
      <c r="I733" s="12"/>
      <c r="J733" s="12"/>
      <c r="K733" s="13"/>
    </row>
    <row r="734" spans="3:11" ht="12.75">
      <c r="C734" s="17"/>
      <c r="D734" s="17"/>
      <c r="E734" s="17"/>
      <c r="F734" s="17"/>
      <c r="G734" s="12"/>
      <c r="H734" s="12"/>
      <c r="I734" s="12"/>
      <c r="J734" s="12"/>
      <c r="K734" s="13"/>
    </row>
    <row r="735" spans="3:11" ht="12.75">
      <c r="C735" s="17"/>
      <c r="D735" s="17"/>
      <c r="E735" s="17"/>
      <c r="F735" s="17"/>
      <c r="G735" s="12"/>
      <c r="H735" s="12"/>
      <c r="I735" s="12"/>
      <c r="J735" s="12"/>
      <c r="K735" s="13"/>
    </row>
    <row r="736" spans="3:11" ht="12.75">
      <c r="C736" s="17"/>
      <c r="D736" s="17"/>
      <c r="E736" s="17"/>
      <c r="F736" s="17"/>
      <c r="G736" s="12"/>
      <c r="H736" s="12"/>
      <c r="I736" s="12"/>
      <c r="J736" s="12"/>
      <c r="K736" s="13"/>
    </row>
    <row r="737" spans="3:11" ht="12.75">
      <c r="C737" s="17"/>
      <c r="D737" s="17"/>
      <c r="E737" s="17"/>
      <c r="F737" s="17"/>
      <c r="G737" s="12"/>
      <c r="H737" s="12"/>
      <c r="I737" s="12"/>
      <c r="J737" s="12"/>
      <c r="K737" s="13"/>
    </row>
    <row r="738" spans="3:11" ht="12.75">
      <c r="C738" s="17"/>
      <c r="D738" s="17"/>
      <c r="E738" s="17"/>
      <c r="F738" s="17"/>
      <c r="G738" s="12"/>
      <c r="H738" s="12"/>
      <c r="I738" s="12"/>
      <c r="J738" s="12"/>
      <c r="K738" s="13"/>
    </row>
    <row r="739" spans="3:11" ht="12.75">
      <c r="C739" s="17"/>
      <c r="D739" s="17"/>
      <c r="E739" s="17"/>
      <c r="F739" s="17"/>
      <c r="G739" s="12"/>
      <c r="H739" s="12"/>
      <c r="I739" s="12"/>
      <c r="J739" s="12"/>
      <c r="K739" s="13"/>
    </row>
    <row r="740" spans="3:11" ht="12.75">
      <c r="C740" s="17"/>
      <c r="D740" s="17"/>
      <c r="E740" s="17"/>
      <c r="F740" s="17"/>
      <c r="G740" s="12"/>
      <c r="H740" s="12"/>
      <c r="I740" s="12"/>
      <c r="J740" s="12"/>
      <c r="K740" s="13"/>
    </row>
    <row r="741" spans="3:11" ht="12.75">
      <c r="C741" s="17"/>
      <c r="D741" s="17"/>
      <c r="E741" s="17"/>
      <c r="F741" s="17"/>
      <c r="G741" s="12"/>
      <c r="H741" s="12"/>
      <c r="I741" s="12"/>
      <c r="J741" s="12"/>
      <c r="K741" s="13"/>
    </row>
    <row r="742" spans="3:11" ht="12.75">
      <c r="C742" s="17"/>
      <c r="D742" s="17"/>
      <c r="E742" s="17"/>
      <c r="F742" s="17"/>
      <c r="G742" s="12"/>
      <c r="H742" s="12"/>
      <c r="I742" s="12"/>
      <c r="J742" s="12"/>
      <c r="K742" s="13"/>
    </row>
    <row r="743" spans="3:11" ht="12.75">
      <c r="C743" s="17"/>
      <c r="D743" s="17"/>
      <c r="E743" s="17"/>
      <c r="F743" s="17"/>
      <c r="G743" s="12"/>
      <c r="H743" s="12"/>
      <c r="I743" s="12"/>
      <c r="J743" s="12"/>
      <c r="K743" s="13"/>
    </row>
    <row r="744" spans="3:11" ht="12.75">
      <c r="C744" s="17"/>
      <c r="D744" s="17"/>
      <c r="E744" s="17"/>
      <c r="F744" s="17"/>
      <c r="G744" s="12"/>
      <c r="H744" s="12"/>
      <c r="I744" s="12"/>
      <c r="J744" s="12"/>
      <c r="K744" s="13"/>
    </row>
    <row r="745" spans="3:11" ht="12.75">
      <c r="C745" s="17"/>
      <c r="D745" s="17"/>
      <c r="E745" s="17"/>
      <c r="F745" s="17"/>
      <c r="G745" s="12"/>
      <c r="H745" s="12"/>
      <c r="I745" s="12"/>
      <c r="J745" s="12"/>
      <c r="K745" s="13"/>
    </row>
    <row r="746" spans="3:11" ht="12.75">
      <c r="C746" s="17"/>
      <c r="D746" s="17"/>
      <c r="E746" s="17"/>
      <c r="F746" s="17"/>
      <c r="G746" s="12"/>
      <c r="H746" s="12"/>
      <c r="I746" s="12"/>
      <c r="J746" s="12"/>
      <c r="K746" s="13"/>
    </row>
    <row r="747" spans="3:11" ht="12.75">
      <c r="C747" s="17"/>
      <c r="D747" s="17"/>
      <c r="E747" s="17"/>
      <c r="F747" s="17"/>
      <c r="G747" s="12"/>
      <c r="H747" s="12"/>
      <c r="I747" s="12"/>
      <c r="J747" s="12"/>
      <c r="K747" s="13"/>
    </row>
    <row r="748" spans="3:11" ht="12.75">
      <c r="C748" s="17"/>
      <c r="D748" s="17"/>
      <c r="E748" s="17"/>
      <c r="F748" s="17"/>
      <c r="G748" s="12"/>
      <c r="H748" s="12"/>
      <c r="I748" s="12"/>
      <c r="J748" s="12"/>
      <c r="K748" s="13"/>
    </row>
    <row r="749" spans="3:11" ht="12.75">
      <c r="C749" s="17"/>
      <c r="D749" s="17"/>
      <c r="E749" s="17"/>
      <c r="F749" s="17"/>
      <c r="G749" s="12"/>
      <c r="H749" s="12"/>
      <c r="I749" s="12"/>
      <c r="J749" s="12"/>
      <c r="K749" s="13"/>
    </row>
    <row r="750" spans="3:11" ht="12.75">
      <c r="C750" s="17"/>
      <c r="D750" s="17"/>
      <c r="E750" s="17"/>
      <c r="F750" s="17"/>
      <c r="G750" s="12"/>
      <c r="H750" s="12"/>
      <c r="I750" s="12"/>
      <c r="J750" s="12"/>
      <c r="K750" s="13"/>
    </row>
    <row r="751" spans="3:11" ht="12.75">
      <c r="C751" s="17"/>
      <c r="D751" s="17"/>
      <c r="E751" s="17"/>
      <c r="F751" s="17"/>
      <c r="G751" s="12"/>
      <c r="H751" s="12"/>
      <c r="I751" s="12"/>
      <c r="J751" s="12"/>
      <c r="K751" s="13"/>
    </row>
    <row r="752" spans="3:11" ht="12.75">
      <c r="C752" s="17"/>
      <c r="D752" s="17"/>
      <c r="E752" s="17"/>
      <c r="F752" s="17"/>
      <c r="G752" s="12"/>
      <c r="H752" s="12"/>
      <c r="I752" s="12"/>
      <c r="J752" s="12"/>
      <c r="K752" s="13"/>
    </row>
    <row r="753" spans="3:11" ht="12.75">
      <c r="C753" s="17"/>
      <c r="D753" s="17"/>
      <c r="E753" s="17"/>
      <c r="F753" s="17"/>
      <c r="G753" s="12"/>
      <c r="H753" s="12"/>
      <c r="I753" s="12"/>
      <c r="J753" s="12"/>
      <c r="K753" s="13"/>
    </row>
    <row r="754" spans="3:11" ht="12.75">
      <c r="C754" s="17"/>
      <c r="D754" s="17"/>
      <c r="E754" s="17"/>
      <c r="F754" s="17"/>
      <c r="G754" s="12"/>
      <c r="H754" s="12"/>
      <c r="I754" s="12"/>
      <c r="J754" s="12"/>
      <c r="K754" s="13"/>
    </row>
    <row r="755" spans="3:11" ht="12.75">
      <c r="C755" s="17"/>
      <c r="D755" s="17"/>
      <c r="E755" s="17"/>
      <c r="F755" s="17"/>
      <c r="G755" s="12"/>
      <c r="H755" s="12"/>
      <c r="I755" s="12"/>
      <c r="J755" s="12"/>
      <c r="K755" s="13"/>
    </row>
    <row r="756" spans="3:11" ht="12.75">
      <c r="C756" s="17"/>
      <c r="D756" s="17"/>
      <c r="E756" s="17"/>
      <c r="F756" s="17"/>
      <c r="G756" s="12"/>
      <c r="H756" s="12"/>
      <c r="I756" s="12"/>
      <c r="J756" s="12"/>
      <c r="K756" s="13"/>
    </row>
    <row r="757" spans="3:11" ht="12.75">
      <c r="C757" s="17"/>
      <c r="D757" s="17"/>
      <c r="E757" s="17"/>
      <c r="F757" s="17"/>
      <c r="G757" s="12"/>
      <c r="H757" s="12"/>
      <c r="I757" s="12"/>
      <c r="J757" s="12"/>
      <c r="K757" s="13"/>
    </row>
    <row r="758" spans="3:11" ht="12.75">
      <c r="C758" s="17"/>
      <c r="D758" s="17"/>
      <c r="E758" s="17"/>
      <c r="F758" s="17"/>
      <c r="G758" s="12"/>
      <c r="H758" s="12"/>
      <c r="I758" s="12"/>
      <c r="J758" s="12"/>
      <c r="K758" s="13"/>
    </row>
    <row r="759" spans="3:11" ht="12.75">
      <c r="C759" s="17"/>
      <c r="D759" s="17"/>
      <c r="E759" s="17"/>
      <c r="F759" s="17"/>
      <c r="G759" s="12"/>
      <c r="H759" s="12"/>
      <c r="I759" s="12"/>
      <c r="J759" s="12"/>
      <c r="K759" s="13"/>
    </row>
    <row r="760" spans="3:11" ht="12.75">
      <c r="C760" s="17"/>
      <c r="D760" s="17"/>
      <c r="E760" s="17"/>
      <c r="F760" s="17"/>
      <c r="G760" s="12"/>
      <c r="H760" s="12"/>
      <c r="I760" s="12"/>
      <c r="J760" s="12"/>
      <c r="K760" s="13"/>
    </row>
    <row r="761" spans="3:11" ht="12.75">
      <c r="C761" s="17"/>
      <c r="D761" s="17"/>
      <c r="E761" s="17"/>
      <c r="F761" s="17"/>
      <c r="G761" s="12"/>
      <c r="H761" s="12"/>
      <c r="I761" s="12"/>
      <c r="J761" s="12"/>
      <c r="K761" s="13"/>
    </row>
    <row r="762" spans="3:11" ht="12.75">
      <c r="C762" s="17"/>
      <c r="D762" s="17"/>
      <c r="E762" s="17"/>
      <c r="F762" s="17"/>
      <c r="G762" s="12"/>
      <c r="H762" s="12"/>
      <c r="I762" s="12"/>
      <c r="J762" s="12"/>
      <c r="K762" s="13"/>
    </row>
    <row r="763" spans="3:11" ht="12.75">
      <c r="C763" s="17"/>
      <c r="D763" s="17"/>
      <c r="E763" s="17"/>
      <c r="F763" s="17"/>
      <c r="G763" s="12"/>
      <c r="H763" s="12"/>
      <c r="I763" s="12"/>
      <c r="J763" s="12"/>
      <c r="K763" s="13"/>
    </row>
    <row r="764" spans="3:11" ht="12.75">
      <c r="C764" s="17"/>
      <c r="D764" s="17"/>
      <c r="E764" s="17"/>
      <c r="F764" s="17"/>
      <c r="G764" s="12"/>
      <c r="H764" s="12"/>
      <c r="I764" s="12"/>
      <c r="J764" s="12"/>
      <c r="K764" s="13"/>
    </row>
    <row r="765" spans="3:11" ht="12.75">
      <c r="C765" s="17"/>
      <c r="D765" s="17"/>
      <c r="E765" s="17"/>
      <c r="F765" s="17"/>
      <c r="G765" s="12"/>
      <c r="H765" s="12"/>
      <c r="I765" s="12"/>
      <c r="J765" s="12"/>
      <c r="K765" s="13"/>
    </row>
    <row r="766" spans="3:11" ht="12.75">
      <c r="C766" s="17"/>
      <c r="D766" s="17"/>
      <c r="E766" s="17"/>
      <c r="F766" s="17"/>
      <c r="G766" s="12"/>
      <c r="H766" s="12"/>
      <c r="I766" s="12"/>
      <c r="J766" s="12"/>
      <c r="K766" s="13"/>
    </row>
    <row r="767" spans="3:11" ht="12.75">
      <c r="C767" s="17"/>
      <c r="D767" s="17"/>
      <c r="E767" s="17"/>
      <c r="F767" s="17"/>
      <c r="G767" s="12"/>
      <c r="H767" s="12"/>
      <c r="I767" s="12"/>
      <c r="J767" s="12"/>
      <c r="K767" s="13"/>
    </row>
    <row r="768" spans="3:11" ht="12.75">
      <c r="C768" s="17"/>
      <c r="D768" s="17"/>
      <c r="E768" s="17"/>
      <c r="F768" s="17"/>
      <c r="G768" s="12"/>
      <c r="H768" s="12"/>
      <c r="I768" s="12"/>
      <c r="J768" s="12"/>
      <c r="K768" s="13"/>
    </row>
    <row r="769" spans="3:11" ht="12.75">
      <c r="C769" s="17"/>
      <c r="D769" s="17"/>
      <c r="E769" s="17"/>
      <c r="F769" s="17"/>
      <c r="G769" s="12"/>
      <c r="H769" s="12"/>
      <c r="I769" s="12"/>
      <c r="J769" s="12"/>
      <c r="K769" s="13"/>
    </row>
    <row r="770" spans="3:11" ht="12.75">
      <c r="C770" s="17"/>
      <c r="D770" s="17"/>
      <c r="E770" s="17"/>
      <c r="F770" s="17"/>
      <c r="G770" s="12"/>
      <c r="H770" s="12"/>
      <c r="I770" s="12"/>
      <c r="J770" s="12"/>
      <c r="K770" s="13"/>
    </row>
    <row r="771" spans="3:11" ht="12.75">
      <c r="C771" s="17"/>
      <c r="D771" s="17"/>
      <c r="E771" s="17"/>
      <c r="F771" s="17"/>
      <c r="G771" s="12"/>
      <c r="H771" s="12"/>
      <c r="I771" s="12"/>
      <c r="J771" s="12"/>
      <c r="K771" s="13"/>
    </row>
    <row r="772" spans="3:11" ht="12.75">
      <c r="C772" s="17"/>
      <c r="D772" s="17"/>
      <c r="E772" s="17"/>
      <c r="F772" s="17"/>
      <c r="G772" s="12"/>
      <c r="H772" s="12"/>
      <c r="I772" s="12"/>
      <c r="J772" s="12"/>
      <c r="K772" s="13"/>
    </row>
    <row r="773" spans="3:11" ht="12.75">
      <c r="C773" s="17"/>
      <c r="D773" s="17"/>
      <c r="E773" s="17"/>
      <c r="F773" s="17"/>
      <c r="G773" s="12"/>
      <c r="H773" s="12"/>
      <c r="I773" s="12"/>
      <c r="J773" s="12"/>
      <c r="K773" s="13"/>
    </row>
    <row r="774" spans="3:11" ht="12.75">
      <c r="C774" s="17"/>
      <c r="D774" s="17"/>
      <c r="E774" s="17"/>
      <c r="F774" s="17"/>
      <c r="G774" s="12"/>
      <c r="H774" s="12"/>
      <c r="I774" s="12"/>
      <c r="J774" s="12"/>
      <c r="K774" s="13"/>
    </row>
    <row r="775" spans="3:11" ht="12.75">
      <c r="C775" s="17"/>
      <c r="D775" s="17"/>
      <c r="E775" s="17"/>
      <c r="F775" s="17"/>
      <c r="G775" s="12"/>
      <c r="H775" s="12"/>
      <c r="I775" s="12"/>
      <c r="J775" s="12"/>
      <c r="K775" s="13"/>
    </row>
    <row r="776" spans="3:11" ht="12.75">
      <c r="C776" s="17"/>
      <c r="D776" s="17"/>
      <c r="E776" s="17"/>
      <c r="F776" s="17"/>
      <c r="G776" s="12"/>
      <c r="H776" s="12"/>
      <c r="I776" s="12"/>
      <c r="J776" s="12"/>
      <c r="K776" s="13"/>
    </row>
    <row r="777" spans="3:11" ht="12.75">
      <c r="C777" s="17"/>
      <c r="D777" s="17"/>
      <c r="E777" s="17"/>
      <c r="F777" s="17"/>
      <c r="G777" s="12"/>
      <c r="H777" s="12"/>
      <c r="I777" s="12"/>
      <c r="J777" s="12"/>
      <c r="K777" s="13"/>
    </row>
    <row r="778" spans="3:11" ht="12.75">
      <c r="C778" s="17"/>
      <c r="D778" s="17"/>
      <c r="E778" s="17"/>
      <c r="F778" s="17"/>
      <c r="G778" s="12"/>
      <c r="H778" s="12"/>
      <c r="I778" s="12"/>
      <c r="J778" s="12"/>
      <c r="K778" s="13"/>
    </row>
    <row r="779" spans="3:11" ht="12.75">
      <c r="C779" s="17"/>
      <c r="D779" s="17"/>
      <c r="E779" s="17"/>
      <c r="F779" s="17"/>
      <c r="G779" s="12"/>
      <c r="H779" s="12"/>
      <c r="I779" s="12"/>
      <c r="J779" s="12"/>
      <c r="K779" s="13"/>
    </row>
    <row r="780" spans="3:11" ht="12.75">
      <c r="C780" s="17"/>
      <c r="D780" s="17"/>
      <c r="E780" s="17"/>
      <c r="F780" s="17"/>
      <c r="G780" s="12"/>
      <c r="H780" s="12"/>
      <c r="I780" s="12"/>
      <c r="J780" s="12"/>
      <c r="K780" s="13"/>
    </row>
    <row r="781" spans="3:11" ht="12.75">
      <c r="C781" s="17"/>
      <c r="D781" s="17"/>
      <c r="E781" s="17"/>
      <c r="F781" s="17"/>
      <c r="G781" s="12"/>
      <c r="H781" s="12"/>
      <c r="I781" s="12"/>
      <c r="J781" s="12"/>
      <c r="K781" s="13"/>
    </row>
    <row r="782" spans="3:11" ht="12.75">
      <c r="C782" s="17"/>
      <c r="D782" s="17"/>
      <c r="E782" s="17"/>
      <c r="F782" s="17"/>
      <c r="G782" s="12"/>
      <c r="H782" s="12"/>
      <c r="I782" s="12"/>
      <c r="J782" s="12"/>
      <c r="K782" s="13"/>
    </row>
    <row r="783" spans="3:11" ht="12.75">
      <c r="C783" s="17"/>
      <c r="D783" s="17"/>
      <c r="E783" s="17"/>
      <c r="F783" s="17"/>
      <c r="G783" s="12"/>
      <c r="H783" s="12"/>
      <c r="I783" s="12"/>
      <c r="J783" s="12"/>
      <c r="K783" s="13"/>
    </row>
    <row r="784" spans="3:11" ht="12.75">
      <c r="C784" s="17"/>
      <c r="D784" s="17"/>
      <c r="E784" s="17"/>
      <c r="F784" s="17"/>
      <c r="G784" s="12"/>
      <c r="H784" s="12"/>
      <c r="I784" s="12"/>
      <c r="J784" s="12"/>
      <c r="K784" s="13"/>
    </row>
    <row r="785" spans="3:11" ht="12.75">
      <c r="C785" s="17"/>
      <c r="D785" s="17"/>
      <c r="E785" s="17"/>
      <c r="F785" s="17"/>
      <c r="G785" s="12"/>
      <c r="H785" s="12"/>
      <c r="I785" s="12"/>
      <c r="J785" s="12"/>
      <c r="K785" s="13"/>
    </row>
    <row r="786" spans="3:11" ht="12.75">
      <c r="C786" s="17"/>
      <c r="D786" s="17"/>
      <c r="E786" s="17"/>
      <c r="F786" s="17"/>
      <c r="G786" s="12"/>
      <c r="H786" s="12"/>
      <c r="I786" s="12"/>
      <c r="J786" s="12"/>
      <c r="K786" s="13"/>
    </row>
    <row r="787" spans="3:11" ht="12.75">
      <c r="C787" s="17"/>
      <c r="D787" s="17"/>
      <c r="E787" s="17"/>
      <c r="F787" s="17"/>
      <c r="G787" s="12"/>
      <c r="H787" s="12"/>
      <c r="I787" s="12"/>
      <c r="J787" s="12"/>
      <c r="K787" s="13"/>
    </row>
    <row r="788" spans="3:11" ht="12.75">
      <c r="C788" s="17"/>
      <c r="D788" s="17"/>
      <c r="E788" s="17"/>
      <c r="F788" s="17"/>
      <c r="G788" s="12"/>
      <c r="H788" s="12"/>
      <c r="I788" s="12"/>
      <c r="J788" s="12"/>
      <c r="K788" s="13"/>
    </row>
    <row r="789" spans="3:11" ht="12.75">
      <c r="C789" s="17"/>
      <c r="D789" s="17"/>
      <c r="E789" s="17"/>
      <c r="F789" s="17"/>
      <c r="G789" s="12"/>
      <c r="H789" s="12"/>
      <c r="I789" s="12"/>
      <c r="J789" s="12"/>
      <c r="K789" s="13"/>
    </row>
    <row r="790" spans="3:11" ht="12.75">
      <c r="C790" s="17"/>
      <c r="D790" s="17"/>
      <c r="E790" s="17"/>
      <c r="F790" s="17"/>
      <c r="G790" s="12"/>
      <c r="H790" s="12"/>
      <c r="I790" s="12"/>
      <c r="J790" s="12"/>
      <c r="K790" s="13"/>
    </row>
    <row r="791" spans="3:11" ht="12.75">
      <c r="C791" s="17"/>
      <c r="D791" s="17"/>
      <c r="E791" s="17"/>
      <c r="F791" s="17"/>
      <c r="G791" s="12"/>
      <c r="H791" s="12"/>
      <c r="I791" s="12"/>
      <c r="J791" s="12"/>
      <c r="K791" s="13"/>
    </row>
    <row r="792" spans="3:11" ht="12.75">
      <c r="C792" s="17"/>
      <c r="D792" s="17"/>
      <c r="E792" s="17"/>
      <c r="F792" s="17"/>
      <c r="G792" s="12"/>
      <c r="H792" s="12"/>
      <c r="I792" s="12"/>
      <c r="J792" s="12"/>
      <c r="K792" s="13"/>
    </row>
    <row r="793" spans="3:11" ht="12.75">
      <c r="C793" s="17"/>
      <c r="D793" s="17"/>
      <c r="E793" s="17"/>
      <c r="F793" s="17"/>
      <c r="G793" s="12"/>
      <c r="H793" s="12"/>
      <c r="I793" s="12"/>
      <c r="J793" s="12"/>
      <c r="K793" s="13"/>
    </row>
    <row r="794" spans="3:11" ht="12.75">
      <c r="C794" s="17"/>
      <c r="D794" s="17"/>
      <c r="E794" s="17"/>
      <c r="F794" s="17"/>
      <c r="G794" s="12"/>
      <c r="H794" s="12"/>
      <c r="I794" s="12"/>
      <c r="J794" s="12"/>
      <c r="K794" s="13"/>
    </row>
    <row r="795" spans="3:11" ht="12.75">
      <c r="C795" s="17"/>
      <c r="D795" s="17"/>
      <c r="E795" s="17"/>
      <c r="F795" s="17"/>
      <c r="G795" s="12"/>
      <c r="H795" s="12"/>
      <c r="I795" s="12"/>
      <c r="J795" s="12"/>
      <c r="K795" s="13"/>
    </row>
    <row r="796" spans="3:11" ht="12.75">
      <c r="C796" s="17"/>
      <c r="D796" s="17"/>
      <c r="E796" s="17"/>
      <c r="F796" s="17"/>
      <c r="G796" s="12"/>
      <c r="H796" s="12"/>
      <c r="I796" s="12"/>
      <c r="J796" s="12"/>
      <c r="K796" s="13"/>
    </row>
    <row r="797" spans="3:11" ht="12.75">
      <c r="C797" s="17"/>
      <c r="D797" s="17"/>
      <c r="E797" s="17"/>
      <c r="F797" s="17"/>
      <c r="G797" s="12"/>
      <c r="H797" s="12"/>
      <c r="I797" s="12"/>
      <c r="J797" s="12"/>
      <c r="K797" s="13"/>
    </row>
    <row r="798" spans="3:11" ht="12.75">
      <c r="C798" s="17"/>
      <c r="D798" s="17"/>
      <c r="E798" s="17"/>
      <c r="F798" s="17"/>
      <c r="G798" s="12"/>
      <c r="H798" s="12"/>
      <c r="I798" s="12"/>
      <c r="J798" s="12"/>
      <c r="K798" s="13"/>
    </row>
    <row r="799" spans="3:11" ht="12.75">
      <c r="C799" s="17"/>
      <c r="D799" s="17"/>
      <c r="E799" s="17"/>
      <c r="F799" s="17"/>
      <c r="G799" s="12"/>
      <c r="H799" s="12"/>
      <c r="I799" s="12"/>
      <c r="J799" s="12"/>
      <c r="K799" s="13"/>
    </row>
    <row r="800" spans="3:11" ht="12.75">
      <c r="C800" s="17"/>
      <c r="D800" s="17"/>
      <c r="E800" s="17"/>
      <c r="F800" s="17"/>
      <c r="G800" s="12"/>
      <c r="H800" s="12"/>
      <c r="I800" s="12"/>
      <c r="J800" s="12"/>
      <c r="K800" s="13"/>
    </row>
    <row r="801" spans="3:11" ht="12.75">
      <c r="C801" s="17"/>
      <c r="D801" s="17"/>
      <c r="E801" s="17"/>
      <c r="F801" s="17"/>
      <c r="G801" s="12"/>
      <c r="H801" s="12"/>
      <c r="I801" s="12"/>
      <c r="J801" s="12"/>
      <c r="K801" s="13"/>
    </row>
    <row r="802" spans="3:11" ht="12.75">
      <c r="C802" s="17"/>
      <c r="D802" s="17"/>
      <c r="E802" s="17"/>
      <c r="F802" s="17"/>
      <c r="G802" s="12"/>
      <c r="H802" s="12"/>
      <c r="I802" s="12"/>
      <c r="J802" s="12"/>
      <c r="K802" s="13"/>
    </row>
    <row r="803" spans="3:11" ht="12.75">
      <c r="C803" s="17"/>
      <c r="D803" s="17"/>
      <c r="E803" s="17"/>
      <c r="F803" s="17"/>
      <c r="G803" s="12"/>
      <c r="H803" s="12"/>
      <c r="I803" s="12"/>
      <c r="J803" s="12"/>
      <c r="K803" s="13"/>
    </row>
    <row r="804" spans="3:11" ht="12.75">
      <c r="C804" s="17"/>
      <c r="D804" s="17"/>
      <c r="E804" s="17"/>
      <c r="F804" s="17"/>
      <c r="G804" s="12"/>
      <c r="H804" s="12"/>
      <c r="I804" s="12"/>
      <c r="J804" s="12"/>
      <c r="K804" s="13"/>
    </row>
    <row r="805" spans="3:11" ht="12.75">
      <c r="C805" s="17"/>
      <c r="D805" s="17"/>
      <c r="E805" s="17"/>
      <c r="F805" s="17"/>
      <c r="G805" s="12"/>
      <c r="H805" s="12"/>
      <c r="I805" s="12"/>
      <c r="J805" s="12"/>
      <c r="K805" s="13"/>
    </row>
    <row r="806" spans="3:11" ht="12.75">
      <c r="C806" s="17"/>
      <c r="D806" s="17"/>
      <c r="E806" s="17"/>
      <c r="F806" s="17"/>
      <c r="G806" s="12"/>
      <c r="H806" s="12"/>
      <c r="I806" s="12"/>
      <c r="J806" s="12"/>
      <c r="K806" s="13"/>
    </row>
    <row r="807" spans="3:11" ht="12.75">
      <c r="C807" s="17"/>
      <c r="D807" s="17"/>
      <c r="E807" s="17"/>
      <c r="F807" s="17"/>
      <c r="G807" s="12"/>
      <c r="H807" s="12"/>
      <c r="I807" s="12"/>
      <c r="J807" s="12"/>
      <c r="K807" s="13"/>
    </row>
    <row r="808" spans="3:11" ht="12.75">
      <c r="C808" s="17"/>
      <c r="D808" s="17"/>
      <c r="E808" s="17"/>
      <c r="F808" s="17"/>
      <c r="G808" s="12"/>
      <c r="H808" s="12"/>
      <c r="I808" s="12"/>
      <c r="J808" s="12"/>
      <c r="K808" s="13"/>
    </row>
    <row r="809" spans="3:11" ht="12.75">
      <c r="C809" s="17"/>
      <c r="D809" s="17"/>
      <c r="E809" s="17"/>
      <c r="F809" s="17"/>
      <c r="G809" s="12"/>
      <c r="H809" s="12"/>
      <c r="I809" s="12"/>
      <c r="J809" s="12"/>
      <c r="K809" s="13"/>
    </row>
    <row r="810" spans="3:11" ht="12.75">
      <c r="C810" s="17"/>
      <c r="D810" s="17"/>
      <c r="E810" s="17"/>
      <c r="F810" s="17"/>
      <c r="G810" s="12"/>
      <c r="H810" s="12"/>
      <c r="I810" s="12"/>
      <c r="J810" s="12"/>
      <c r="K810" s="13"/>
    </row>
    <row r="811" spans="3:11" ht="12.75">
      <c r="C811" s="17"/>
      <c r="D811" s="17"/>
      <c r="E811" s="17"/>
      <c r="F811" s="17"/>
      <c r="G811" s="12"/>
      <c r="H811" s="12"/>
      <c r="I811" s="12"/>
      <c r="J811" s="12"/>
      <c r="K811" s="13"/>
    </row>
    <row r="812" spans="3:11" ht="12.75">
      <c r="C812" s="17"/>
      <c r="D812" s="17"/>
      <c r="E812" s="17"/>
      <c r="F812" s="17"/>
      <c r="G812" s="12"/>
      <c r="H812" s="12"/>
      <c r="I812" s="12"/>
      <c r="J812" s="12"/>
      <c r="K812" s="13"/>
    </row>
    <row r="813" spans="3:11" ht="12.75">
      <c r="C813" s="17"/>
      <c r="D813" s="34"/>
      <c r="E813" s="17"/>
      <c r="F813" s="17"/>
      <c r="G813" s="12"/>
      <c r="H813" s="12"/>
      <c r="I813" s="12"/>
      <c r="J813" s="12"/>
      <c r="K813" s="13"/>
    </row>
    <row r="814" spans="3:11" ht="12.75">
      <c r="C814" s="17"/>
      <c r="D814" s="34"/>
      <c r="E814" s="17"/>
      <c r="F814" s="17"/>
      <c r="G814" s="12"/>
      <c r="H814" s="12"/>
      <c r="I814" s="12"/>
      <c r="J814" s="12"/>
      <c r="K814" s="13"/>
    </row>
    <row r="815" spans="3:11" ht="12.75">
      <c r="C815" s="17"/>
      <c r="D815" s="34"/>
      <c r="E815" s="17"/>
      <c r="F815" s="17"/>
      <c r="G815" s="12"/>
      <c r="H815" s="12"/>
      <c r="I815" s="12"/>
      <c r="J815" s="12"/>
      <c r="K815" s="13"/>
    </row>
    <row r="816" spans="3:11" ht="12.75">
      <c r="C816" s="17"/>
      <c r="D816" s="34"/>
      <c r="E816" s="17"/>
      <c r="F816" s="17"/>
      <c r="G816" s="12"/>
      <c r="H816" s="12"/>
      <c r="I816" s="12"/>
      <c r="J816" s="12"/>
      <c r="K816" s="13"/>
    </row>
    <row r="817" spans="3:11" ht="12.75">
      <c r="C817" s="17"/>
      <c r="D817" s="34"/>
      <c r="E817" s="17"/>
      <c r="F817" s="17"/>
      <c r="G817" s="12"/>
      <c r="H817" s="12"/>
      <c r="I817" s="12"/>
      <c r="J817" s="12"/>
      <c r="K817" s="13"/>
    </row>
    <row r="818" spans="3:11" ht="12.75">
      <c r="C818" s="17"/>
      <c r="D818" s="34"/>
      <c r="E818" s="17"/>
      <c r="F818" s="17"/>
      <c r="G818" s="12"/>
      <c r="H818" s="12"/>
      <c r="I818" s="12"/>
      <c r="J818" s="12"/>
      <c r="K818" s="13"/>
    </row>
    <row r="819" spans="3:11" ht="12.75">
      <c r="C819" s="17"/>
      <c r="D819" s="34"/>
      <c r="E819" s="17"/>
      <c r="F819" s="17"/>
      <c r="G819" s="12"/>
      <c r="H819" s="12"/>
      <c r="I819" s="12"/>
      <c r="J819" s="12"/>
      <c r="K819" s="13"/>
    </row>
    <row r="820" spans="3:11" ht="12.75">
      <c r="C820" s="17"/>
      <c r="D820" s="34"/>
      <c r="E820" s="17"/>
      <c r="F820" s="17"/>
      <c r="G820" s="12"/>
      <c r="H820" s="12"/>
      <c r="I820" s="12"/>
      <c r="J820" s="12"/>
      <c r="K820" s="13"/>
    </row>
    <row r="821" spans="3:11" ht="12.75">
      <c r="C821" s="17"/>
      <c r="D821" s="34"/>
      <c r="E821" s="17"/>
      <c r="F821" s="17"/>
      <c r="G821" s="12"/>
      <c r="H821" s="12"/>
      <c r="I821" s="12"/>
      <c r="J821" s="12"/>
      <c r="K821" s="13"/>
    </row>
    <row r="822" spans="3:11" ht="12.75">
      <c r="C822" s="17"/>
      <c r="D822" s="34"/>
      <c r="E822" s="17"/>
      <c r="F822" s="17"/>
      <c r="G822" s="12"/>
      <c r="H822" s="12"/>
      <c r="I822" s="12"/>
      <c r="J822" s="12"/>
      <c r="K822" s="13"/>
    </row>
    <row r="823" spans="3:11" ht="12.75">
      <c r="C823" s="17"/>
      <c r="D823" s="34"/>
      <c r="E823" s="17"/>
      <c r="F823" s="17"/>
      <c r="G823" s="12"/>
      <c r="H823" s="12"/>
      <c r="I823" s="12"/>
      <c r="J823" s="12"/>
      <c r="K823" s="13"/>
    </row>
    <row r="824" spans="3:11" ht="12.75">
      <c r="C824" s="17"/>
      <c r="D824" s="34"/>
      <c r="E824" s="17"/>
      <c r="F824" s="17"/>
      <c r="G824" s="12"/>
      <c r="H824" s="12"/>
      <c r="I824" s="12"/>
      <c r="J824" s="12"/>
      <c r="K824" s="13"/>
    </row>
    <row r="825" spans="3:11" ht="12.75">
      <c r="C825" s="17"/>
      <c r="D825" s="34"/>
      <c r="E825" s="17"/>
      <c r="F825" s="17"/>
      <c r="G825" s="12"/>
      <c r="H825" s="12"/>
      <c r="I825" s="12"/>
      <c r="J825" s="12"/>
      <c r="K825" s="13"/>
    </row>
    <row r="826" spans="3:11" ht="12.75">
      <c r="C826" s="17"/>
      <c r="D826" s="34"/>
      <c r="E826" s="17"/>
      <c r="F826" s="17"/>
      <c r="G826" s="12"/>
      <c r="H826" s="12"/>
      <c r="I826" s="12"/>
      <c r="J826" s="12"/>
      <c r="K826" s="13"/>
    </row>
    <row r="827" spans="3:11" ht="12.75">
      <c r="C827" s="17"/>
      <c r="D827" s="34"/>
      <c r="E827" s="17"/>
      <c r="F827" s="17"/>
      <c r="G827" s="12"/>
      <c r="H827" s="12"/>
      <c r="I827" s="12"/>
      <c r="J827" s="12"/>
      <c r="K827" s="13"/>
    </row>
    <row r="828" spans="3:11" ht="12.75">
      <c r="C828" s="17"/>
      <c r="D828" s="17"/>
      <c r="E828" s="17"/>
      <c r="F828" s="17"/>
      <c r="G828" s="12"/>
      <c r="H828" s="12"/>
      <c r="I828" s="12"/>
      <c r="J828" s="12"/>
      <c r="K828" s="13"/>
    </row>
    <row r="829" spans="3:11" ht="12.75">
      <c r="C829" s="17"/>
      <c r="D829" s="17"/>
      <c r="E829" s="17"/>
      <c r="F829" s="17"/>
      <c r="G829" s="12"/>
      <c r="H829" s="12"/>
      <c r="I829" s="12"/>
      <c r="J829" s="12"/>
      <c r="K829" s="13"/>
    </row>
    <row r="830" spans="3:11" ht="12.75">
      <c r="C830" s="17"/>
      <c r="D830" s="17"/>
      <c r="E830" s="17"/>
      <c r="F830" s="17"/>
      <c r="G830" s="12"/>
      <c r="H830" s="12"/>
      <c r="I830" s="12"/>
      <c r="J830" s="12"/>
      <c r="K830" s="13"/>
    </row>
    <row r="831" spans="3:11" ht="12.75">
      <c r="C831" s="17"/>
      <c r="D831" s="17"/>
      <c r="E831" s="17"/>
      <c r="F831" s="17"/>
      <c r="G831" s="12"/>
      <c r="H831" s="12"/>
      <c r="I831" s="12"/>
      <c r="J831" s="12"/>
      <c r="K831" s="13"/>
    </row>
    <row r="832" spans="3:11" ht="12.75">
      <c r="C832" s="17"/>
      <c r="D832" s="17"/>
      <c r="E832" s="17"/>
      <c r="F832" s="17"/>
      <c r="G832" s="12"/>
      <c r="H832" s="12"/>
      <c r="I832" s="12"/>
      <c r="J832" s="12"/>
      <c r="K832" s="13"/>
    </row>
    <row r="833" spans="3:11" ht="12.75">
      <c r="C833" s="17"/>
      <c r="D833" s="17"/>
      <c r="E833" s="17"/>
      <c r="F833" s="17"/>
      <c r="G833" s="12"/>
      <c r="H833" s="12"/>
      <c r="I833" s="12"/>
      <c r="J833" s="12"/>
      <c r="K833" s="13"/>
    </row>
    <row r="834" spans="3:11" ht="12.75">
      <c r="C834" s="17"/>
      <c r="D834" s="17"/>
      <c r="E834" s="17"/>
      <c r="F834" s="17"/>
      <c r="G834" s="12"/>
      <c r="H834" s="12"/>
      <c r="I834" s="12"/>
      <c r="J834" s="12"/>
      <c r="K834" s="13"/>
    </row>
    <row r="835" spans="3:11" ht="12.75">
      <c r="C835" s="17"/>
      <c r="D835" s="17"/>
      <c r="E835" s="17"/>
      <c r="F835" s="17"/>
      <c r="G835" s="12"/>
      <c r="H835" s="12"/>
      <c r="I835" s="12"/>
      <c r="J835" s="12"/>
      <c r="K835" s="13"/>
    </row>
    <row r="836" spans="3:11" ht="12.75">
      <c r="C836" s="17"/>
      <c r="D836" s="17"/>
      <c r="E836" s="17"/>
      <c r="F836" s="17"/>
      <c r="G836" s="12"/>
      <c r="H836" s="12"/>
      <c r="I836" s="12"/>
      <c r="J836" s="12"/>
      <c r="K836" s="13"/>
    </row>
    <row r="837" spans="3:11" ht="12.75">
      <c r="C837" s="17"/>
      <c r="D837" s="17"/>
      <c r="E837" s="17"/>
      <c r="F837" s="17"/>
      <c r="G837" s="12"/>
      <c r="H837" s="12"/>
      <c r="I837" s="12"/>
      <c r="J837" s="12"/>
      <c r="K837" s="13"/>
    </row>
    <row r="838" spans="3:11" ht="12.75">
      <c r="C838" s="17"/>
      <c r="D838" s="17"/>
      <c r="E838" s="17"/>
      <c r="F838" s="17"/>
      <c r="G838" s="12"/>
      <c r="H838" s="12"/>
      <c r="I838" s="12"/>
      <c r="J838" s="12"/>
      <c r="K838" s="13"/>
    </row>
    <row r="839" spans="3:11" ht="12.75">
      <c r="C839" s="17"/>
      <c r="D839" s="17"/>
      <c r="E839" s="17"/>
      <c r="F839" s="17"/>
      <c r="G839" s="12"/>
      <c r="H839" s="12"/>
      <c r="I839" s="12"/>
      <c r="J839" s="12"/>
      <c r="K839" s="13"/>
    </row>
    <row r="840" spans="3:11" ht="12.75">
      <c r="C840" s="17"/>
      <c r="D840" s="17"/>
      <c r="E840" s="17"/>
      <c r="F840" s="17"/>
      <c r="G840" s="12"/>
      <c r="H840" s="12"/>
      <c r="I840" s="12"/>
      <c r="J840" s="12"/>
      <c r="K840" s="13"/>
    </row>
    <row r="841" spans="3:11" ht="12.75">
      <c r="C841" s="17"/>
      <c r="D841" s="17"/>
      <c r="E841" s="17"/>
      <c r="F841" s="17"/>
      <c r="G841" s="12"/>
      <c r="H841" s="12"/>
      <c r="I841" s="12"/>
      <c r="J841" s="12"/>
      <c r="K841" s="13"/>
    </row>
    <row r="842" spans="3:11" ht="12.75">
      <c r="C842" s="17"/>
      <c r="D842" s="17"/>
      <c r="E842" s="17"/>
      <c r="F842" s="17"/>
      <c r="G842" s="12"/>
      <c r="H842" s="12"/>
      <c r="I842" s="12"/>
      <c r="J842" s="12"/>
      <c r="K842" s="13"/>
    </row>
    <row r="843" spans="3:11" ht="12.75">
      <c r="C843" s="17"/>
      <c r="D843" s="17"/>
      <c r="E843" s="17"/>
      <c r="F843" s="17"/>
      <c r="G843" s="12"/>
      <c r="H843" s="12"/>
      <c r="I843" s="12"/>
      <c r="J843" s="12"/>
      <c r="K843" s="13"/>
    </row>
    <row r="844" spans="3:11" ht="12.75">
      <c r="C844" s="17"/>
      <c r="D844" s="17"/>
      <c r="E844" s="17"/>
      <c r="F844" s="17"/>
      <c r="G844" s="12"/>
      <c r="H844" s="12"/>
      <c r="I844" s="12"/>
      <c r="J844" s="12"/>
      <c r="K844" s="13"/>
    </row>
    <row r="845" spans="3:11" ht="12.75">
      <c r="C845" s="17"/>
      <c r="D845" s="17"/>
      <c r="E845" s="17"/>
      <c r="F845" s="17"/>
      <c r="G845" s="12"/>
      <c r="H845" s="12"/>
      <c r="I845" s="12"/>
      <c r="J845" s="12"/>
      <c r="K845" s="13"/>
    </row>
    <row r="846" spans="3:11" ht="12.75">
      <c r="C846" s="17"/>
      <c r="D846" s="17"/>
      <c r="E846" s="17"/>
      <c r="F846" s="17"/>
      <c r="G846" s="12"/>
      <c r="H846" s="12"/>
      <c r="I846" s="12"/>
      <c r="J846" s="12"/>
      <c r="K846" s="13"/>
    </row>
    <row r="847" spans="3:11" ht="12.75">
      <c r="C847" s="17"/>
      <c r="D847" s="17"/>
      <c r="E847" s="17"/>
      <c r="F847" s="17"/>
      <c r="G847" s="12"/>
      <c r="H847" s="12"/>
      <c r="I847" s="12"/>
      <c r="J847" s="12"/>
      <c r="K847" s="13"/>
    </row>
    <row r="848" spans="3:11" ht="12.75">
      <c r="C848" s="17"/>
      <c r="D848" s="17"/>
      <c r="E848" s="17"/>
      <c r="F848" s="17"/>
      <c r="G848" s="12"/>
      <c r="H848" s="12"/>
      <c r="I848" s="12"/>
      <c r="J848" s="12"/>
      <c r="K848" s="13"/>
    </row>
    <row r="849" spans="3:11" ht="12.75">
      <c r="C849" s="17"/>
      <c r="D849" s="17"/>
      <c r="E849" s="17"/>
      <c r="F849" s="17"/>
      <c r="G849" s="12"/>
      <c r="H849" s="12"/>
      <c r="I849" s="12"/>
      <c r="J849" s="12"/>
      <c r="K849" s="13"/>
    </row>
    <row r="850" spans="3:11" ht="12.75">
      <c r="C850" s="17"/>
      <c r="D850" s="17"/>
      <c r="E850" s="17"/>
      <c r="F850" s="17"/>
      <c r="G850" s="12"/>
      <c r="H850" s="12"/>
      <c r="I850" s="12"/>
      <c r="J850" s="12"/>
      <c r="K850" s="13"/>
    </row>
    <row r="851" spans="3:11" ht="12.75">
      <c r="C851" s="17"/>
      <c r="D851" s="17"/>
      <c r="E851" s="17"/>
      <c r="F851" s="17"/>
      <c r="G851" s="12"/>
      <c r="H851" s="12"/>
      <c r="I851" s="12"/>
      <c r="J851" s="12"/>
      <c r="K851" s="13"/>
    </row>
    <row r="852" spans="3:11" ht="12.75">
      <c r="C852" s="17"/>
      <c r="D852" s="17"/>
      <c r="E852" s="17"/>
      <c r="F852" s="17"/>
      <c r="G852" s="12"/>
      <c r="H852" s="12"/>
      <c r="I852" s="12"/>
      <c r="J852" s="12"/>
      <c r="K852" s="13"/>
    </row>
    <row r="853" spans="3:11" ht="12.75">
      <c r="C853" s="17"/>
      <c r="D853" s="17"/>
      <c r="E853" s="17"/>
      <c r="F853" s="17"/>
      <c r="G853" s="12"/>
      <c r="H853" s="12"/>
      <c r="I853" s="12"/>
      <c r="J853" s="12"/>
      <c r="K853" s="13"/>
    </row>
    <row r="854" spans="3:11" ht="12.75">
      <c r="C854" s="17"/>
      <c r="D854" s="17"/>
      <c r="E854" s="17"/>
      <c r="F854" s="17"/>
      <c r="G854" s="12"/>
      <c r="H854" s="12"/>
      <c r="I854" s="12"/>
      <c r="J854" s="12"/>
      <c r="K854" s="13"/>
    </row>
    <row r="855" spans="3:11" ht="12.75">
      <c r="C855" s="17"/>
      <c r="D855" s="17"/>
      <c r="E855" s="17"/>
      <c r="F855" s="17"/>
      <c r="G855" s="12"/>
      <c r="H855" s="12"/>
      <c r="I855" s="12"/>
      <c r="J855" s="12"/>
      <c r="K855" s="13"/>
    </row>
    <row r="856" spans="3:11" ht="12.75">
      <c r="C856" s="17"/>
      <c r="D856" s="17"/>
      <c r="E856" s="17"/>
      <c r="F856" s="17"/>
      <c r="G856" s="12"/>
      <c r="H856" s="12"/>
      <c r="I856" s="12"/>
      <c r="J856" s="12"/>
      <c r="K856" s="13"/>
    </row>
    <row r="857" spans="3:11" ht="12.75">
      <c r="C857" s="17"/>
      <c r="D857" s="17"/>
      <c r="E857" s="17"/>
      <c r="F857" s="17"/>
      <c r="G857" s="12"/>
      <c r="H857" s="12"/>
      <c r="I857" s="12"/>
      <c r="J857" s="12"/>
      <c r="K857" s="13"/>
    </row>
    <row r="858" spans="3:11" ht="12.75">
      <c r="C858" s="17"/>
      <c r="D858" s="17"/>
      <c r="E858" s="17"/>
      <c r="F858" s="17"/>
      <c r="G858" s="12"/>
      <c r="H858" s="12"/>
      <c r="I858" s="12"/>
      <c r="J858" s="12"/>
      <c r="K858" s="13"/>
    </row>
    <row r="859" spans="3:11" ht="12.75">
      <c r="C859" s="17"/>
      <c r="D859" s="17"/>
      <c r="E859" s="17"/>
      <c r="F859" s="17"/>
      <c r="G859" s="12"/>
      <c r="H859" s="12"/>
      <c r="I859" s="12"/>
      <c r="J859" s="12"/>
      <c r="K859" s="13"/>
    </row>
    <row r="860" spans="3:11" ht="12.75">
      <c r="C860" s="17"/>
      <c r="D860" s="17"/>
      <c r="E860" s="17"/>
      <c r="F860" s="17"/>
      <c r="G860" s="12"/>
      <c r="H860" s="12"/>
      <c r="I860" s="12"/>
      <c r="J860" s="12"/>
      <c r="K860" s="13"/>
    </row>
    <row r="861" spans="3:11" ht="12.75">
      <c r="C861" s="17"/>
      <c r="D861" s="17"/>
      <c r="E861" s="17"/>
      <c r="F861" s="17"/>
      <c r="G861" s="12"/>
      <c r="H861" s="12"/>
      <c r="I861" s="12"/>
      <c r="J861" s="12"/>
      <c r="K861" s="13"/>
    </row>
    <row r="862" spans="3:11" ht="12.75">
      <c r="C862" s="17"/>
      <c r="D862" s="17"/>
      <c r="E862" s="17"/>
      <c r="F862" s="17"/>
      <c r="G862" s="12"/>
      <c r="H862" s="12"/>
      <c r="I862" s="12"/>
      <c r="J862" s="12"/>
      <c r="K862" s="13"/>
    </row>
    <row r="863" spans="3:11" ht="12.75">
      <c r="C863" s="17"/>
      <c r="D863" s="17"/>
      <c r="E863" s="17"/>
      <c r="F863" s="17"/>
      <c r="G863" s="12"/>
      <c r="H863" s="12"/>
      <c r="I863" s="12"/>
      <c r="J863" s="12"/>
      <c r="K863" s="13"/>
    </row>
    <row r="864" spans="3:11" ht="12.75">
      <c r="C864" s="17"/>
      <c r="D864" s="17"/>
      <c r="E864" s="17"/>
      <c r="F864" s="17"/>
      <c r="G864" s="12"/>
      <c r="H864" s="12"/>
      <c r="I864" s="12"/>
      <c r="J864" s="12"/>
      <c r="K864" s="13"/>
    </row>
    <row r="865" spans="3:11" ht="12.75">
      <c r="C865" s="17"/>
      <c r="D865" s="17"/>
      <c r="E865" s="17"/>
      <c r="F865" s="17"/>
      <c r="G865" s="12"/>
      <c r="H865" s="12"/>
      <c r="I865" s="12"/>
      <c r="J865" s="12"/>
      <c r="K865" s="13"/>
    </row>
    <row r="866" spans="3:11" ht="12.75">
      <c r="C866" s="17"/>
      <c r="D866" s="17"/>
      <c r="E866" s="17"/>
      <c r="F866" s="17"/>
      <c r="G866" s="12"/>
      <c r="H866" s="12"/>
      <c r="I866" s="12"/>
      <c r="J866" s="12"/>
      <c r="K866" s="13"/>
    </row>
    <row r="867" spans="3:11" ht="12.75">
      <c r="C867" s="17"/>
      <c r="D867" s="17"/>
      <c r="E867" s="17"/>
      <c r="F867" s="17"/>
      <c r="G867" s="12"/>
      <c r="H867" s="12"/>
      <c r="I867" s="12"/>
      <c r="J867" s="12"/>
      <c r="K867" s="13"/>
    </row>
    <row r="868" spans="3:11" ht="12.75">
      <c r="C868" s="17"/>
      <c r="D868" s="17"/>
      <c r="E868" s="17"/>
      <c r="F868" s="17"/>
      <c r="G868" s="12"/>
      <c r="H868" s="12"/>
      <c r="I868" s="12"/>
      <c r="J868" s="12"/>
      <c r="K868" s="13"/>
    </row>
    <row r="869" spans="3:11" ht="12.75">
      <c r="C869" s="17"/>
      <c r="D869" s="17"/>
      <c r="E869" s="17"/>
      <c r="F869" s="17"/>
      <c r="G869" s="12"/>
      <c r="H869" s="12"/>
      <c r="I869" s="12"/>
      <c r="J869" s="12"/>
      <c r="K869" s="13"/>
    </row>
    <row r="870" spans="3:11" ht="12.75">
      <c r="C870" s="17"/>
      <c r="D870" s="17"/>
      <c r="E870" s="17"/>
      <c r="F870" s="17"/>
      <c r="G870" s="12"/>
      <c r="H870" s="12"/>
      <c r="I870" s="12"/>
      <c r="J870" s="12"/>
      <c r="K870" s="13"/>
    </row>
    <row r="871" spans="3:11" ht="12.75">
      <c r="C871" s="17"/>
      <c r="D871" s="17"/>
      <c r="E871" s="17"/>
      <c r="F871" s="17"/>
      <c r="G871" s="12"/>
      <c r="H871" s="12"/>
      <c r="I871" s="12"/>
      <c r="J871" s="12"/>
      <c r="K871" s="13"/>
    </row>
    <row r="872" spans="3:11" ht="12.75">
      <c r="C872" s="17"/>
      <c r="D872" s="17"/>
      <c r="E872" s="17"/>
      <c r="F872" s="17"/>
      <c r="G872" s="12"/>
      <c r="H872" s="12"/>
      <c r="I872" s="12"/>
      <c r="J872" s="12"/>
      <c r="K872" s="13"/>
    </row>
    <row r="873" spans="3:11" ht="12.75">
      <c r="C873" s="17"/>
      <c r="D873" s="17"/>
      <c r="E873" s="17"/>
      <c r="F873" s="17"/>
      <c r="G873" s="12"/>
      <c r="H873" s="12"/>
      <c r="I873" s="12"/>
      <c r="J873" s="12"/>
      <c r="K873" s="13"/>
    </row>
    <row r="874" spans="3:11" ht="12.75">
      <c r="C874" s="17"/>
      <c r="D874" s="17"/>
      <c r="E874" s="17"/>
      <c r="F874" s="17"/>
      <c r="G874" s="12"/>
      <c r="H874" s="12"/>
      <c r="I874" s="12"/>
      <c r="J874" s="12"/>
      <c r="K874" s="13"/>
    </row>
    <row r="875" spans="3:11" ht="12.75">
      <c r="C875" s="17"/>
      <c r="D875" s="17"/>
      <c r="E875" s="17"/>
      <c r="F875" s="17"/>
      <c r="G875" s="12"/>
      <c r="H875" s="12"/>
      <c r="I875" s="12"/>
      <c r="J875" s="12"/>
      <c r="K875" s="13"/>
    </row>
    <row r="876" spans="3:11" ht="12.75">
      <c r="C876" s="17"/>
      <c r="D876" s="17"/>
      <c r="E876" s="17"/>
      <c r="F876" s="17"/>
      <c r="G876" s="12"/>
      <c r="H876" s="12"/>
      <c r="I876" s="12"/>
      <c r="J876" s="12"/>
      <c r="K876" s="13"/>
    </row>
    <row r="877" spans="3:11" ht="12.75">
      <c r="C877" s="17"/>
      <c r="D877" s="17"/>
      <c r="E877" s="17"/>
      <c r="F877" s="17"/>
      <c r="G877" s="12"/>
      <c r="H877" s="12"/>
      <c r="I877" s="12"/>
      <c r="J877" s="12"/>
      <c r="K877" s="13"/>
    </row>
    <row r="878" spans="3:11" ht="12.75">
      <c r="C878" s="17"/>
      <c r="D878" s="17"/>
      <c r="E878" s="17"/>
      <c r="F878" s="17"/>
      <c r="G878" s="12"/>
      <c r="H878" s="12"/>
      <c r="I878" s="12"/>
      <c r="J878" s="12"/>
      <c r="K878" s="13"/>
    </row>
    <row r="879" spans="3:11" ht="12.75">
      <c r="C879" s="17"/>
      <c r="D879" s="17"/>
      <c r="E879" s="17"/>
      <c r="F879" s="17"/>
      <c r="G879" s="12"/>
      <c r="H879" s="12"/>
      <c r="I879" s="12"/>
      <c r="J879" s="12"/>
      <c r="K879" s="13"/>
    </row>
    <row r="880" spans="3:11" ht="12.75">
      <c r="C880" s="17"/>
      <c r="D880" s="17"/>
      <c r="E880" s="17"/>
      <c r="F880" s="17"/>
      <c r="G880" s="12"/>
      <c r="H880" s="12"/>
      <c r="I880" s="12"/>
      <c r="J880" s="12"/>
      <c r="K880" s="13"/>
    </row>
    <row r="881" spans="3:11" ht="12.75">
      <c r="C881" s="17"/>
      <c r="D881" s="17"/>
      <c r="E881" s="17"/>
      <c r="F881" s="17"/>
      <c r="G881" s="12"/>
      <c r="H881" s="12"/>
      <c r="I881" s="12"/>
      <c r="J881" s="12"/>
      <c r="K881" s="13"/>
    </row>
    <row r="882" spans="3:11" ht="12.75">
      <c r="C882" s="17"/>
      <c r="D882" s="17"/>
      <c r="E882" s="17"/>
      <c r="F882" s="17"/>
      <c r="G882" s="12"/>
      <c r="H882" s="12"/>
      <c r="I882" s="12"/>
      <c r="J882" s="12"/>
      <c r="K882" s="13"/>
    </row>
    <row r="883" spans="3:11" ht="12.75">
      <c r="C883" s="17"/>
      <c r="D883" s="17"/>
      <c r="E883" s="17"/>
      <c r="F883" s="17"/>
      <c r="G883" s="12"/>
      <c r="H883" s="12"/>
      <c r="I883" s="12"/>
      <c r="J883" s="12"/>
      <c r="K883" s="13"/>
    </row>
    <row r="884" spans="3:11" ht="12.75">
      <c r="C884" s="17"/>
      <c r="D884" s="17"/>
      <c r="E884" s="17"/>
      <c r="F884" s="17"/>
      <c r="G884" s="12"/>
      <c r="H884" s="12"/>
      <c r="I884" s="12"/>
      <c r="J884" s="12"/>
      <c r="K884" s="13"/>
    </row>
    <row r="885" spans="3:11" ht="12.75">
      <c r="C885" s="17"/>
      <c r="D885" s="17"/>
      <c r="E885" s="17"/>
      <c r="F885" s="17"/>
      <c r="G885" s="12"/>
      <c r="H885" s="12"/>
      <c r="I885" s="12"/>
      <c r="J885" s="12"/>
      <c r="K885" s="13"/>
    </row>
    <row r="886" spans="3:11" ht="12.75">
      <c r="C886" s="17"/>
      <c r="D886" s="17"/>
      <c r="E886" s="17"/>
      <c r="F886" s="17"/>
      <c r="G886" s="12"/>
      <c r="H886" s="12"/>
      <c r="I886" s="12"/>
      <c r="J886" s="12"/>
      <c r="K886" s="13"/>
    </row>
    <row r="887" spans="3:11" ht="12.75">
      <c r="C887" s="17"/>
      <c r="D887" s="17"/>
      <c r="E887" s="17"/>
      <c r="F887" s="17"/>
      <c r="G887" s="12"/>
      <c r="H887" s="12"/>
      <c r="I887" s="12"/>
      <c r="J887" s="12"/>
      <c r="K887" s="13"/>
    </row>
    <row r="888" spans="3:11" ht="12.75">
      <c r="C888" s="17"/>
      <c r="D888" s="17"/>
      <c r="E888" s="17"/>
      <c r="F888" s="17"/>
      <c r="G888" s="12"/>
      <c r="H888" s="12"/>
      <c r="I888" s="12"/>
      <c r="J888" s="12"/>
      <c r="K888" s="13"/>
    </row>
    <row r="889" spans="3:11" ht="12.75">
      <c r="C889" s="17"/>
      <c r="D889" s="17"/>
      <c r="E889" s="17"/>
      <c r="F889" s="17"/>
      <c r="G889" s="12"/>
      <c r="H889" s="12"/>
      <c r="I889" s="12"/>
      <c r="J889" s="12"/>
      <c r="K889" s="13"/>
    </row>
    <row r="890" spans="3:11" ht="12.75">
      <c r="C890" s="17"/>
      <c r="D890" s="17"/>
      <c r="E890" s="17"/>
      <c r="F890" s="17"/>
      <c r="G890" s="12"/>
      <c r="H890" s="12"/>
      <c r="I890" s="12"/>
      <c r="J890" s="12"/>
      <c r="K890" s="13"/>
    </row>
    <row r="891" spans="3:11" ht="12.75">
      <c r="C891" s="17"/>
      <c r="D891" s="17"/>
      <c r="E891" s="17"/>
      <c r="F891" s="17"/>
      <c r="G891" s="12"/>
      <c r="H891" s="12"/>
      <c r="I891" s="12"/>
      <c r="J891" s="12"/>
      <c r="K891" s="13"/>
    </row>
    <row r="892" spans="3:11" ht="12.75">
      <c r="C892" s="17"/>
      <c r="D892" s="17"/>
      <c r="E892" s="17"/>
      <c r="F892" s="17"/>
      <c r="G892" s="12"/>
      <c r="H892" s="12"/>
      <c r="I892" s="12"/>
      <c r="J892" s="12"/>
      <c r="K892" s="13"/>
    </row>
    <row r="893" spans="3:11" ht="12.75">
      <c r="C893" s="17"/>
      <c r="D893" s="17"/>
      <c r="E893" s="17"/>
      <c r="F893" s="17"/>
      <c r="G893" s="12"/>
      <c r="H893" s="12"/>
      <c r="I893" s="12"/>
      <c r="J893" s="12"/>
      <c r="K893" s="13"/>
    </row>
    <row r="894" spans="3:11" ht="12.75">
      <c r="C894" s="17"/>
      <c r="D894" s="17"/>
      <c r="E894" s="17"/>
      <c r="F894" s="17"/>
      <c r="G894" s="12"/>
      <c r="H894" s="12"/>
      <c r="I894" s="12"/>
      <c r="J894" s="12"/>
      <c r="K894" s="13"/>
    </row>
    <row r="895" spans="3:11" ht="12.75">
      <c r="C895" s="17"/>
      <c r="D895" s="17"/>
      <c r="E895" s="17"/>
      <c r="F895" s="17"/>
      <c r="G895" s="12"/>
      <c r="H895" s="12"/>
      <c r="I895" s="12"/>
      <c r="J895" s="12"/>
      <c r="K895" s="13"/>
    </row>
    <row r="896" spans="3:11" ht="12.75">
      <c r="C896" s="17"/>
      <c r="D896" s="17"/>
      <c r="E896" s="17"/>
      <c r="F896" s="17"/>
      <c r="G896" s="12"/>
      <c r="H896" s="12"/>
      <c r="I896" s="12"/>
      <c r="J896" s="12"/>
      <c r="K896" s="13"/>
    </row>
    <row r="897" spans="3:11" ht="12.75">
      <c r="C897" s="17"/>
      <c r="D897" s="17"/>
      <c r="E897" s="17"/>
      <c r="F897" s="17"/>
      <c r="G897" s="12"/>
      <c r="H897" s="12"/>
      <c r="I897" s="12"/>
      <c r="J897" s="12"/>
      <c r="K897" s="13"/>
    </row>
    <row r="898" spans="3:11" ht="12.75">
      <c r="C898" s="17"/>
      <c r="D898" s="17"/>
      <c r="E898" s="17"/>
      <c r="F898" s="17"/>
      <c r="G898" s="12"/>
      <c r="H898" s="12"/>
      <c r="I898" s="12"/>
      <c r="J898" s="12"/>
      <c r="K898" s="13"/>
    </row>
    <row r="899" spans="3:11" ht="12.75">
      <c r="C899" s="17"/>
      <c r="D899" s="17"/>
      <c r="E899" s="17"/>
      <c r="F899" s="17"/>
      <c r="G899" s="12"/>
      <c r="H899" s="12"/>
      <c r="I899" s="12"/>
      <c r="J899" s="12"/>
      <c r="K899" s="13"/>
    </row>
    <row r="900" spans="3:11" ht="12.75">
      <c r="C900" s="17"/>
      <c r="D900" s="17"/>
      <c r="E900" s="17"/>
      <c r="F900" s="17"/>
      <c r="G900" s="12"/>
      <c r="H900" s="12"/>
      <c r="I900" s="12"/>
      <c r="J900" s="12"/>
      <c r="K900" s="13"/>
    </row>
    <row r="901" spans="3:11" ht="12.75">
      <c r="C901" s="17"/>
      <c r="D901" s="17"/>
      <c r="E901" s="17"/>
      <c r="F901" s="17"/>
      <c r="G901" s="12"/>
      <c r="H901" s="12"/>
      <c r="I901" s="12"/>
      <c r="J901" s="12"/>
      <c r="K901" s="13"/>
    </row>
    <row r="902" spans="3:11" ht="12.75">
      <c r="C902" s="17"/>
      <c r="D902" s="17"/>
      <c r="E902" s="17"/>
      <c r="F902" s="17"/>
      <c r="G902" s="12"/>
      <c r="H902" s="12"/>
      <c r="I902" s="12"/>
      <c r="J902" s="12"/>
      <c r="K902" s="13"/>
    </row>
    <row r="903" spans="3:11" ht="12.75">
      <c r="C903" s="17"/>
      <c r="D903" s="17"/>
      <c r="E903" s="17"/>
      <c r="F903" s="17"/>
      <c r="G903" s="12"/>
      <c r="H903" s="12"/>
      <c r="I903" s="12"/>
      <c r="J903" s="12"/>
      <c r="K903" s="13"/>
    </row>
    <row r="904" spans="3:11" ht="12.75">
      <c r="C904" s="17"/>
      <c r="D904" s="17"/>
      <c r="E904" s="17"/>
      <c r="F904" s="17"/>
      <c r="G904" s="12"/>
      <c r="H904" s="12"/>
      <c r="I904" s="12"/>
      <c r="J904" s="12"/>
      <c r="K904" s="13"/>
    </row>
    <row r="905" spans="3:11" ht="12.75">
      <c r="C905" s="17"/>
      <c r="D905" s="17"/>
      <c r="E905" s="17"/>
      <c r="F905" s="17"/>
      <c r="G905" s="12"/>
      <c r="H905" s="12"/>
      <c r="I905" s="12"/>
      <c r="J905" s="12"/>
      <c r="K905" s="13"/>
    </row>
    <row r="906" spans="3:11" ht="12.75">
      <c r="C906" s="17"/>
      <c r="D906" s="17"/>
      <c r="E906" s="17"/>
      <c r="F906" s="17"/>
      <c r="G906" s="12"/>
      <c r="H906" s="12"/>
      <c r="I906" s="12"/>
      <c r="J906" s="12"/>
      <c r="K906" s="13"/>
    </row>
    <row r="907" spans="3:11" ht="12.75">
      <c r="C907" s="17"/>
      <c r="D907" s="17"/>
      <c r="E907" s="17"/>
      <c r="F907" s="17"/>
      <c r="G907" s="12"/>
      <c r="H907" s="12"/>
      <c r="I907" s="12"/>
      <c r="J907" s="12"/>
      <c r="K907" s="13"/>
    </row>
    <row r="908" spans="3:11" ht="12.75">
      <c r="C908" s="17"/>
      <c r="D908" s="17"/>
      <c r="E908" s="17"/>
      <c r="F908" s="17"/>
      <c r="G908" s="12"/>
      <c r="H908" s="12"/>
      <c r="I908" s="12"/>
      <c r="J908" s="12"/>
      <c r="K908" s="13"/>
    </row>
    <row r="909" spans="3:11" ht="12.75">
      <c r="C909" s="17"/>
      <c r="D909" s="17"/>
      <c r="E909" s="17"/>
      <c r="F909" s="17"/>
      <c r="G909" s="12"/>
      <c r="H909" s="12"/>
      <c r="I909" s="12"/>
      <c r="J909" s="12"/>
      <c r="K909" s="13"/>
    </row>
    <row r="910" spans="3:11" ht="12.75">
      <c r="C910" s="17"/>
      <c r="D910" s="17"/>
      <c r="E910" s="17"/>
      <c r="F910" s="17"/>
      <c r="G910" s="12"/>
      <c r="H910" s="12"/>
      <c r="I910" s="12"/>
      <c r="J910" s="12"/>
      <c r="K910" s="13"/>
    </row>
    <row r="911" spans="3:11" ht="12.75">
      <c r="C911" s="17"/>
      <c r="D911" s="17"/>
      <c r="E911" s="17"/>
      <c r="F911" s="17"/>
      <c r="G911" s="12"/>
      <c r="H911" s="12"/>
      <c r="I911" s="12"/>
      <c r="J911" s="12"/>
      <c r="K911" s="13"/>
    </row>
    <row r="912" spans="3:11" ht="12.75">
      <c r="C912" s="17"/>
      <c r="D912" s="17"/>
      <c r="E912" s="17"/>
      <c r="F912" s="17"/>
      <c r="G912" s="12"/>
      <c r="H912" s="12"/>
      <c r="I912" s="12"/>
      <c r="J912" s="12"/>
      <c r="K912" s="13"/>
    </row>
    <row r="913" spans="3:11" ht="12.75">
      <c r="C913" s="17"/>
      <c r="D913" s="17"/>
      <c r="E913" s="17"/>
      <c r="F913" s="17"/>
      <c r="G913" s="12"/>
      <c r="H913" s="12"/>
      <c r="I913" s="12"/>
      <c r="J913" s="12"/>
      <c r="K913" s="13"/>
    </row>
    <row r="914" spans="3:11" ht="12.75">
      <c r="C914" s="17"/>
      <c r="D914" s="17"/>
      <c r="E914" s="17"/>
      <c r="F914" s="17"/>
      <c r="G914" s="12"/>
      <c r="H914" s="12"/>
      <c r="I914" s="12"/>
      <c r="J914" s="12"/>
      <c r="K914" s="13"/>
    </row>
    <row r="915" spans="3:11" ht="12.75">
      <c r="C915" s="17"/>
      <c r="D915" s="17"/>
      <c r="E915" s="17"/>
      <c r="F915" s="17"/>
      <c r="G915" s="12"/>
      <c r="H915" s="12"/>
      <c r="I915" s="12"/>
      <c r="J915" s="12"/>
      <c r="K915" s="13"/>
    </row>
    <row r="916" spans="3:11" ht="12.75">
      <c r="C916" s="17"/>
      <c r="D916" s="17"/>
      <c r="E916" s="17"/>
      <c r="F916" s="17"/>
      <c r="G916" s="12"/>
      <c r="H916" s="12"/>
      <c r="I916" s="12"/>
      <c r="J916" s="12"/>
      <c r="K916" s="13"/>
    </row>
    <row r="917" spans="3:11" ht="12.75">
      <c r="C917" s="17"/>
      <c r="D917" s="17"/>
      <c r="E917" s="17"/>
      <c r="F917" s="17"/>
      <c r="G917" s="12"/>
      <c r="H917" s="12"/>
      <c r="I917" s="12"/>
      <c r="J917" s="12"/>
      <c r="K917" s="13"/>
    </row>
    <row r="918" spans="3:11" ht="12.75">
      <c r="C918" s="17"/>
      <c r="D918" s="17"/>
      <c r="E918" s="17"/>
      <c r="F918" s="17"/>
      <c r="G918" s="12"/>
      <c r="H918" s="12"/>
      <c r="I918" s="12"/>
      <c r="J918" s="12"/>
      <c r="K918" s="13"/>
    </row>
    <row r="919" spans="3:11" ht="12.75">
      <c r="C919" s="17"/>
      <c r="D919" s="17"/>
      <c r="E919" s="17"/>
      <c r="F919" s="17"/>
      <c r="G919" s="12"/>
      <c r="H919" s="12"/>
      <c r="I919" s="12"/>
      <c r="J919" s="12"/>
      <c r="K919" s="13"/>
    </row>
    <row r="920" spans="3:11" ht="12.75">
      <c r="C920" s="17"/>
      <c r="D920" s="17"/>
      <c r="E920" s="17"/>
      <c r="F920" s="17"/>
      <c r="G920" s="12"/>
      <c r="H920" s="12"/>
      <c r="I920" s="12"/>
      <c r="J920" s="12"/>
      <c r="K920" s="13"/>
    </row>
    <row r="921" spans="3:11" ht="12.75">
      <c r="C921" s="17"/>
      <c r="D921" s="17"/>
      <c r="E921" s="17"/>
      <c r="F921" s="17"/>
      <c r="G921" s="12"/>
      <c r="H921" s="12"/>
      <c r="I921" s="12"/>
      <c r="J921" s="12"/>
      <c r="K921" s="13"/>
    </row>
    <row r="922" spans="3:11" ht="12.75">
      <c r="C922" s="17"/>
      <c r="D922" s="17"/>
      <c r="E922" s="17"/>
      <c r="F922" s="17"/>
      <c r="G922" s="12"/>
      <c r="H922" s="12"/>
      <c r="I922" s="12"/>
      <c r="J922" s="12"/>
      <c r="K922" s="13"/>
    </row>
    <row r="923" spans="3:11" ht="12.75">
      <c r="C923" s="17"/>
      <c r="D923" s="17"/>
      <c r="E923" s="17"/>
      <c r="F923" s="17"/>
      <c r="G923" s="12"/>
      <c r="H923" s="12"/>
      <c r="I923" s="12"/>
      <c r="J923" s="12"/>
      <c r="K923" s="13"/>
    </row>
    <row r="924" spans="3:11" ht="12.75">
      <c r="C924" s="17"/>
      <c r="D924" s="17"/>
      <c r="E924" s="17"/>
      <c r="F924" s="17"/>
      <c r="G924" s="12"/>
      <c r="H924" s="12"/>
      <c r="I924" s="12"/>
      <c r="J924" s="12"/>
      <c r="K924" s="13"/>
    </row>
    <row r="925" spans="3:11" ht="12.75">
      <c r="C925" s="17"/>
      <c r="D925" s="17"/>
      <c r="E925" s="17"/>
      <c r="F925" s="17"/>
      <c r="G925" s="12"/>
      <c r="H925" s="12"/>
      <c r="I925" s="12"/>
      <c r="J925" s="12"/>
      <c r="K925" s="13"/>
    </row>
    <row r="926" spans="3:11" ht="12.75">
      <c r="C926" s="17"/>
      <c r="D926" s="17"/>
      <c r="E926" s="17"/>
      <c r="F926" s="17"/>
      <c r="G926" s="12"/>
      <c r="H926" s="12"/>
      <c r="I926" s="12"/>
      <c r="J926" s="12"/>
      <c r="K926" s="13"/>
    </row>
    <row r="927" spans="3:11" ht="12.75">
      <c r="C927" s="17"/>
      <c r="D927" s="17"/>
      <c r="E927" s="17"/>
      <c r="F927" s="17"/>
      <c r="G927" s="12"/>
      <c r="H927" s="12"/>
      <c r="I927" s="12"/>
      <c r="J927" s="12"/>
      <c r="K927" s="13"/>
    </row>
    <row r="928" spans="3:11" ht="12.75">
      <c r="C928" s="17"/>
      <c r="D928" s="17"/>
      <c r="E928" s="17"/>
      <c r="F928" s="17"/>
      <c r="G928" s="12"/>
      <c r="H928" s="12"/>
      <c r="I928" s="12"/>
      <c r="J928" s="12"/>
      <c r="K928" s="13"/>
    </row>
    <row r="929" spans="3:11" ht="12.75">
      <c r="C929" s="17"/>
      <c r="D929" s="17"/>
      <c r="E929" s="17"/>
      <c r="F929" s="17"/>
      <c r="G929" s="12"/>
      <c r="H929" s="12"/>
      <c r="I929" s="12"/>
      <c r="J929" s="12"/>
      <c r="K929" s="13"/>
    </row>
    <row r="930" spans="3:11" ht="12.75">
      <c r="C930" s="17"/>
      <c r="D930" s="17"/>
      <c r="E930" s="17"/>
      <c r="F930" s="17"/>
      <c r="G930" s="12"/>
      <c r="H930" s="12"/>
      <c r="I930" s="12"/>
      <c r="J930" s="12"/>
      <c r="K930" s="13"/>
    </row>
    <row r="931" spans="3:11" ht="12.75">
      <c r="C931" s="17"/>
      <c r="D931" s="17"/>
      <c r="E931" s="17"/>
      <c r="F931" s="17"/>
      <c r="G931" s="12"/>
      <c r="H931" s="12"/>
      <c r="I931" s="12"/>
      <c r="J931" s="12"/>
      <c r="K931" s="13"/>
    </row>
    <row r="932" spans="3:11" ht="12.75">
      <c r="C932" s="17"/>
      <c r="D932" s="17"/>
      <c r="E932" s="17"/>
      <c r="F932" s="17"/>
      <c r="G932" s="12"/>
      <c r="H932" s="12"/>
      <c r="I932" s="12"/>
      <c r="J932" s="12"/>
      <c r="K932" s="13"/>
    </row>
    <row r="933" spans="3:11" ht="12.75">
      <c r="C933" s="17"/>
      <c r="D933" s="17"/>
      <c r="E933" s="17"/>
      <c r="F933" s="17"/>
      <c r="G933" s="12"/>
      <c r="H933" s="12"/>
      <c r="I933" s="12"/>
      <c r="J933" s="12"/>
      <c r="K933" s="13"/>
    </row>
    <row r="934" spans="3:11" ht="12.75">
      <c r="C934" s="17"/>
      <c r="D934" s="17"/>
      <c r="E934" s="17"/>
      <c r="F934" s="17"/>
      <c r="G934" s="12"/>
      <c r="H934" s="12"/>
      <c r="I934" s="12"/>
      <c r="J934" s="12"/>
      <c r="K934" s="13"/>
    </row>
    <row r="935" spans="3:11" ht="12.75">
      <c r="C935" s="17"/>
      <c r="D935" s="17"/>
      <c r="E935" s="17"/>
      <c r="F935" s="17"/>
      <c r="G935" s="12"/>
      <c r="H935" s="12"/>
      <c r="I935" s="12"/>
      <c r="J935" s="12"/>
      <c r="K935" s="13"/>
    </row>
    <row r="936" spans="3:11" ht="12.75">
      <c r="C936" s="17"/>
      <c r="D936" s="17"/>
      <c r="E936" s="17"/>
      <c r="F936" s="17"/>
      <c r="G936" s="12"/>
      <c r="H936" s="12"/>
      <c r="I936" s="12"/>
      <c r="J936" s="12"/>
      <c r="K936" s="13"/>
    </row>
    <row r="937" spans="3:11" ht="12.75">
      <c r="C937" s="17"/>
      <c r="D937" s="17"/>
      <c r="E937" s="17"/>
      <c r="F937" s="17"/>
      <c r="G937" s="12"/>
      <c r="H937" s="12"/>
      <c r="I937" s="12"/>
      <c r="J937" s="12"/>
      <c r="K937" s="13"/>
    </row>
    <row r="938" spans="3:11" ht="12.75">
      <c r="C938" s="17"/>
      <c r="D938" s="17"/>
      <c r="E938" s="17"/>
      <c r="F938" s="17"/>
      <c r="G938" s="12"/>
      <c r="H938" s="12"/>
      <c r="I938" s="12"/>
      <c r="J938" s="12"/>
      <c r="K938" s="13"/>
    </row>
    <row r="939" spans="3:11" ht="12.75">
      <c r="C939" s="17"/>
      <c r="D939" s="17"/>
      <c r="E939" s="17"/>
      <c r="F939" s="17"/>
      <c r="G939" s="12"/>
      <c r="H939" s="12"/>
      <c r="I939" s="12"/>
      <c r="J939" s="12"/>
      <c r="K939" s="13"/>
    </row>
    <row r="940" spans="3:11" ht="12.75">
      <c r="C940" s="17"/>
      <c r="D940" s="17"/>
      <c r="E940" s="17"/>
      <c r="F940" s="17"/>
      <c r="G940" s="12"/>
      <c r="H940" s="12"/>
      <c r="I940" s="12"/>
      <c r="J940" s="12"/>
      <c r="K940" s="13"/>
    </row>
    <row r="941" spans="3:11" ht="12.75">
      <c r="C941" s="17"/>
      <c r="D941" s="17"/>
      <c r="E941" s="17"/>
      <c r="F941" s="17"/>
      <c r="G941" s="12"/>
      <c r="H941" s="12"/>
      <c r="I941" s="12"/>
      <c r="J941" s="12"/>
      <c r="K941" s="13"/>
    </row>
    <row r="942" spans="3:11" ht="12.75">
      <c r="C942" s="17"/>
      <c r="D942" s="17"/>
      <c r="E942" s="17"/>
      <c r="F942" s="17"/>
      <c r="G942" s="12"/>
      <c r="H942" s="12"/>
      <c r="I942" s="12"/>
      <c r="J942" s="12"/>
      <c r="K942" s="13"/>
    </row>
    <row r="943" spans="3:11" ht="12.75">
      <c r="C943" s="17"/>
      <c r="D943" s="17"/>
      <c r="E943" s="17"/>
      <c r="F943" s="17"/>
      <c r="G943" s="12"/>
      <c r="H943" s="12"/>
      <c r="I943" s="12"/>
      <c r="J943" s="12"/>
      <c r="K943" s="13"/>
    </row>
    <row r="944" spans="3:11" ht="12.75">
      <c r="C944" s="17"/>
      <c r="D944" s="17"/>
      <c r="E944" s="17"/>
      <c r="F944" s="17"/>
      <c r="G944" s="12"/>
      <c r="H944" s="12"/>
      <c r="I944" s="12"/>
      <c r="J944" s="12"/>
      <c r="K944" s="13"/>
    </row>
    <row r="945" spans="3:11" ht="12.75">
      <c r="C945" s="17"/>
      <c r="D945" s="17"/>
      <c r="E945" s="17"/>
      <c r="F945" s="17"/>
      <c r="G945" s="12"/>
      <c r="H945" s="12"/>
      <c r="I945" s="12"/>
      <c r="J945" s="12"/>
      <c r="K945" s="13"/>
    </row>
    <row r="946" spans="3:11" ht="12.75">
      <c r="C946" s="17"/>
      <c r="D946" s="17"/>
      <c r="E946" s="17"/>
      <c r="F946" s="17"/>
      <c r="G946" s="12"/>
      <c r="H946" s="12"/>
      <c r="I946" s="12"/>
      <c r="J946" s="12"/>
      <c r="K946" s="13"/>
    </row>
    <row r="947" spans="3:11" ht="12.75">
      <c r="C947" s="17"/>
      <c r="D947" s="17"/>
      <c r="E947" s="17"/>
      <c r="F947" s="17"/>
      <c r="G947" s="12"/>
      <c r="H947" s="12"/>
      <c r="I947" s="12"/>
      <c r="J947" s="12"/>
      <c r="K947" s="13"/>
    </row>
    <row r="948" spans="3:11" ht="12.75">
      <c r="C948" s="17"/>
      <c r="D948" s="17"/>
      <c r="E948" s="17"/>
      <c r="F948" s="17"/>
      <c r="G948" s="12"/>
      <c r="H948" s="12"/>
      <c r="I948" s="12"/>
      <c r="J948" s="12"/>
      <c r="K948" s="13"/>
    </row>
    <row r="949" spans="3:11" ht="12.75">
      <c r="C949" s="17"/>
      <c r="D949" s="17"/>
      <c r="E949" s="17"/>
      <c r="F949" s="17"/>
      <c r="G949" s="12"/>
      <c r="H949" s="12"/>
      <c r="I949" s="12"/>
      <c r="J949" s="12"/>
      <c r="K949" s="13"/>
    </row>
    <row r="950" spans="3:11" ht="12.75">
      <c r="C950" s="17"/>
      <c r="D950" s="17"/>
      <c r="E950" s="17"/>
      <c r="F950" s="17"/>
      <c r="G950" s="12"/>
      <c r="H950" s="12"/>
      <c r="I950" s="12"/>
      <c r="J950" s="12"/>
      <c r="K950" s="13"/>
    </row>
    <row r="951" spans="3:11" ht="12.75">
      <c r="C951" s="17"/>
      <c r="D951" s="17"/>
      <c r="E951" s="17"/>
      <c r="F951" s="17"/>
      <c r="G951" s="12"/>
      <c r="H951" s="12"/>
      <c r="I951" s="12"/>
      <c r="J951" s="12"/>
      <c r="K951" s="13"/>
    </row>
    <row r="952" spans="3:11" ht="12.75">
      <c r="C952" s="17"/>
      <c r="D952" s="17"/>
      <c r="E952" s="17"/>
      <c r="F952" s="17"/>
      <c r="G952" s="12"/>
      <c r="H952" s="12"/>
      <c r="I952" s="12"/>
      <c r="J952" s="12"/>
      <c r="K952" s="13"/>
    </row>
    <row r="953" spans="3:11" ht="12.75">
      <c r="C953" s="17"/>
      <c r="D953" s="17"/>
      <c r="E953" s="17"/>
      <c r="F953" s="17"/>
      <c r="G953" s="12"/>
      <c r="H953" s="12"/>
      <c r="I953" s="12"/>
      <c r="J953" s="12"/>
      <c r="K953" s="13"/>
    </row>
    <row r="954" spans="3:11" ht="12.75">
      <c r="C954" s="17"/>
      <c r="D954" s="17"/>
      <c r="E954" s="17"/>
      <c r="F954" s="17"/>
      <c r="G954" s="12"/>
      <c r="H954" s="12"/>
      <c r="I954" s="12"/>
      <c r="J954" s="12"/>
      <c r="K954" s="13"/>
    </row>
    <row r="955" spans="3:11" ht="12.75">
      <c r="C955" s="17"/>
      <c r="D955" s="17"/>
      <c r="E955" s="17"/>
      <c r="F955" s="17"/>
      <c r="G955" s="12"/>
      <c r="H955" s="12"/>
      <c r="I955" s="12"/>
      <c r="J955" s="12"/>
      <c r="K955" s="13"/>
    </row>
    <row r="956" spans="3:11" ht="12.75">
      <c r="C956" s="17"/>
      <c r="D956" s="17"/>
      <c r="E956" s="17"/>
      <c r="F956" s="17"/>
      <c r="G956" s="12"/>
      <c r="H956" s="12"/>
      <c r="I956" s="12"/>
      <c r="J956" s="12"/>
      <c r="K956" s="13"/>
    </row>
    <row r="957" spans="3:11" ht="12.75">
      <c r="C957" s="17"/>
      <c r="D957" s="17"/>
      <c r="E957" s="17"/>
      <c r="F957" s="17"/>
      <c r="G957" s="12"/>
      <c r="H957" s="12"/>
      <c r="I957" s="12"/>
      <c r="J957" s="12"/>
      <c r="K957" s="13"/>
    </row>
    <row r="958" spans="3:11" ht="12.75">
      <c r="C958" s="17"/>
      <c r="D958" s="17"/>
      <c r="E958" s="17"/>
      <c r="F958" s="17"/>
      <c r="G958" s="12"/>
      <c r="H958" s="12"/>
      <c r="I958" s="12"/>
      <c r="J958" s="12"/>
      <c r="K958" s="13"/>
    </row>
    <row r="959" spans="3:11" ht="12.75">
      <c r="C959" s="17"/>
      <c r="D959" s="17"/>
      <c r="E959" s="17"/>
      <c r="F959" s="17"/>
      <c r="G959" s="12"/>
      <c r="H959" s="12"/>
      <c r="I959" s="12"/>
      <c r="J959" s="12"/>
      <c r="K959" s="13"/>
    </row>
    <row r="960" spans="3:11" ht="12.75">
      <c r="C960" s="17"/>
      <c r="D960" s="17"/>
      <c r="E960" s="17"/>
      <c r="F960" s="17"/>
      <c r="G960" s="12"/>
      <c r="H960" s="12"/>
      <c r="I960" s="12"/>
      <c r="J960" s="12"/>
      <c r="K960" s="13"/>
    </row>
    <row r="961" spans="3:11" ht="12.75">
      <c r="C961" s="17"/>
      <c r="D961" s="17"/>
      <c r="E961" s="17"/>
      <c r="F961" s="17"/>
      <c r="G961" s="12"/>
      <c r="H961" s="12"/>
      <c r="I961" s="12"/>
      <c r="J961" s="12"/>
      <c r="K961" s="13"/>
    </row>
    <row r="962" spans="3:11" ht="12.75">
      <c r="C962" s="17"/>
      <c r="D962" s="17"/>
      <c r="E962" s="17"/>
      <c r="F962" s="17"/>
      <c r="G962" s="12"/>
      <c r="H962" s="12"/>
      <c r="I962" s="12"/>
      <c r="J962" s="12"/>
      <c r="K962" s="13"/>
    </row>
    <row r="963" spans="3:11" ht="12.75">
      <c r="C963" s="17"/>
      <c r="D963" s="17"/>
      <c r="E963" s="17"/>
      <c r="F963" s="17"/>
      <c r="G963" s="12"/>
      <c r="H963" s="12"/>
      <c r="I963" s="12"/>
      <c r="J963" s="12"/>
      <c r="K963" s="13"/>
    </row>
    <row r="964" spans="3:11" ht="12.75">
      <c r="C964" s="17"/>
      <c r="D964" s="17"/>
      <c r="E964" s="17"/>
      <c r="F964" s="17"/>
      <c r="G964" s="12"/>
      <c r="H964" s="12"/>
      <c r="I964" s="12"/>
      <c r="J964" s="12"/>
      <c r="K964" s="13"/>
    </row>
    <row r="965" spans="3:11" ht="12.75">
      <c r="C965" s="17"/>
      <c r="D965" s="17"/>
      <c r="E965" s="17"/>
      <c r="F965" s="17"/>
      <c r="G965" s="12"/>
      <c r="H965" s="12"/>
      <c r="I965" s="12"/>
      <c r="J965" s="12"/>
      <c r="K965" s="13"/>
    </row>
    <row r="966" spans="3:11" ht="12.75">
      <c r="C966" s="17"/>
      <c r="D966" s="17"/>
      <c r="E966" s="17"/>
      <c r="F966" s="17"/>
      <c r="G966" s="12"/>
      <c r="H966" s="12"/>
      <c r="I966" s="12"/>
      <c r="J966" s="12"/>
      <c r="K966" s="13"/>
    </row>
    <row r="967" spans="3:11" ht="12.75">
      <c r="C967" s="17"/>
      <c r="D967" s="17"/>
      <c r="E967" s="17"/>
      <c r="F967" s="17"/>
      <c r="G967" s="12"/>
      <c r="H967" s="12"/>
      <c r="I967" s="12"/>
      <c r="J967" s="12"/>
      <c r="K967" s="13"/>
    </row>
    <row r="968" spans="3:11" ht="12.75">
      <c r="C968" s="17"/>
      <c r="D968" s="17"/>
      <c r="E968" s="17"/>
      <c r="F968" s="17"/>
      <c r="G968" s="12"/>
      <c r="H968" s="12"/>
      <c r="I968" s="12"/>
      <c r="J968" s="12"/>
      <c r="K968" s="13"/>
    </row>
    <row r="969" spans="3:11" ht="12.75">
      <c r="C969" s="17"/>
      <c r="D969" s="17"/>
      <c r="E969" s="17"/>
      <c r="F969" s="17"/>
      <c r="G969" s="12"/>
      <c r="H969" s="12"/>
      <c r="I969" s="12"/>
      <c r="J969" s="12"/>
      <c r="K969" s="13"/>
    </row>
    <row r="970" spans="3:11" ht="12.75">
      <c r="C970" s="17"/>
      <c r="D970" s="17"/>
      <c r="E970" s="17"/>
      <c r="F970" s="17"/>
      <c r="G970" s="12"/>
      <c r="H970" s="12"/>
      <c r="I970" s="12"/>
      <c r="J970" s="12"/>
      <c r="K970" s="13"/>
    </row>
    <row r="971" spans="3:11" ht="12.75">
      <c r="C971" s="17"/>
      <c r="D971" s="17"/>
      <c r="E971" s="17"/>
      <c r="F971" s="17"/>
      <c r="G971" s="12"/>
      <c r="H971" s="12"/>
      <c r="I971" s="12"/>
      <c r="J971" s="12"/>
      <c r="K971" s="13"/>
    </row>
    <row r="972" spans="3:11" ht="12.75">
      <c r="C972" s="17"/>
      <c r="D972" s="17"/>
      <c r="E972" s="17"/>
      <c r="F972" s="17"/>
      <c r="G972" s="12"/>
      <c r="H972" s="12"/>
      <c r="I972" s="12"/>
      <c r="J972" s="12"/>
      <c r="K972" s="13"/>
    </row>
    <row r="973" spans="3:11" ht="12.75">
      <c r="C973" s="17"/>
      <c r="D973" s="17"/>
      <c r="E973" s="17"/>
      <c r="F973" s="17"/>
      <c r="G973" s="12"/>
      <c r="H973" s="12"/>
      <c r="I973" s="12"/>
      <c r="J973" s="12"/>
      <c r="K973" s="13"/>
    </row>
    <row r="974" spans="3:11" ht="12.75">
      <c r="C974" s="17"/>
      <c r="D974" s="17"/>
      <c r="E974" s="17"/>
      <c r="F974" s="17"/>
      <c r="G974" s="12"/>
      <c r="H974" s="12"/>
      <c r="I974" s="12"/>
      <c r="J974" s="12"/>
      <c r="K974" s="13"/>
    </row>
    <row r="975" spans="3:11" ht="12.75">
      <c r="C975" s="17"/>
      <c r="D975" s="17"/>
      <c r="E975" s="17"/>
      <c r="F975" s="17"/>
      <c r="G975" s="12"/>
      <c r="H975" s="12"/>
      <c r="I975" s="12"/>
      <c r="J975" s="12"/>
      <c r="K975" s="13"/>
    </row>
    <row r="976" spans="3:11" ht="12.75">
      <c r="C976" s="17"/>
      <c r="D976" s="17"/>
      <c r="E976" s="17"/>
      <c r="F976" s="17"/>
      <c r="G976" s="12"/>
      <c r="H976" s="12"/>
      <c r="I976" s="12"/>
      <c r="J976" s="12"/>
      <c r="K976" s="13"/>
    </row>
    <row r="977" spans="3:11" ht="12.75">
      <c r="C977" s="17"/>
      <c r="D977" s="17"/>
      <c r="E977" s="17"/>
      <c r="F977" s="17"/>
      <c r="G977" s="12"/>
      <c r="H977" s="12"/>
      <c r="I977" s="12"/>
      <c r="J977" s="12"/>
      <c r="K977" s="13"/>
    </row>
    <row r="978" spans="3:11" ht="12.75">
      <c r="C978" s="17"/>
      <c r="D978" s="17"/>
      <c r="E978" s="17"/>
      <c r="F978" s="17"/>
      <c r="G978" s="12"/>
      <c r="H978" s="12"/>
      <c r="I978" s="12"/>
      <c r="J978" s="12"/>
      <c r="K978" s="13"/>
    </row>
    <row r="979" spans="3:11" ht="12.75">
      <c r="C979" s="17"/>
      <c r="D979" s="17"/>
      <c r="E979" s="17"/>
      <c r="F979" s="17"/>
      <c r="G979" s="12"/>
      <c r="H979" s="12"/>
      <c r="I979" s="12"/>
      <c r="J979" s="12"/>
      <c r="K979" s="13"/>
    </row>
    <row r="980" spans="3:11" ht="12.75">
      <c r="C980" s="17"/>
      <c r="D980" s="17"/>
      <c r="E980" s="17"/>
      <c r="F980" s="17"/>
      <c r="G980" s="12"/>
      <c r="H980" s="12"/>
      <c r="I980" s="12"/>
      <c r="J980" s="12"/>
      <c r="K980" s="13"/>
    </row>
    <row r="981" spans="3:11" ht="12.75">
      <c r="C981" s="17"/>
      <c r="D981" s="17"/>
      <c r="E981" s="17"/>
      <c r="F981" s="17"/>
      <c r="G981" s="12"/>
      <c r="H981" s="12"/>
      <c r="I981" s="12"/>
      <c r="J981" s="12"/>
      <c r="K981" s="13"/>
    </row>
    <row r="982" spans="3:11" ht="12.75">
      <c r="C982" s="17"/>
      <c r="D982" s="17"/>
      <c r="E982" s="17"/>
      <c r="F982" s="17"/>
      <c r="G982" s="12"/>
      <c r="H982" s="12"/>
      <c r="I982" s="12"/>
      <c r="J982" s="12"/>
      <c r="K982" s="13"/>
    </row>
    <row r="983" spans="3:11" ht="12.75">
      <c r="C983" s="17"/>
      <c r="D983" s="17"/>
      <c r="E983" s="17"/>
      <c r="F983" s="17"/>
      <c r="G983" s="12"/>
      <c r="H983" s="12"/>
      <c r="I983" s="12"/>
      <c r="J983" s="12"/>
      <c r="K983" s="13"/>
    </row>
    <row r="984" spans="3:11" ht="12.75">
      <c r="C984" s="17"/>
      <c r="D984" s="17"/>
      <c r="E984" s="17"/>
      <c r="F984" s="17"/>
      <c r="G984" s="12"/>
      <c r="H984" s="12"/>
      <c r="I984" s="12"/>
      <c r="J984" s="12"/>
      <c r="K984" s="13"/>
    </row>
    <row r="985" spans="3:11" ht="12.75">
      <c r="C985" s="17"/>
      <c r="D985" s="17"/>
      <c r="E985" s="17"/>
      <c r="F985" s="17"/>
      <c r="G985" s="12"/>
      <c r="H985" s="12"/>
      <c r="I985" s="12"/>
      <c r="J985" s="12"/>
      <c r="K985" s="13"/>
    </row>
    <row r="986" spans="3:11" ht="12.75">
      <c r="C986" s="17"/>
      <c r="D986" s="17"/>
      <c r="E986" s="17"/>
      <c r="F986" s="17"/>
      <c r="G986" s="12"/>
      <c r="H986" s="12"/>
      <c r="I986" s="12"/>
      <c r="J986" s="12"/>
      <c r="K986" s="13"/>
    </row>
    <row r="987" spans="3:11" ht="12.75">
      <c r="C987" s="17"/>
      <c r="D987" s="17"/>
      <c r="E987" s="17"/>
      <c r="F987" s="17"/>
      <c r="G987" s="12"/>
      <c r="H987" s="12"/>
      <c r="I987" s="12"/>
      <c r="J987" s="12"/>
      <c r="K987" s="13"/>
    </row>
    <row r="988" spans="3:11" ht="12.75">
      <c r="C988" s="17"/>
      <c r="D988" s="17"/>
      <c r="E988" s="17"/>
      <c r="F988" s="17"/>
      <c r="G988" s="12"/>
      <c r="H988" s="12"/>
      <c r="I988" s="12"/>
      <c r="J988" s="12"/>
      <c r="K988" s="13"/>
    </row>
    <row r="989" spans="3:11" ht="12.75">
      <c r="C989" s="17"/>
      <c r="D989" s="17"/>
      <c r="E989" s="17"/>
      <c r="F989" s="17"/>
      <c r="G989" s="12"/>
      <c r="H989" s="12"/>
      <c r="I989" s="12"/>
      <c r="J989" s="12"/>
      <c r="K989" s="13"/>
    </row>
    <row r="990" spans="3:11" ht="12.75">
      <c r="C990" s="17"/>
      <c r="D990" s="17"/>
      <c r="E990" s="17"/>
      <c r="F990" s="17"/>
      <c r="G990" s="12"/>
      <c r="H990" s="12"/>
      <c r="I990" s="12"/>
      <c r="J990" s="12"/>
      <c r="K990" s="13"/>
    </row>
    <row r="991" spans="3:11" ht="12.75">
      <c r="C991" s="17"/>
      <c r="D991" s="17"/>
      <c r="E991" s="17"/>
      <c r="F991" s="17"/>
      <c r="G991" s="12"/>
      <c r="H991" s="12"/>
      <c r="I991" s="12"/>
      <c r="J991" s="12"/>
      <c r="K991" s="13"/>
    </row>
    <row r="992" spans="3:11" ht="12.75">
      <c r="C992" s="17"/>
      <c r="D992" s="17"/>
      <c r="E992" s="17"/>
      <c r="F992" s="17"/>
      <c r="G992" s="12"/>
      <c r="H992" s="12"/>
      <c r="I992" s="12"/>
      <c r="J992" s="12"/>
      <c r="K992" s="13"/>
    </row>
    <row r="993" spans="3:11" ht="12.75">
      <c r="C993" s="17"/>
      <c r="D993" s="17"/>
      <c r="E993" s="17"/>
      <c r="F993" s="17"/>
      <c r="G993" s="12"/>
      <c r="H993" s="12"/>
      <c r="I993" s="12"/>
      <c r="J993" s="12"/>
      <c r="K993" s="13"/>
    </row>
    <row r="994" spans="3:11" ht="12.75">
      <c r="C994" s="17"/>
      <c r="D994" s="17"/>
      <c r="E994" s="17"/>
      <c r="F994" s="17"/>
      <c r="G994" s="12"/>
      <c r="H994" s="12"/>
      <c r="I994" s="12"/>
      <c r="J994" s="12"/>
      <c r="K994" s="13"/>
    </row>
    <row r="995" spans="3:11" ht="12.75">
      <c r="C995" s="17"/>
      <c r="D995" s="17"/>
      <c r="E995" s="17"/>
      <c r="F995" s="17"/>
      <c r="G995" s="12"/>
      <c r="H995" s="12"/>
      <c r="I995" s="12"/>
      <c r="J995" s="12"/>
      <c r="K995" s="13"/>
    </row>
    <row r="996" spans="3:11" ht="12.75">
      <c r="C996" s="17"/>
      <c r="D996" s="17"/>
      <c r="E996" s="17"/>
      <c r="F996" s="17"/>
      <c r="G996" s="12"/>
      <c r="H996" s="12"/>
      <c r="I996" s="12"/>
      <c r="J996" s="12"/>
      <c r="K996" s="13"/>
    </row>
    <row r="997" spans="3:11" ht="12.75">
      <c r="C997" s="17"/>
      <c r="D997" s="17"/>
      <c r="E997" s="17"/>
      <c r="F997" s="17"/>
      <c r="G997" s="12"/>
      <c r="H997" s="12"/>
      <c r="I997" s="12"/>
      <c r="J997" s="12"/>
      <c r="K997" s="13"/>
    </row>
    <row r="998" spans="3:11" ht="12.75">
      <c r="C998" s="17"/>
      <c r="D998" s="17"/>
      <c r="E998" s="17"/>
      <c r="F998" s="17"/>
      <c r="G998" s="12"/>
      <c r="H998" s="12"/>
      <c r="I998" s="12"/>
      <c r="J998" s="12"/>
      <c r="K998" s="13"/>
    </row>
    <row r="999" spans="3:11" ht="12.75">
      <c r="C999" s="17"/>
      <c r="D999" s="17"/>
      <c r="E999" s="17"/>
      <c r="F999" s="17"/>
      <c r="G999" s="12"/>
      <c r="H999" s="12"/>
      <c r="I999" s="12"/>
      <c r="J999" s="12"/>
      <c r="K999" s="13"/>
    </row>
    <row r="1000" spans="3:11" ht="12.75">
      <c r="C1000" s="17"/>
      <c r="D1000" s="17"/>
      <c r="E1000" s="17"/>
      <c r="F1000" s="17"/>
      <c r="G1000" s="12"/>
      <c r="H1000" s="12"/>
      <c r="I1000" s="12"/>
      <c r="J1000" s="12"/>
      <c r="K1000" s="13"/>
    </row>
    <row r="1001" spans="3:11" ht="12.75">
      <c r="C1001" s="17"/>
      <c r="D1001" s="17"/>
      <c r="E1001" s="17"/>
      <c r="F1001" s="17"/>
      <c r="G1001" s="12"/>
      <c r="H1001" s="12"/>
      <c r="I1001" s="12"/>
      <c r="J1001" s="12"/>
      <c r="K1001" s="13"/>
    </row>
    <row r="1002" spans="3:11" ht="12.75">
      <c r="C1002" s="17"/>
      <c r="D1002" s="17"/>
      <c r="E1002" s="17"/>
      <c r="F1002" s="17"/>
      <c r="G1002" s="12"/>
      <c r="H1002" s="12"/>
      <c r="I1002" s="12"/>
      <c r="J1002" s="12"/>
      <c r="K1002" s="13"/>
    </row>
    <row r="1003" spans="3:11" ht="12.75">
      <c r="C1003" s="17"/>
      <c r="D1003" s="17"/>
      <c r="E1003" s="17"/>
      <c r="F1003" s="17"/>
      <c r="G1003" s="12"/>
      <c r="H1003" s="12"/>
      <c r="I1003" s="12"/>
      <c r="J1003" s="12"/>
      <c r="K1003" s="13"/>
    </row>
    <row r="1004" spans="3:11" ht="12.75">
      <c r="C1004" s="17"/>
      <c r="D1004" s="17"/>
      <c r="E1004" s="17"/>
      <c r="F1004" s="17"/>
      <c r="G1004" s="12"/>
      <c r="H1004" s="12"/>
      <c r="I1004" s="12"/>
      <c r="J1004" s="12"/>
      <c r="K1004" s="13"/>
    </row>
    <row r="1005" spans="3:11" ht="12.75">
      <c r="C1005" s="17"/>
      <c r="D1005" s="17"/>
      <c r="E1005" s="17"/>
      <c r="F1005" s="17"/>
      <c r="G1005" s="12"/>
      <c r="H1005" s="12"/>
      <c r="I1005" s="12"/>
      <c r="J1005" s="12"/>
      <c r="K1005" s="13"/>
    </row>
    <row r="1006" spans="3:11" ht="12.75">
      <c r="C1006" s="17"/>
      <c r="D1006" s="17"/>
      <c r="E1006" s="17"/>
      <c r="F1006" s="17"/>
      <c r="G1006" s="12"/>
      <c r="H1006" s="12"/>
      <c r="I1006" s="12"/>
      <c r="J1006" s="12"/>
      <c r="K1006" s="13"/>
    </row>
    <row r="1007" spans="3:11" ht="12.75">
      <c r="C1007" s="17"/>
      <c r="D1007" s="17"/>
      <c r="E1007" s="17"/>
      <c r="F1007" s="17"/>
      <c r="G1007" s="12"/>
      <c r="H1007" s="12"/>
      <c r="I1007" s="12"/>
      <c r="J1007" s="12"/>
      <c r="K1007" s="13"/>
    </row>
    <row r="1008" spans="3:11" ht="12.75">
      <c r="C1008" s="17"/>
      <c r="D1008" s="17"/>
      <c r="E1008" s="17"/>
      <c r="F1008" s="17"/>
      <c r="G1008" s="12"/>
      <c r="H1008" s="12"/>
      <c r="I1008" s="12"/>
      <c r="J1008" s="12"/>
      <c r="K1008" s="13"/>
    </row>
    <row r="1009" spans="3:11" ht="12.75">
      <c r="C1009" s="17"/>
      <c r="D1009" s="17"/>
      <c r="E1009" s="17"/>
      <c r="F1009" s="17"/>
      <c r="G1009" s="12"/>
      <c r="H1009" s="12"/>
      <c r="I1009" s="12"/>
      <c r="J1009" s="12"/>
      <c r="K1009" s="13"/>
    </row>
    <row r="1010" spans="3:11" ht="12.75">
      <c r="C1010" s="17"/>
      <c r="D1010" s="17"/>
      <c r="E1010" s="17"/>
      <c r="F1010" s="17"/>
      <c r="G1010" s="12"/>
      <c r="H1010" s="12"/>
      <c r="I1010" s="12"/>
      <c r="J1010" s="12"/>
      <c r="K1010" s="13"/>
    </row>
    <row r="1011" spans="3:11" ht="12.75">
      <c r="C1011" s="17"/>
      <c r="D1011" s="17"/>
      <c r="E1011" s="17"/>
      <c r="F1011" s="17"/>
      <c r="G1011" s="12"/>
      <c r="H1011" s="12"/>
      <c r="I1011" s="12"/>
      <c r="J1011" s="12"/>
      <c r="K1011" s="13"/>
    </row>
    <row r="1012" spans="3:11" ht="12.75">
      <c r="C1012" s="17"/>
      <c r="D1012" s="17"/>
      <c r="E1012" s="17"/>
      <c r="F1012" s="17"/>
      <c r="G1012" s="12"/>
      <c r="H1012" s="12"/>
      <c r="I1012" s="12"/>
      <c r="J1012" s="12"/>
      <c r="K1012" s="13"/>
    </row>
    <row r="1013" spans="3:11" ht="12.75">
      <c r="C1013" s="17"/>
      <c r="D1013" s="17"/>
      <c r="E1013" s="17"/>
      <c r="F1013" s="17"/>
      <c r="G1013" s="12"/>
      <c r="H1013" s="12"/>
      <c r="I1013" s="12"/>
      <c r="J1013" s="12"/>
      <c r="K1013" s="13"/>
    </row>
    <row r="1014" spans="3:11" ht="12.75">
      <c r="C1014" s="17"/>
      <c r="D1014" s="17"/>
      <c r="E1014" s="17"/>
      <c r="F1014" s="17"/>
      <c r="G1014" s="12"/>
      <c r="H1014" s="12"/>
      <c r="I1014" s="12"/>
      <c r="J1014" s="12"/>
      <c r="K1014" s="13"/>
    </row>
    <row r="1015" spans="3:11" ht="12.75">
      <c r="C1015" s="17"/>
      <c r="D1015" s="17"/>
      <c r="E1015" s="17"/>
      <c r="F1015" s="17"/>
      <c r="G1015" s="12"/>
      <c r="H1015" s="12"/>
      <c r="I1015" s="12"/>
      <c r="J1015" s="12"/>
      <c r="K1015" s="13"/>
    </row>
    <row r="1016" spans="3:11" ht="12.75">
      <c r="C1016" s="17"/>
      <c r="D1016" s="17"/>
      <c r="E1016" s="17"/>
      <c r="F1016" s="17"/>
      <c r="G1016" s="12"/>
      <c r="H1016" s="12"/>
      <c r="I1016" s="12"/>
      <c r="J1016" s="12"/>
      <c r="K1016" s="13"/>
    </row>
    <row r="1017" spans="3:11" ht="12.75">
      <c r="C1017" s="17"/>
      <c r="D1017" s="17"/>
      <c r="E1017" s="17"/>
      <c r="F1017" s="17"/>
      <c r="G1017" s="12"/>
      <c r="H1017" s="12"/>
      <c r="I1017" s="12"/>
      <c r="J1017" s="12"/>
      <c r="K1017" s="13"/>
    </row>
    <row r="1018" spans="3:11" ht="12.75">
      <c r="C1018" s="17"/>
      <c r="D1018" s="17"/>
      <c r="E1018" s="17"/>
      <c r="F1018" s="17"/>
      <c r="G1018" s="12"/>
      <c r="H1018" s="12"/>
      <c r="I1018" s="12"/>
      <c r="J1018" s="12"/>
      <c r="K1018" s="13"/>
    </row>
    <row r="1019" spans="3:11" ht="12.75">
      <c r="C1019" s="17"/>
      <c r="D1019" s="17"/>
      <c r="E1019" s="17"/>
      <c r="F1019" s="17"/>
      <c r="G1019" s="12"/>
      <c r="H1019" s="12"/>
      <c r="I1019" s="12"/>
      <c r="J1019" s="12"/>
      <c r="K1019" s="13"/>
    </row>
    <row r="1020" spans="3:11" ht="12.75">
      <c r="C1020" s="17"/>
      <c r="D1020" s="17"/>
      <c r="E1020" s="17"/>
      <c r="F1020" s="17"/>
      <c r="G1020" s="12"/>
      <c r="H1020" s="12"/>
      <c r="I1020" s="12"/>
      <c r="J1020" s="12"/>
      <c r="K1020" s="13"/>
    </row>
    <row r="1021" spans="3:11" ht="12.75">
      <c r="C1021" s="17"/>
      <c r="D1021" s="17"/>
      <c r="E1021" s="17"/>
      <c r="F1021" s="17"/>
      <c r="G1021" s="12"/>
      <c r="H1021" s="12"/>
      <c r="I1021" s="12"/>
      <c r="J1021" s="12"/>
      <c r="K1021" s="13"/>
    </row>
    <row r="1022" spans="3:11" ht="12.75">
      <c r="C1022" s="17"/>
      <c r="D1022" s="17"/>
      <c r="E1022" s="17"/>
      <c r="F1022" s="17"/>
      <c r="G1022" s="12"/>
      <c r="H1022" s="12"/>
      <c r="I1022" s="12"/>
      <c r="J1022" s="12"/>
      <c r="K1022" s="13"/>
    </row>
    <row r="1023" spans="3:11" ht="12.75">
      <c r="C1023" s="17"/>
      <c r="D1023" s="17"/>
      <c r="E1023" s="17"/>
      <c r="F1023" s="17"/>
      <c r="G1023" s="12"/>
      <c r="H1023" s="12"/>
      <c r="I1023" s="12"/>
      <c r="J1023" s="12"/>
      <c r="K1023" s="13"/>
    </row>
    <row r="1024" spans="3:11" ht="12.75">
      <c r="C1024" s="17"/>
      <c r="D1024" s="17"/>
      <c r="E1024" s="17"/>
      <c r="F1024" s="17"/>
      <c r="G1024" s="12"/>
      <c r="H1024" s="12"/>
      <c r="I1024" s="12"/>
      <c r="J1024" s="12"/>
      <c r="K1024" s="13"/>
    </row>
    <row r="1025" spans="3:11" ht="12.75">
      <c r="C1025" s="17"/>
      <c r="D1025" s="17"/>
      <c r="E1025" s="17"/>
      <c r="F1025" s="17"/>
      <c r="G1025" s="12"/>
      <c r="H1025" s="12"/>
      <c r="I1025" s="12"/>
      <c r="J1025" s="12"/>
      <c r="K1025" s="13"/>
    </row>
    <row r="1026" spans="3:11" ht="12.75">
      <c r="C1026" s="17"/>
      <c r="D1026" s="17"/>
      <c r="E1026" s="17"/>
      <c r="F1026" s="17"/>
      <c r="G1026" s="12"/>
      <c r="H1026" s="12"/>
      <c r="I1026" s="12"/>
      <c r="J1026" s="12"/>
      <c r="K1026" s="13"/>
    </row>
    <row r="1027" spans="3:11" ht="12.75">
      <c r="C1027" s="17"/>
      <c r="D1027" s="17"/>
      <c r="E1027" s="17"/>
      <c r="F1027" s="17"/>
      <c r="G1027" s="12"/>
      <c r="H1027" s="12"/>
      <c r="I1027" s="12"/>
      <c r="J1027" s="12"/>
      <c r="K1027" s="13"/>
    </row>
    <row r="1028" spans="3:11" ht="12.75">
      <c r="C1028" s="17"/>
      <c r="D1028" s="17"/>
      <c r="E1028" s="17"/>
      <c r="F1028" s="17"/>
      <c r="G1028" s="12"/>
      <c r="H1028" s="12"/>
      <c r="I1028" s="12"/>
      <c r="J1028" s="12"/>
      <c r="K1028" s="13"/>
    </row>
    <row r="1029" spans="3:11" ht="12.75">
      <c r="C1029" s="17"/>
      <c r="D1029" s="17"/>
      <c r="E1029" s="17"/>
      <c r="F1029" s="17"/>
      <c r="G1029" s="12"/>
      <c r="H1029" s="12"/>
      <c r="I1029" s="12"/>
      <c r="J1029" s="12"/>
      <c r="K1029" s="13"/>
    </row>
    <row r="1030" spans="3:11" ht="12.75">
      <c r="C1030" s="17"/>
      <c r="D1030" s="17"/>
      <c r="E1030" s="17"/>
      <c r="F1030" s="17"/>
      <c r="G1030" s="12"/>
      <c r="H1030" s="12"/>
      <c r="I1030" s="12"/>
      <c r="J1030" s="12"/>
      <c r="K1030" s="13"/>
    </row>
    <row r="1031" spans="3:11" ht="12.75">
      <c r="C1031" s="17"/>
      <c r="D1031" s="17"/>
      <c r="E1031" s="17"/>
      <c r="F1031" s="17"/>
      <c r="G1031" s="12"/>
      <c r="H1031" s="12"/>
      <c r="I1031" s="12"/>
      <c r="J1031" s="12"/>
      <c r="K1031" s="13"/>
    </row>
    <row r="1032" spans="3:11" ht="12.75">
      <c r="C1032" s="17"/>
      <c r="D1032" s="17"/>
      <c r="E1032" s="17"/>
      <c r="F1032" s="17"/>
      <c r="G1032" s="12"/>
      <c r="H1032" s="12"/>
      <c r="I1032" s="12"/>
      <c r="J1032" s="12"/>
      <c r="K1032" s="13"/>
    </row>
    <row r="1033" spans="3:11" ht="12.75">
      <c r="C1033" s="17"/>
      <c r="D1033" s="17"/>
      <c r="E1033" s="17"/>
      <c r="F1033" s="17"/>
      <c r="G1033" s="12"/>
      <c r="H1033" s="12"/>
      <c r="I1033" s="12"/>
      <c r="J1033" s="12"/>
      <c r="K1033" s="13"/>
    </row>
    <row r="1034" spans="3:11" ht="12.75">
      <c r="C1034" s="17"/>
      <c r="D1034" s="17"/>
      <c r="E1034" s="17"/>
      <c r="F1034" s="17"/>
      <c r="G1034" s="12"/>
      <c r="H1034" s="12"/>
      <c r="I1034" s="12"/>
      <c r="J1034" s="12"/>
      <c r="K1034" s="13"/>
    </row>
    <row r="1035" spans="3:11" ht="12.75">
      <c r="C1035" s="17"/>
      <c r="D1035" s="17"/>
      <c r="E1035" s="17"/>
      <c r="F1035" s="17"/>
      <c r="G1035" s="12"/>
      <c r="H1035" s="12"/>
      <c r="I1035" s="12"/>
      <c r="J1035" s="12"/>
      <c r="K1035" s="13"/>
    </row>
    <row r="1036" spans="3:11" ht="12.75">
      <c r="C1036" s="17"/>
      <c r="D1036" s="17"/>
      <c r="E1036" s="17"/>
      <c r="F1036" s="17"/>
      <c r="G1036" s="12"/>
      <c r="H1036" s="12"/>
      <c r="I1036" s="12"/>
      <c r="J1036" s="12"/>
      <c r="K1036" s="13"/>
    </row>
    <row r="1037" spans="3:11" ht="12.75">
      <c r="C1037" s="17"/>
      <c r="D1037" s="17"/>
      <c r="E1037" s="17"/>
      <c r="F1037" s="17"/>
      <c r="G1037" s="12"/>
      <c r="H1037" s="12"/>
      <c r="I1037" s="12"/>
      <c r="J1037" s="12"/>
      <c r="K1037" s="13"/>
    </row>
    <row r="1038" spans="3:11" ht="12.75">
      <c r="C1038" s="17"/>
      <c r="D1038" s="17"/>
      <c r="E1038" s="17"/>
      <c r="F1038" s="17"/>
      <c r="G1038" s="12"/>
      <c r="H1038" s="12"/>
      <c r="I1038" s="12"/>
      <c r="J1038" s="12"/>
      <c r="K1038" s="13"/>
    </row>
    <row r="1039" spans="3:11" ht="12.75">
      <c r="C1039" s="17"/>
      <c r="D1039" s="17"/>
      <c r="E1039" s="17"/>
      <c r="F1039" s="17"/>
      <c r="G1039" s="12"/>
      <c r="H1039" s="12"/>
      <c r="I1039" s="12"/>
      <c r="J1039" s="12"/>
      <c r="K1039" s="13"/>
    </row>
    <row r="1040" spans="3:11" ht="12.75">
      <c r="C1040" s="17"/>
      <c r="D1040" s="17"/>
      <c r="E1040" s="17"/>
      <c r="F1040" s="17"/>
      <c r="G1040" s="12"/>
      <c r="H1040" s="12"/>
      <c r="I1040" s="12"/>
      <c r="J1040" s="12"/>
      <c r="K1040" s="13"/>
    </row>
    <row r="1041" spans="3:11" ht="12.75">
      <c r="C1041" s="17"/>
      <c r="D1041" s="17"/>
      <c r="E1041" s="17"/>
      <c r="F1041" s="17"/>
      <c r="G1041" s="12"/>
      <c r="H1041" s="12"/>
      <c r="I1041" s="12"/>
      <c r="J1041" s="12"/>
      <c r="K1041" s="13"/>
    </row>
    <row r="1042" spans="3:11" ht="12.75">
      <c r="C1042" s="17"/>
      <c r="D1042" s="17"/>
      <c r="E1042" s="17"/>
      <c r="F1042" s="17"/>
      <c r="G1042" s="12"/>
      <c r="H1042" s="12"/>
      <c r="I1042" s="12"/>
      <c r="J1042" s="12"/>
      <c r="K1042" s="13"/>
    </row>
    <row r="1043" spans="3:11" ht="12.75">
      <c r="C1043" s="17"/>
      <c r="D1043" s="17"/>
      <c r="E1043" s="17"/>
      <c r="F1043" s="17"/>
      <c r="G1043" s="12"/>
      <c r="H1043" s="12"/>
      <c r="I1043" s="12"/>
      <c r="J1043" s="12"/>
      <c r="K1043" s="13"/>
    </row>
    <row r="1044" spans="3:11" ht="12.75">
      <c r="C1044" s="17"/>
      <c r="D1044" s="17"/>
      <c r="E1044" s="17"/>
      <c r="F1044" s="17"/>
      <c r="G1044" s="12"/>
      <c r="H1044" s="12"/>
      <c r="I1044" s="12"/>
      <c r="J1044" s="12"/>
      <c r="K1044" s="13"/>
    </row>
    <row r="1045" spans="3:11" ht="12.75">
      <c r="C1045" s="17"/>
      <c r="D1045" s="17"/>
      <c r="E1045" s="17"/>
      <c r="F1045" s="17"/>
      <c r="G1045" s="12"/>
      <c r="H1045" s="12"/>
      <c r="I1045" s="12"/>
      <c r="J1045" s="12"/>
      <c r="K1045" s="13"/>
    </row>
    <row r="1046" spans="3:11" ht="12.75">
      <c r="C1046" s="17"/>
      <c r="D1046" s="17"/>
      <c r="E1046" s="17"/>
      <c r="F1046" s="17"/>
      <c r="G1046" s="12"/>
      <c r="H1046" s="12"/>
      <c r="I1046" s="12"/>
      <c r="J1046" s="12"/>
      <c r="K1046" s="13"/>
    </row>
    <row r="1047" spans="3:11" ht="12.75">
      <c r="C1047" s="17"/>
      <c r="D1047" s="17"/>
      <c r="E1047" s="17"/>
      <c r="F1047" s="17"/>
      <c r="G1047" s="12"/>
      <c r="H1047" s="12"/>
      <c r="I1047" s="12"/>
      <c r="J1047" s="12"/>
      <c r="K1047" s="13"/>
    </row>
    <row r="1048" spans="3:11" ht="12.75">
      <c r="C1048" s="17"/>
      <c r="D1048" s="17"/>
      <c r="E1048" s="17"/>
      <c r="F1048" s="17"/>
      <c r="G1048" s="12"/>
      <c r="H1048" s="12"/>
      <c r="I1048" s="12"/>
      <c r="J1048" s="12"/>
      <c r="K1048" s="13"/>
    </row>
    <row r="1049" spans="3:11" ht="12.75">
      <c r="C1049" s="17"/>
      <c r="D1049" s="17"/>
      <c r="E1049" s="17"/>
      <c r="F1049" s="17"/>
      <c r="G1049" s="12"/>
      <c r="H1049" s="12"/>
      <c r="I1049" s="12"/>
      <c r="J1049" s="12"/>
      <c r="K1049" s="13"/>
    </row>
    <row r="1050" spans="3:11" ht="12.75">
      <c r="C1050" s="17"/>
      <c r="D1050" s="17"/>
      <c r="E1050" s="17"/>
      <c r="F1050" s="17"/>
      <c r="G1050" s="12"/>
      <c r="H1050" s="12"/>
      <c r="I1050" s="12"/>
      <c r="J1050" s="12"/>
      <c r="K1050" s="13"/>
    </row>
    <row r="1051" spans="3:11" ht="12.75">
      <c r="C1051" s="17"/>
      <c r="D1051" s="17"/>
      <c r="E1051" s="17"/>
      <c r="F1051" s="17"/>
      <c r="G1051" s="12"/>
      <c r="H1051" s="12"/>
      <c r="I1051" s="12"/>
      <c r="J1051" s="12"/>
      <c r="K1051" s="13"/>
    </row>
    <row r="1052" spans="3:11" ht="12.75">
      <c r="C1052" s="17"/>
      <c r="D1052" s="17"/>
      <c r="E1052" s="17"/>
      <c r="F1052" s="17"/>
      <c r="G1052" s="12"/>
      <c r="H1052" s="12"/>
      <c r="I1052" s="12"/>
      <c r="J1052" s="12"/>
      <c r="K1052" s="13"/>
    </row>
    <row r="1053" spans="3:11" ht="12.75">
      <c r="C1053" s="17"/>
      <c r="D1053" s="17"/>
      <c r="E1053" s="17"/>
      <c r="F1053" s="17"/>
      <c r="G1053" s="12"/>
      <c r="H1053" s="12"/>
      <c r="I1053" s="12"/>
      <c r="J1053" s="12"/>
      <c r="K1053" s="13"/>
    </row>
    <row r="1054" spans="3:11" ht="12.75">
      <c r="C1054" s="17"/>
      <c r="D1054" s="17"/>
      <c r="E1054" s="17"/>
      <c r="F1054" s="17"/>
      <c r="G1054" s="12"/>
      <c r="H1054" s="12"/>
      <c r="I1054" s="12"/>
      <c r="J1054" s="12"/>
      <c r="K1054" s="13"/>
    </row>
    <row r="1055" spans="3:11" ht="12.75">
      <c r="C1055" s="17"/>
      <c r="D1055" s="17"/>
      <c r="E1055" s="17"/>
      <c r="F1055" s="17"/>
      <c r="G1055" s="12"/>
      <c r="H1055" s="12"/>
      <c r="I1055" s="12"/>
      <c r="J1055" s="12"/>
      <c r="K1055" s="13"/>
    </row>
    <row r="1056" spans="3:11" ht="12.75">
      <c r="C1056" s="17"/>
      <c r="D1056" s="17"/>
      <c r="E1056" s="17"/>
      <c r="F1056" s="17"/>
      <c r="G1056" s="12"/>
      <c r="H1056" s="12"/>
      <c r="I1056" s="12"/>
      <c r="J1056" s="12"/>
      <c r="K1056" s="13"/>
    </row>
    <row r="1057" spans="3:11" ht="12.75">
      <c r="C1057" s="17"/>
      <c r="D1057" s="17"/>
      <c r="E1057" s="17"/>
      <c r="F1057" s="17"/>
      <c r="G1057" s="12"/>
      <c r="H1057" s="12"/>
      <c r="I1057" s="12"/>
      <c r="J1057" s="12"/>
      <c r="K1057" s="13"/>
    </row>
    <row r="1058" spans="3:11" ht="12.75">
      <c r="C1058" s="17"/>
      <c r="D1058" s="17"/>
      <c r="E1058" s="17"/>
      <c r="F1058" s="17"/>
      <c r="G1058" s="12"/>
      <c r="H1058" s="12"/>
      <c r="I1058" s="12"/>
      <c r="J1058" s="12"/>
      <c r="K1058" s="13"/>
    </row>
    <row r="1059" spans="3:11" ht="12.75">
      <c r="C1059" s="17"/>
      <c r="D1059" s="17"/>
      <c r="E1059" s="17"/>
      <c r="F1059" s="17"/>
      <c r="G1059" s="12"/>
      <c r="H1059" s="12"/>
      <c r="I1059" s="12"/>
      <c r="J1059" s="12"/>
      <c r="K1059" s="13"/>
    </row>
    <row r="1060" spans="3:11" ht="12.75">
      <c r="C1060" s="17"/>
      <c r="D1060" s="17"/>
      <c r="E1060" s="17"/>
      <c r="F1060" s="17"/>
      <c r="G1060" s="12"/>
      <c r="H1060" s="12"/>
      <c r="I1060" s="12"/>
      <c r="J1060" s="12"/>
      <c r="K1060" s="13"/>
    </row>
    <row r="1061" spans="3:11" ht="12.75">
      <c r="C1061" s="17"/>
      <c r="D1061" s="17"/>
      <c r="E1061" s="17"/>
      <c r="F1061" s="17"/>
      <c r="G1061" s="12"/>
      <c r="H1061" s="12"/>
      <c r="I1061" s="12"/>
      <c r="J1061" s="12"/>
      <c r="K1061" s="13"/>
    </row>
    <row r="1062" spans="3:11" ht="12.75">
      <c r="C1062" s="17"/>
      <c r="D1062" s="17"/>
      <c r="E1062" s="17"/>
      <c r="F1062" s="17"/>
      <c r="G1062" s="12"/>
      <c r="H1062" s="12"/>
      <c r="I1062" s="12"/>
      <c r="J1062" s="12"/>
      <c r="K1062" s="13"/>
    </row>
    <row r="1063" spans="3:11" ht="12.75">
      <c r="C1063" s="17"/>
      <c r="D1063" s="17"/>
      <c r="E1063" s="17"/>
      <c r="F1063" s="17"/>
      <c r="G1063" s="12"/>
      <c r="H1063" s="12"/>
      <c r="I1063" s="12"/>
      <c r="J1063" s="12"/>
      <c r="K1063" s="13"/>
    </row>
    <row r="1064" spans="3:11" ht="12.75">
      <c r="C1064" s="17"/>
      <c r="D1064" s="17"/>
      <c r="E1064" s="17"/>
      <c r="F1064" s="17"/>
      <c r="G1064" s="12"/>
      <c r="H1064" s="12"/>
      <c r="I1064" s="12"/>
      <c r="J1064" s="12"/>
      <c r="K1064" s="13"/>
    </row>
    <row r="1065" spans="3:11" ht="12.75">
      <c r="C1065" s="17"/>
      <c r="D1065" s="17"/>
      <c r="E1065" s="17"/>
      <c r="F1065" s="17"/>
      <c r="G1065" s="12"/>
      <c r="H1065" s="12"/>
      <c r="I1065" s="12"/>
      <c r="J1065" s="12"/>
      <c r="K1065" s="13"/>
    </row>
  </sheetData>
  <hyperlinks>
    <hyperlink ref="E2" r:id="rId1"/>
    <hyperlink ref="E11" r:id="rId2"/>
    <hyperlink ref="E58" r:id="rId3"/>
    <hyperlink ref="E62" r:id="rId4"/>
    <hyperlink ref="E63" r:id="rId5"/>
    <hyperlink ref="E64" r:id="rId6"/>
    <hyperlink ref="E68" r:id="rId7"/>
    <hyperlink ref="E71" r:id="rId8"/>
    <hyperlink ref="E76" r:id="rId9"/>
    <hyperlink ref="E77" r:id="rId10"/>
    <hyperlink ref="E78" r:id="rId11"/>
    <hyperlink ref="E84" r:id="rId12"/>
    <hyperlink ref="E85" r:id="rId13"/>
    <hyperlink ref="E86" r:id="rId14"/>
    <hyperlink ref="E87" r:id="rId15"/>
    <hyperlink ref="E88" r:id="rId16"/>
    <hyperlink ref="E89" r:id="rId17"/>
    <hyperlink ref="E97" r:id="rId18"/>
    <hyperlink ref="E98" r:id="rId19"/>
    <hyperlink ref="E99" r:id="rId20"/>
    <hyperlink ref="E100" r:id="rId21"/>
    <hyperlink ref="E101" r:id="rId22"/>
    <hyperlink ref="E103" r:id="rId23"/>
    <hyperlink ref="E113" r:id="rId24"/>
    <hyperlink ref="E114" r:id="rId25"/>
    <hyperlink ref="E115" r:id="rId26"/>
    <hyperlink ref="E116" r:id="rId27"/>
    <hyperlink ref="E117" r:id="rId28"/>
    <hyperlink ref="E118" r:id="rId29"/>
    <hyperlink ref="E119" r:id="rId30"/>
    <hyperlink ref="E120" r:id="rId31"/>
    <hyperlink ref="E121" r:id="rId32"/>
    <hyperlink ref="E122" r:id="rId33"/>
    <hyperlink ref="E123" r:id="rId34"/>
    <hyperlink ref="E124" r:id="rId35"/>
    <hyperlink ref="E125" r:id="rId36"/>
    <hyperlink ref="E208" r:id="rId37"/>
    <hyperlink ref="E209" r:id="rId38"/>
    <hyperlink ref="E210" r:id="rId39"/>
    <hyperlink ref="E215" r:id="rId40"/>
    <hyperlink ref="E216" r:id="rId41"/>
    <hyperlink ref="E229" r:id="rId42"/>
    <hyperlink ref="E230" r:id="rId43"/>
    <hyperlink ref="E231" r:id="rId44"/>
    <hyperlink ref="E234" r:id="rId45"/>
  </hyperlinks>
  <pageMargins left="0" right="0" top="0" bottom="0" header="0" footer="0"/>
  <legacyDrawing r:id="rId4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BN1386"/>
  <sheetViews>
    <sheetView workbookViewId="0">
      <selection activeCell="I42" sqref="I42"/>
    </sheetView>
  </sheetViews>
  <sheetFormatPr defaultColWidth="12.5703125" defaultRowHeight="15.75" customHeight="1"/>
  <cols>
    <col min="1" max="1" width="16.85546875" customWidth="1"/>
    <col min="4" max="4" width="11" customWidth="1"/>
  </cols>
  <sheetData>
    <row r="1" spans="1:66" ht="15">
      <c r="A1" s="35"/>
      <c r="B1" s="36"/>
      <c r="C1" s="36"/>
      <c r="D1" s="36"/>
      <c r="E1" s="37"/>
      <c r="F1" s="37"/>
      <c r="G1" s="37"/>
      <c r="H1" s="37"/>
      <c r="I1" s="36"/>
      <c r="J1" s="36"/>
      <c r="K1" s="36"/>
      <c r="L1" s="36"/>
      <c r="M1" s="36"/>
      <c r="N1" s="36"/>
      <c r="O1" s="36"/>
      <c r="P1" s="36"/>
      <c r="Q1" s="36"/>
      <c r="R1" s="36"/>
      <c r="S1" s="36"/>
      <c r="T1" s="36"/>
      <c r="U1" s="36"/>
      <c r="V1" s="36"/>
      <c r="W1" s="36"/>
      <c r="X1" s="36"/>
      <c r="Y1" s="36"/>
      <c r="Z1" s="36"/>
      <c r="AA1" s="36"/>
      <c r="AB1" s="36"/>
      <c r="AC1" s="36"/>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66" ht="30" customHeight="1">
      <c r="A2" s="38" t="s">
        <v>518</v>
      </c>
      <c r="B2" s="39"/>
      <c r="C2" s="39"/>
      <c r="D2" s="39"/>
      <c r="E2" s="40"/>
      <c r="F2" s="40"/>
      <c r="G2" s="40"/>
      <c r="H2" s="40"/>
      <c r="I2" s="39"/>
      <c r="J2" s="39"/>
      <c r="K2" s="39"/>
      <c r="L2" s="39"/>
      <c r="M2" s="39"/>
      <c r="N2" s="39"/>
      <c r="O2" s="39"/>
      <c r="P2" s="39"/>
      <c r="Q2" s="39"/>
      <c r="R2" s="39"/>
      <c r="S2" s="39"/>
      <c r="T2" s="39"/>
      <c r="U2" s="39"/>
      <c r="V2" s="39"/>
      <c r="W2" s="39"/>
      <c r="X2" s="39"/>
      <c r="Y2" s="39"/>
      <c r="Z2" s="39"/>
      <c r="AA2" s="39"/>
      <c r="AB2" s="39"/>
      <c r="AC2" s="39"/>
      <c r="AD2" s="14"/>
      <c r="AE2" s="14"/>
      <c r="AK2" s="14"/>
      <c r="AP2" s="14"/>
    </row>
    <row r="3" spans="1:66" ht="15">
      <c r="B3" s="39"/>
      <c r="C3" s="39"/>
      <c r="D3" s="39"/>
      <c r="E3" s="40"/>
      <c r="F3" s="40"/>
      <c r="G3" s="40"/>
      <c r="H3" s="40"/>
      <c r="I3" s="39"/>
      <c r="J3" s="39"/>
      <c r="K3" s="39"/>
      <c r="L3" s="39"/>
      <c r="M3" s="39"/>
      <c r="N3" s="39"/>
      <c r="O3" s="39"/>
      <c r="P3" s="39"/>
      <c r="Q3" s="39"/>
      <c r="R3" s="39"/>
      <c r="S3" s="39"/>
      <c r="T3" s="39"/>
      <c r="U3" s="39"/>
      <c r="V3" s="39"/>
      <c r="W3" s="39"/>
      <c r="X3" s="39"/>
      <c r="Y3" s="39"/>
      <c r="Z3" s="39"/>
      <c r="AA3" s="39"/>
      <c r="AB3" s="39"/>
      <c r="AC3" s="39"/>
      <c r="AD3" s="14"/>
      <c r="AE3" s="14"/>
      <c r="AK3" s="14"/>
      <c r="AP3" s="14"/>
    </row>
    <row r="4" spans="1:66" ht="30">
      <c r="A4" s="639" t="s">
        <v>518</v>
      </c>
      <c r="B4" s="640" t="s">
        <v>519</v>
      </c>
      <c r="C4" s="640" t="s">
        <v>520</v>
      </c>
      <c r="D4" s="640" t="s">
        <v>521</v>
      </c>
      <c r="E4" s="640"/>
      <c r="F4" s="640"/>
      <c r="G4" s="641" t="s">
        <v>522</v>
      </c>
      <c r="H4" s="640"/>
      <c r="I4" s="41" t="s">
        <v>523</v>
      </c>
      <c r="J4" s="39"/>
      <c r="K4" s="39"/>
      <c r="L4" s="39"/>
      <c r="M4" s="39"/>
      <c r="N4" s="39"/>
      <c r="O4" s="39"/>
      <c r="P4" s="39"/>
      <c r="Q4" s="39"/>
      <c r="R4" s="39"/>
      <c r="S4" s="39"/>
      <c r="T4" s="39"/>
      <c r="U4" s="39"/>
      <c r="V4" s="39"/>
      <c r="W4" s="39"/>
      <c r="X4" s="39"/>
      <c r="Y4" s="39"/>
      <c r="Z4" s="39"/>
      <c r="AA4" s="39"/>
      <c r="AB4" s="39"/>
      <c r="AC4" s="39"/>
      <c r="AD4" s="14"/>
      <c r="AE4" s="14"/>
      <c r="AK4" s="14"/>
      <c r="AP4" s="14"/>
    </row>
    <row r="5" spans="1:66" ht="12.75">
      <c r="A5" s="4"/>
      <c r="B5" s="617">
        <v>1</v>
      </c>
      <c r="C5" s="617">
        <v>1000000</v>
      </c>
      <c r="D5" s="617">
        <f>B5/C5</f>
        <v>9.9999999999999995E-7</v>
      </c>
      <c r="E5" s="617"/>
      <c r="F5" s="617"/>
      <c r="G5" s="617">
        <f>D5/10000</f>
        <v>9.9999999999999991E-11</v>
      </c>
      <c r="H5" s="617"/>
      <c r="I5" s="5" t="s">
        <v>524</v>
      </c>
      <c r="J5" s="39"/>
      <c r="K5" s="39"/>
      <c r="L5" s="39"/>
      <c r="M5" s="39"/>
      <c r="N5" s="39"/>
      <c r="O5" s="39"/>
      <c r="P5" s="39"/>
      <c r="Q5" s="39"/>
      <c r="R5" s="39"/>
      <c r="S5" s="39"/>
      <c r="T5" s="39"/>
      <c r="U5" s="39"/>
      <c r="V5" s="39"/>
      <c r="W5" s="39"/>
      <c r="X5" s="39"/>
      <c r="Y5" s="39"/>
      <c r="Z5" s="39"/>
      <c r="AA5" s="39"/>
      <c r="AB5" s="39"/>
      <c r="AC5" s="39"/>
      <c r="AD5" s="14"/>
      <c r="AE5" s="14"/>
      <c r="AK5" s="14"/>
      <c r="AP5" s="14"/>
    </row>
    <row r="6" spans="1:66" ht="15">
      <c r="B6" s="39"/>
      <c r="C6" s="39"/>
      <c r="D6" s="39"/>
      <c r="E6" s="40"/>
      <c r="F6" s="40"/>
      <c r="G6" s="40"/>
      <c r="H6" s="40"/>
      <c r="I6" s="39"/>
      <c r="J6" s="39"/>
      <c r="K6" s="39"/>
      <c r="L6" s="39"/>
      <c r="M6" s="39"/>
      <c r="N6" s="39"/>
      <c r="O6" s="39"/>
      <c r="P6" s="39"/>
      <c r="Q6" s="39"/>
      <c r="R6" s="39"/>
      <c r="S6" s="39"/>
      <c r="T6" s="39"/>
      <c r="U6" s="39"/>
      <c r="V6" s="39"/>
      <c r="W6" s="39"/>
      <c r="X6" s="39"/>
      <c r="Y6" s="39"/>
      <c r="Z6" s="39"/>
      <c r="AA6" s="39"/>
      <c r="AB6" s="39"/>
      <c r="AC6" s="39"/>
      <c r="AD6" s="14"/>
      <c r="AE6" s="14"/>
      <c r="AK6" s="14"/>
      <c r="AP6" s="14"/>
    </row>
    <row r="8" spans="1:66" ht="12.75">
      <c r="A8" s="35"/>
      <c r="B8" s="35"/>
      <c r="C8" s="35"/>
      <c r="D8" s="35"/>
      <c r="E8" s="35"/>
      <c r="F8" s="35"/>
      <c r="G8" s="35"/>
      <c r="H8" s="35"/>
      <c r="I8" s="35"/>
      <c r="J8" s="35"/>
      <c r="K8" s="35"/>
      <c r="L8" s="42"/>
      <c r="M8" s="42"/>
      <c r="N8" s="42"/>
      <c r="O8" s="42"/>
      <c r="P8" s="42"/>
      <c r="Q8" s="35"/>
      <c r="R8" s="35"/>
      <c r="S8" s="42"/>
      <c r="T8" s="42"/>
      <c r="U8" s="42"/>
      <c r="V8" s="42"/>
      <c r="W8" s="35"/>
      <c r="X8" s="35"/>
      <c r="Y8" s="35"/>
      <c r="Z8" s="35"/>
      <c r="AA8" s="35"/>
      <c r="AB8" s="35"/>
      <c r="AC8" s="35"/>
      <c r="AD8" s="35"/>
      <c r="AE8" s="35"/>
      <c r="AF8" s="35"/>
      <c r="AG8" s="35"/>
      <c r="AH8" s="35"/>
      <c r="AI8" s="35"/>
      <c r="AJ8" s="35"/>
      <c r="AK8" s="35"/>
      <c r="AL8" s="42"/>
      <c r="AM8" s="42"/>
      <c r="AN8" s="42"/>
      <c r="AO8" s="42"/>
      <c r="AP8" s="35"/>
      <c r="AQ8" s="35"/>
      <c r="AR8" s="35"/>
      <c r="AS8" s="42"/>
      <c r="AT8" s="42"/>
      <c r="AU8" s="42"/>
      <c r="AV8" s="42"/>
      <c r="AW8" s="42"/>
      <c r="AX8" s="42"/>
      <c r="AY8" s="42"/>
      <c r="AZ8" s="42"/>
      <c r="BA8" s="42"/>
      <c r="BB8" s="42"/>
      <c r="BC8" s="42"/>
      <c r="BD8" s="42"/>
      <c r="BE8" s="42"/>
      <c r="BF8" s="42"/>
      <c r="BG8" s="42"/>
      <c r="BH8" s="42"/>
      <c r="BI8" s="42"/>
      <c r="BJ8" s="42"/>
      <c r="BK8" s="42"/>
      <c r="BL8" s="42"/>
      <c r="BM8" s="42"/>
      <c r="BN8" s="42"/>
    </row>
    <row r="9" spans="1:66" ht="30" customHeight="1">
      <c r="A9" s="38" t="s">
        <v>525</v>
      </c>
      <c r="AD9" s="14"/>
      <c r="AE9" s="14"/>
      <c r="AP9" s="14"/>
      <c r="AQ9" s="14"/>
      <c r="AS9" s="43"/>
    </row>
    <row r="11" spans="1:66" ht="25.5">
      <c r="A11" s="44" t="s">
        <v>526</v>
      </c>
      <c r="B11" s="45" t="s">
        <v>527</v>
      </c>
      <c r="C11" s="45" t="s">
        <v>528</v>
      </c>
      <c r="D11" s="642" t="s">
        <v>529</v>
      </c>
      <c r="E11" s="32"/>
    </row>
    <row r="12" spans="1:66" ht="12.75">
      <c r="A12" s="46" t="s">
        <v>530</v>
      </c>
      <c r="B12" s="17">
        <v>6.4</v>
      </c>
      <c r="C12" s="17">
        <f>6.4/70/9.4003</f>
        <v>9.7261333604854554E-3</v>
      </c>
      <c r="D12" s="643">
        <f>C12*2.521008403</f>
        <v>2.4519663930482462E-2</v>
      </c>
      <c r="E12" s="32"/>
    </row>
    <row r="13" spans="1:66" ht="60">
      <c r="A13" s="47" t="s">
        <v>531</v>
      </c>
      <c r="B13" s="644" t="s">
        <v>532</v>
      </c>
      <c r="C13" s="641" t="s">
        <v>533</v>
      </c>
      <c r="D13" s="641" t="s">
        <v>534</v>
      </c>
      <c r="E13" s="641" t="s">
        <v>522</v>
      </c>
      <c r="F13" s="48" t="s">
        <v>535</v>
      </c>
    </row>
    <row r="14" spans="1:66" ht="12.75">
      <c r="A14" s="645" t="s">
        <v>536</v>
      </c>
      <c r="B14" s="17"/>
      <c r="C14" s="17">
        <v>2.0863187909805599E-3</v>
      </c>
      <c r="D14" s="17">
        <v>1.5149371069182389E-2</v>
      </c>
      <c r="E14" s="17">
        <v>3.0135276989999999E-4</v>
      </c>
      <c r="F14" s="49">
        <v>3.5347185290550941E-4</v>
      </c>
      <c r="G14" s="148"/>
    </row>
    <row r="15" spans="1:66" ht="12.75">
      <c r="A15" s="4" t="s">
        <v>537</v>
      </c>
      <c r="B15" s="617">
        <f>F15/F14</f>
        <v>7.7339518226325934</v>
      </c>
      <c r="C15" s="646">
        <f>$B15*C14</f>
        <v>1.6135489016096731E-2</v>
      </c>
      <c r="D15" s="646">
        <f>D12</f>
        <v>2.4519663930482462E-2</v>
      </c>
      <c r="E15" s="646">
        <f>$B15*E14</f>
        <v>2.3306478040234853E-3</v>
      </c>
      <c r="F15" s="191">
        <f>1.24/453.592</f>
        <v>2.7337342810278844E-3</v>
      </c>
    </row>
    <row r="16" spans="1:66" ht="12.75">
      <c r="A16" s="14" t="s">
        <v>538</v>
      </c>
      <c r="B16" s="14" t="s">
        <v>539</v>
      </c>
    </row>
    <row r="17" spans="1:25" ht="12.75">
      <c r="B17" s="14" t="s">
        <v>540</v>
      </c>
    </row>
    <row r="20" spans="1:25" ht="60">
      <c r="A20" s="47" t="s">
        <v>541</v>
      </c>
      <c r="B20" s="644" t="s">
        <v>542</v>
      </c>
      <c r="C20" s="50" t="s">
        <v>533</v>
      </c>
      <c r="D20" s="641" t="s">
        <v>543</v>
      </c>
      <c r="E20" s="641" t="s">
        <v>522</v>
      </c>
      <c r="F20" s="48" t="s">
        <v>535</v>
      </c>
    </row>
    <row r="21" spans="1:25" ht="12.75">
      <c r="A21" s="647" t="s">
        <v>147</v>
      </c>
      <c r="B21" s="1"/>
      <c r="C21" s="647">
        <f>0.05366/100</f>
        <v>5.3660000000000003E-4</v>
      </c>
      <c r="D21" s="1">
        <f>0.2893/100</f>
        <v>2.8930000000000002E-3</v>
      </c>
      <c r="E21" s="1">
        <v>1.75E-4</v>
      </c>
      <c r="F21" s="51">
        <v>2.6107342109999999E-4</v>
      </c>
    </row>
    <row r="22" spans="1:25" ht="12.75">
      <c r="A22" s="4" t="s">
        <v>13</v>
      </c>
      <c r="B22" s="617">
        <f>AVERAGE(0.7,0.75)</f>
        <v>0.72499999999999998</v>
      </c>
      <c r="C22" s="4">
        <f t="shared" ref="C22:F22" si="0">C21/$B22</f>
        <v>7.4013793103448278E-4</v>
      </c>
      <c r="D22" s="617">
        <f t="shared" si="0"/>
        <v>3.9903448275862069E-3</v>
      </c>
      <c r="E22" s="617">
        <f t="shared" si="0"/>
        <v>2.4137931034482759E-4</v>
      </c>
      <c r="F22" s="5">
        <f t="shared" si="0"/>
        <v>3.6010127048275863E-4</v>
      </c>
      <c r="G22" s="148"/>
    </row>
    <row r="23" spans="1:25" ht="12.75">
      <c r="A23" s="14" t="s">
        <v>538</v>
      </c>
      <c r="B23" s="14" t="s">
        <v>544</v>
      </c>
    </row>
    <row r="24" spans="1:25" ht="12.75">
      <c r="B24" s="14" t="s">
        <v>545</v>
      </c>
    </row>
    <row r="27" spans="1:25" ht="51.75">
      <c r="A27" s="52" t="s">
        <v>546</v>
      </c>
      <c r="B27" s="640" t="s">
        <v>547</v>
      </c>
      <c r="C27" s="640" t="s">
        <v>548</v>
      </c>
      <c r="D27" s="53" t="s">
        <v>549</v>
      </c>
      <c r="E27" s="648" t="s">
        <v>550</v>
      </c>
      <c r="F27" s="649" t="s">
        <v>551</v>
      </c>
      <c r="G27" s="54" t="s">
        <v>552</v>
      </c>
      <c r="H27" s="148"/>
      <c r="I27" s="14"/>
      <c r="J27" s="148"/>
      <c r="L27" s="14"/>
      <c r="M27" s="14"/>
      <c r="N27" s="14"/>
      <c r="O27" s="55"/>
      <c r="W27" s="43"/>
      <c r="X27" s="43"/>
      <c r="Y27" s="43"/>
    </row>
    <row r="28" spans="1:25" ht="15">
      <c r="A28" s="56" t="s">
        <v>553</v>
      </c>
      <c r="B28" s="17"/>
      <c r="C28" s="17"/>
      <c r="D28" s="645"/>
      <c r="E28" s="17"/>
      <c r="F28" s="120">
        <f>16/1000000</f>
        <v>1.5999999999999999E-5</v>
      </c>
      <c r="G28" s="49"/>
      <c r="H28" s="148"/>
      <c r="J28" s="57"/>
      <c r="L28" s="14"/>
      <c r="M28" s="14"/>
      <c r="N28" s="14"/>
      <c r="O28" s="55"/>
      <c r="W28" s="43"/>
      <c r="X28" s="43"/>
      <c r="Y28" s="43"/>
    </row>
    <row r="29" spans="1:25" ht="12.75">
      <c r="A29" s="56" t="s">
        <v>554</v>
      </c>
      <c r="B29" s="17">
        <f>73/1000/1.015</f>
        <v>7.1921182266009853E-2</v>
      </c>
      <c r="C29" s="17"/>
      <c r="D29" s="650"/>
      <c r="E29" s="123"/>
      <c r="F29" s="17">
        <f>8.43*0.001/1007.66</f>
        <v>8.3659170752039376E-6</v>
      </c>
      <c r="G29" s="651">
        <f>0.17/453.592</f>
        <v>3.7478615143124222E-4</v>
      </c>
      <c r="H29" s="148"/>
      <c r="J29" s="148">
        <v>45</v>
      </c>
    </row>
    <row r="30" spans="1:25" ht="12.75">
      <c r="A30" s="56" t="s">
        <v>555</v>
      </c>
      <c r="B30" s="17"/>
      <c r="C30" s="17"/>
      <c r="D30" s="645">
        <f>((1/3281.53)*10000/1000)*(73/1015)</f>
        <v>2.1916966252330425E-4</v>
      </c>
      <c r="E30" s="17">
        <f>2.9/100</f>
        <v>2.8999999999999998E-2</v>
      </c>
      <c r="F30" s="17"/>
      <c r="G30" s="49">
        <f>678/1000/72/28.35</f>
        <v>3.3215755437977659E-4</v>
      </c>
      <c r="H30" s="57"/>
      <c r="I30" s="39"/>
      <c r="J30" s="57">
        <v>26</v>
      </c>
    </row>
    <row r="31" spans="1:25" ht="12.75">
      <c r="A31" s="56" t="s">
        <v>556</v>
      </c>
      <c r="B31" s="17"/>
      <c r="C31" s="17"/>
      <c r="D31" s="645">
        <f>(1/9200)*10000/1000</f>
        <v>1.0869565217391304E-3</v>
      </c>
      <c r="E31" s="17"/>
      <c r="F31" s="17"/>
      <c r="G31" s="49"/>
      <c r="H31" s="148"/>
      <c r="J31" s="148">
        <v>15</v>
      </c>
    </row>
    <row r="32" spans="1:25" ht="12.75">
      <c r="A32" s="56" t="s">
        <v>557</v>
      </c>
      <c r="B32" s="17"/>
      <c r="C32" s="17"/>
      <c r="D32" s="645">
        <f>(0.063/127.2)*10000/1000</f>
        <v>4.9528301886792451E-3</v>
      </c>
      <c r="E32" s="17">
        <f>(0.472/127.2)*0.35*1000/1000</f>
        <v>1.2987421383647798E-3</v>
      </c>
      <c r="F32" s="17">
        <f>(75600/127.2)/1000/1000</f>
        <v>5.9433962264150947E-4</v>
      </c>
      <c r="G32" s="49"/>
      <c r="H32" s="220"/>
      <c r="J32" s="148">
        <v>19</v>
      </c>
    </row>
    <row r="33" spans="1:10" ht="12.75">
      <c r="A33" s="652" t="s">
        <v>558</v>
      </c>
      <c r="B33" s="626"/>
      <c r="C33" s="626"/>
      <c r="D33" s="653">
        <f>AVERAGE(D30:D32)</f>
        <v>2.0863187909805599E-3</v>
      </c>
      <c r="E33" s="626">
        <f>AVERAGE(E32,E30)</f>
        <v>1.5149371069182389E-2</v>
      </c>
      <c r="F33" s="626">
        <f>AVERAGE(F29,F32)</f>
        <v>3.0135276985835671E-4</v>
      </c>
      <c r="G33" s="654">
        <f>AVERAGE(G29:G30)</f>
        <v>3.5347185290550941E-4</v>
      </c>
      <c r="H33" s="148" t="s">
        <v>559</v>
      </c>
      <c r="J33" s="148">
        <v>14</v>
      </c>
    </row>
    <row r="34" spans="1:10" ht="14.25">
      <c r="A34" s="14" t="s">
        <v>560</v>
      </c>
      <c r="B34" s="14" t="s">
        <v>561</v>
      </c>
      <c r="D34" s="242"/>
      <c r="E34" s="58"/>
      <c r="F34" s="242"/>
      <c r="G34" s="59"/>
      <c r="H34" s="242"/>
      <c r="I34" s="60"/>
      <c r="J34" s="242">
        <f>SUM(J29:J33)</f>
        <v>119</v>
      </c>
    </row>
    <row r="35" spans="1:10" ht="12.75">
      <c r="B35" s="14" t="s">
        <v>562</v>
      </c>
    </row>
    <row r="36" spans="1:10" ht="12.75">
      <c r="B36" s="14" t="s">
        <v>563</v>
      </c>
    </row>
    <row r="37" spans="1:10" ht="12.75">
      <c r="B37" s="14" t="s">
        <v>564</v>
      </c>
    </row>
    <row r="38" spans="1:10" ht="12.75">
      <c r="B38" s="14" t="s">
        <v>565</v>
      </c>
    </row>
    <row r="39" spans="1:10" ht="12.75">
      <c r="B39" s="655" t="s">
        <v>566</v>
      </c>
    </row>
    <row r="40" spans="1:10" ht="12.75">
      <c r="B40" s="656" t="s">
        <v>567</v>
      </c>
    </row>
    <row r="42" spans="1:10" ht="60">
      <c r="A42" s="52" t="s">
        <v>568</v>
      </c>
      <c r="B42" s="657" t="s">
        <v>532</v>
      </c>
      <c r="C42" s="641" t="s">
        <v>533</v>
      </c>
      <c r="D42" s="641" t="s">
        <v>543</v>
      </c>
      <c r="E42" s="641" t="s">
        <v>522</v>
      </c>
      <c r="F42" s="48" t="s">
        <v>535</v>
      </c>
    </row>
    <row r="43" spans="1:10" ht="12.75">
      <c r="A43" s="62" t="s">
        <v>569</v>
      </c>
      <c r="B43" s="17">
        <v>1</v>
      </c>
      <c r="C43" s="14">
        <f>0.05498/100</f>
        <v>5.4980000000000003E-4</v>
      </c>
      <c r="D43">
        <f>1.010611/100</f>
        <v>1.010611E-2</v>
      </c>
      <c r="E43">
        <v>3.4146341463414633E-5</v>
      </c>
      <c r="F43" s="3">
        <v>1.3442804878048784E-4</v>
      </c>
    </row>
    <row r="44" spans="1:10" ht="12.75">
      <c r="A44" s="63" t="s">
        <v>22</v>
      </c>
      <c r="B44" s="634">
        <f>AVERAGE(0.55,0.65,0.8)</f>
        <v>0.66666666666666663</v>
      </c>
      <c r="C44" s="646">
        <f>C43/$B44</f>
        <v>8.2470000000000004E-4</v>
      </c>
      <c r="D44" s="646">
        <f t="shared" ref="D44:F44" si="1">D43*$B44</f>
        <v>6.7374066666666659E-3</v>
      </c>
      <c r="E44" s="646">
        <f t="shared" si="1"/>
        <v>2.2764227642276422E-5</v>
      </c>
      <c r="F44" s="191">
        <f t="shared" si="1"/>
        <v>8.9618699186991881E-5</v>
      </c>
    </row>
    <row r="45" spans="1:10" ht="12.75">
      <c r="A45" s="615" t="s">
        <v>538</v>
      </c>
      <c r="B45" s="615" t="s">
        <v>570</v>
      </c>
      <c r="C45" s="14"/>
    </row>
    <row r="46" spans="1:10" ht="12.75">
      <c r="A46" s="14"/>
      <c r="B46" s="622" t="s">
        <v>571</v>
      </c>
      <c r="C46" s="14"/>
    </row>
    <row r="47" spans="1:10" ht="15">
      <c r="A47" s="14"/>
      <c r="B47" s="656" t="s">
        <v>567</v>
      </c>
      <c r="C47" s="14"/>
      <c r="D47" s="14"/>
      <c r="E47" s="14"/>
      <c r="F47" s="14"/>
      <c r="G47" s="81"/>
      <c r="H47" s="64"/>
      <c r="I47" s="64"/>
      <c r="J47" s="64"/>
    </row>
    <row r="48" spans="1:10" ht="12.75">
      <c r="A48" s="14"/>
      <c r="B48" s="14" t="s">
        <v>572</v>
      </c>
      <c r="H48" s="14"/>
    </row>
    <row r="49" spans="1:14" ht="12.75">
      <c r="B49" s="655" t="s">
        <v>573</v>
      </c>
    </row>
    <row r="50" spans="1:14" ht="12.75">
      <c r="B50" s="655" t="s">
        <v>574</v>
      </c>
    </row>
    <row r="52" spans="1:14" ht="78.75">
      <c r="A52" s="52" t="s">
        <v>575</v>
      </c>
      <c r="B52" s="644" t="s">
        <v>576</v>
      </c>
      <c r="C52" s="641" t="s">
        <v>533</v>
      </c>
      <c r="D52" s="641" t="s">
        <v>543</v>
      </c>
      <c r="E52" s="641" t="s">
        <v>522</v>
      </c>
      <c r="F52" s="48" t="s">
        <v>535</v>
      </c>
    </row>
    <row r="53" spans="1:14" ht="12.75">
      <c r="A53" s="62" t="s">
        <v>577</v>
      </c>
      <c r="C53">
        <v>3.8102374934982654E-3</v>
      </c>
      <c r="D53">
        <v>0.20470422547079484</v>
      </c>
      <c r="E53">
        <v>1.210810810810811E-4</v>
      </c>
      <c r="F53" s="3">
        <v>1.0002400855855065E-3</v>
      </c>
    </row>
    <row r="54" spans="1:14" ht="12.75">
      <c r="A54" s="62" t="s">
        <v>578</v>
      </c>
      <c r="B54" s="14">
        <f>10.83/76.29</f>
        <v>0.14195831694848604</v>
      </c>
      <c r="C54">
        <f t="shared" ref="C54:F54" si="2">C53*$B54</f>
        <v>5.408949017510318E-4</v>
      </c>
      <c r="D54">
        <f t="shared" si="2"/>
        <v>2.9059467320077442E-2</v>
      </c>
      <c r="E54">
        <f t="shared" si="2"/>
        <v>1.7188466484573448E-5</v>
      </c>
      <c r="F54" s="3">
        <f t="shared" si="2"/>
        <v>1.4199239909412813E-4</v>
      </c>
      <c r="I54" s="65"/>
    </row>
    <row r="55" spans="1:14" ht="12.75">
      <c r="A55" s="4" t="s">
        <v>579</v>
      </c>
      <c r="B55" s="617"/>
      <c r="C55" s="617">
        <f t="shared" ref="C55:F55" si="3">C54</f>
        <v>5.408949017510318E-4</v>
      </c>
      <c r="D55" s="617">
        <f t="shared" si="3"/>
        <v>2.9059467320077442E-2</v>
      </c>
      <c r="E55" s="617">
        <f t="shared" si="3"/>
        <v>1.7188466484573448E-5</v>
      </c>
      <c r="F55" s="5">
        <f t="shared" si="3"/>
        <v>1.4199239909412813E-4</v>
      </c>
      <c r="I55" s="65"/>
    </row>
    <row r="56" spans="1:14" ht="12.75">
      <c r="A56" s="14" t="s">
        <v>538</v>
      </c>
      <c r="B56" s="66" t="s">
        <v>580</v>
      </c>
    </row>
    <row r="57" spans="1:14" ht="12.75">
      <c r="B57" s="658" t="s">
        <v>581</v>
      </c>
    </row>
    <row r="58" spans="1:14" ht="12.75">
      <c r="B58" s="655" t="s">
        <v>582</v>
      </c>
    </row>
    <row r="61" spans="1:14" ht="12.75">
      <c r="A61" s="67" t="s">
        <v>583</v>
      </c>
      <c r="B61" s="68" t="s">
        <v>584</v>
      </c>
      <c r="C61" s="45"/>
      <c r="D61" s="45"/>
      <c r="E61" s="69"/>
      <c r="F61" s="45" t="s">
        <v>585</v>
      </c>
      <c r="G61" s="45"/>
      <c r="H61" s="45"/>
      <c r="I61" s="45"/>
      <c r="J61" s="68" t="s">
        <v>586</v>
      </c>
      <c r="K61" s="69"/>
      <c r="M61" s="14"/>
      <c r="N61" s="14"/>
    </row>
    <row r="62" spans="1:14" ht="38.25">
      <c r="A62" s="70"/>
      <c r="B62" s="71" t="s">
        <v>587</v>
      </c>
      <c r="C62" s="74" t="s">
        <v>588</v>
      </c>
      <c r="D62" s="74" t="s">
        <v>589</v>
      </c>
      <c r="E62" s="74" t="s">
        <v>590</v>
      </c>
      <c r="F62" s="72"/>
      <c r="G62" s="71" t="s">
        <v>591</v>
      </c>
      <c r="H62" s="71" t="s">
        <v>592</v>
      </c>
      <c r="I62" s="73" t="s">
        <v>593</v>
      </c>
      <c r="J62" s="74" t="s">
        <v>594</v>
      </c>
      <c r="K62" s="75" t="s">
        <v>595</v>
      </c>
    </row>
    <row r="63" spans="1:14" ht="12.75">
      <c r="A63" s="76"/>
      <c r="B63" s="17" t="s">
        <v>596</v>
      </c>
      <c r="C63" s="17">
        <f>1/(30*60)*10000/1000</f>
        <v>5.5555555555555558E-3</v>
      </c>
      <c r="D63" s="17">
        <v>0.3</v>
      </c>
      <c r="E63" s="17">
        <f t="shared" ref="E63:E66" si="4">C63*D63</f>
        <v>1.6666666666666668E-3</v>
      </c>
      <c r="F63" s="46" t="s">
        <v>596</v>
      </c>
      <c r="G63" s="17">
        <v>114</v>
      </c>
      <c r="H63" s="17">
        <f t="shared" ref="H63:H64" si="5">G63*1000/10000</f>
        <v>11.4</v>
      </c>
      <c r="I63" s="17">
        <f>H63*$E67</f>
        <v>6.9685365853658546E-2</v>
      </c>
      <c r="J63" s="46">
        <v>0.12590000000000001</v>
      </c>
      <c r="K63" s="643">
        <f>1-AVERAGE(J63:J71)</f>
        <v>0.82754444444444442</v>
      </c>
    </row>
    <row r="64" spans="1:14" ht="12.75">
      <c r="A64" s="76"/>
      <c r="B64" s="17" t="s">
        <v>597</v>
      </c>
      <c r="C64" s="17">
        <f>1/(20.5*60)*10000/1000</f>
        <v>8.130081300813009E-3</v>
      </c>
      <c r="D64" s="17">
        <v>0.21</v>
      </c>
      <c r="E64" s="17">
        <f t="shared" si="4"/>
        <v>1.7073170731707319E-3</v>
      </c>
      <c r="F64" s="46" t="s">
        <v>598</v>
      </c>
      <c r="G64" s="17">
        <v>250</v>
      </c>
      <c r="H64" s="17">
        <f t="shared" si="5"/>
        <v>25</v>
      </c>
      <c r="I64" s="17">
        <f>H64*$E67</f>
        <v>0.15281878476679506</v>
      </c>
      <c r="J64" s="46">
        <v>0.1492</v>
      </c>
      <c r="K64" s="77"/>
    </row>
    <row r="65" spans="1:14" ht="12.75">
      <c r="A65" s="76"/>
      <c r="B65" s="17" t="s">
        <v>599</v>
      </c>
      <c r="C65" s="17">
        <f>1/(38*60)*10000/1000</f>
        <v>4.3859649122807024E-3</v>
      </c>
      <c r="D65" s="17">
        <v>0.13</v>
      </c>
      <c r="E65" s="17">
        <f t="shared" si="4"/>
        <v>5.7017543859649129E-4</v>
      </c>
      <c r="F65" s="46" t="s">
        <v>600</v>
      </c>
      <c r="G65" s="17"/>
      <c r="H65" s="17"/>
      <c r="I65" s="17">
        <f>AVERAGE(I63:I64)</f>
        <v>0.11125207531022679</v>
      </c>
      <c r="J65" s="46">
        <v>0.1542</v>
      </c>
      <c r="K65" s="77"/>
    </row>
    <row r="66" spans="1:14" ht="12.75">
      <c r="A66" s="76"/>
      <c r="B66" s="17" t="s">
        <v>600</v>
      </c>
      <c r="C66" s="17">
        <f>AVERAGE(C63:C65)</f>
        <v>6.0238672562164218E-3</v>
      </c>
      <c r="D66" s="17">
        <f>1-(SUM(D63:D65))</f>
        <v>0.36</v>
      </c>
      <c r="E66" s="17">
        <f t="shared" si="4"/>
        <v>2.1685922122379117E-3</v>
      </c>
      <c r="F66" s="46"/>
      <c r="G66" s="17"/>
      <c r="H66" s="17"/>
      <c r="I66" s="17"/>
      <c r="J66" s="46">
        <v>0.16089999999999999</v>
      </c>
      <c r="K66" s="77"/>
      <c r="N66" s="148"/>
    </row>
    <row r="67" spans="1:14" ht="12.75">
      <c r="A67" s="76"/>
      <c r="B67" s="17"/>
      <c r="C67" s="17"/>
      <c r="D67" s="17"/>
      <c r="E67" s="659">
        <f>SUM(E63:E66)</f>
        <v>6.1127513906718018E-3</v>
      </c>
      <c r="F67" s="46"/>
      <c r="G67" s="71"/>
      <c r="H67" s="71"/>
      <c r="I67" s="71"/>
      <c r="J67" s="660">
        <v>0.17430000000000001</v>
      </c>
      <c r="K67" s="643"/>
    </row>
    <row r="68" spans="1:14" ht="60">
      <c r="A68" s="61" t="s">
        <v>601</v>
      </c>
      <c r="B68" s="640" t="s">
        <v>602</v>
      </c>
      <c r="C68" s="641" t="s">
        <v>533</v>
      </c>
      <c r="D68" s="641" t="s">
        <v>543</v>
      </c>
      <c r="E68" s="641" t="s">
        <v>603</v>
      </c>
      <c r="F68" s="48" t="s">
        <v>535</v>
      </c>
      <c r="J68" s="46">
        <v>0.1825</v>
      </c>
      <c r="K68" s="77"/>
    </row>
    <row r="69" spans="1:14" ht="12.75">
      <c r="A69" s="62" t="s">
        <v>604</v>
      </c>
      <c r="C69">
        <f>E67</f>
        <v>6.1127513906718018E-3</v>
      </c>
      <c r="D69" s="14">
        <f>I65</f>
        <v>0.11125207531022679</v>
      </c>
      <c r="E69" s="622">
        <f>116/1000000/K63</f>
        <v>1.4017374024892924E-4</v>
      </c>
      <c r="F69" s="3">
        <f>(0.75/453.592)/K63</f>
        <v>1.9980417078962523E-3</v>
      </c>
      <c r="J69" s="46">
        <v>0.19220000000000001</v>
      </c>
      <c r="K69" s="77"/>
    </row>
    <row r="70" spans="1:14" ht="12.75">
      <c r="A70" s="661" t="s">
        <v>605</v>
      </c>
      <c r="B70" s="148">
        <f>1.8/28</f>
        <v>6.4285714285714293E-2</v>
      </c>
      <c r="C70" s="148">
        <f>C69*B70</f>
        <v>3.9296258940033015E-4</v>
      </c>
      <c r="D70" s="148">
        <f>D69*B70</f>
        <v>7.1519191270860089E-3</v>
      </c>
      <c r="E70" s="148">
        <f>E69*B70</f>
        <v>9.0111690160025949E-6</v>
      </c>
      <c r="F70" s="357">
        <f>F69*B70</f>
        <v>1.2844553836475908E-4</v>
      </c>
      <c r="J70" s="46">
        <v>0.20019999999999999</v>
      </c>
      <c r="K70" s="77"/>
      <c r="N70" s="39"/>
    </row>
    <row r="71" spans="1:14" ht="12.75">
      <c r="A71" s="190" t="s">
        <v>606</v>
      </c>
      <c r="B71" s="646">
        <f>1/2.5</f>
        <v>0.4</v>
      </c>
      <c r="C71" s="646">
        <f>C69*B71</f>
        <v>2.4451005562687207E-3</v>
      </c>
      <c r="D71" s="646">
        <f>D69*B71</f>
        <v>4.4500830124090722E-2</v>
      </c>
      <c r="E71" s="646">
        <f>E69*B71</f>
        <v>5.6069496099571696E-5</v>
      </c>
      <c r="F71" s="191">
        <f>F69*B71</f>
        <v>7.9921668315850096E-4</v>
      </c>
      <c r="J71" s="72">
        <v>0.2127</v>
      </c>
      <c r="K71" s="73"/>
    </row>
    <row r="72" spans="1:14" ht="12.75">
      <c r="A72" s="14" t="s">
        <v>538</v>
      </c>
      <c r="B72" s="14" t="s">
        <v>607</v>
      </c>
      <c r="C72" s="14" t="s">
        <v>608</v>
      </c>
    </row>
    <row r="73" spans="1:14" ht="12.75">
      <c r="B73" s="14" t="s">
        <v>609</v>
      </c>
      <c r="C73" s="14" t="s">
        <v>610</v>
      </c>
    </row>
    <row r="74" spans="1:14" ht="12.75">
      <c r="B74" s="14"/>
      <c r="C74" s="14" t="s">
        <v>611</v>
      </c>
    </row>
    <row r="75" spans="1:14" ht="12.75">
      <c r="B75" s="14" t="s">
        <v>612</v>
      </c>
      <c r="C75" s="14" t="s">
        <v>613</v>
      </c>
    </row>
    <row r="76" spans="1:14" ht="12.75">
      <c r="B76" s="14" t="s">
        <v>614</v>
      </c>
      <c r="C76" s="656" t="s">
        <v>615</v>
      </c>
    </row>
    <row r="77" spans="1:14" ht="12.75">
      <c r="B77" s="14" t="s">
        <v>616</v>
      </c>
      <c r="C77" s="14" t="s">
        <v>617</v>
      </c>
    </row>
    <row r="78" spans="1:14" ht="12.75">
      <c r="B78" s="14" t="s">
        <v>618</v>
      </c>
      <c r="C78" s="14" t="s">
        <v>619</v>
      </c>
    </row>
    <row r="79" spans="1:14" ht="12.75">
      <c r="B79" s="14" t="s">
        <v>620</v>
      </c>
      <c r="C79" s="14" t="s">
        <v>621</v>
      </c>
    </row>
    <row r="82" spans="1:20" ht="75">
      <c r="A82" s="78" t="s">
        <v>622</v>
      </c>
      <c r="B82" s="657" t="s">
        <v>623</v>
      </c>
      <c r="C82" s="657" t="s">
        <v>624</v>
      </c>
      <c r="D82" s="79" t="s">
        <v>625</v>
      </c>
      <c r="E82" s="657" t="s">
        <v>626</v>
      </c>
      <c r="F82" s="657" t="s">
        <v>624</v>
      </c>
      <c r="G82" s="80" t="s">
        <v>534</v>
      </c>
      <c r="H82" s="81"/>
      <c r="I82" s="81"/>
      <c r="J82" s="64"/>
      <c r="K82" s="81"/>
      <c r="L82" s="81"/>
      <c r="M82" s="64"/>
    </row>
    <row r="83" spans="1:20" ht="12.75">
      <c r="A83" s="82" t="s">
        <v>627</v>
      </c>
      <c r="B83" s="634">
        <f>13700/1490000</f>
        <v>9.1946308724832216E-3</v>
      </c>
      <c r="C83" s="634" t="s">
        <v>628</v>
      </c>
      <c r="D83" s="662">
        <f>B83*4046.86/100*0.2204621</f>
        <v>8.2032589126726174E-2</v>
      </c>
      <c r="E83" s="634">
        <f>40</f>
        <v>40</v>
      </c>
      <c r="F83" s="634" t="s">
        <v>629</v>
      </c>
      <c r="G83" s="663">
        <f>E83/0.002204621*13700/1490000/100*0.2204621</f>
        <v>0.36778523489932879</v>
      </c>
      <c r="H83" s="14" t="s">
        <v>630</v>
      </c>
      <c r="I83" s="14"/>
      <c r="J83" s="148"/>
      <c r="K83" s="14"/>
      <c r="L83" s="14"/>
      <c r="M83" s="148"/>
    </row>
    <row r="84" spans="1:20" ht="60">
      <c r="A84" s="83" t="s">
        <v>631</v>
      </c>
      <c r="B84" s="74" t="s">
        <v>632</v>
      </c>
      <c r="C84" s="71" t="s">
        <v>624</v>
      </c>
      <c r="D84" s="71" t="s">
        <v>633</v>
      </c>
      <c r="E84" s="74" t="s">
        <v>634</v>
      </c>
      <c r="F84" s="74" t="s">
        <v>635</v>
      </c>
      <c r="G84" s="657" t="s">
        <v>636</v>
      </c>
      <c r="H84" s="664" t="s">
        <v>532</v>
      </c>
      <c r="I84" s="641" t="s">
        <v>533</v>
      </c>
      <c r="J84" s="641" t="s">
        <v>543</v>
      </c>
      <c r="K84" s="641" t="s">
        <v>522</v>
      </c>
      <c r="L84" s="48" t="s">
        <v>535</v>
      </c>
      <c r="M84" s="29"/>
      <c r="N84" s="84"/>
      <c r="O84" s="81"/>
      <c r="P84" s="81"/>
      <c r="Q84" s="64"/>
      <c r="R84" s="64"/>
      <c r="S84" s="64"/>
      <c r="T84" s="64"/>
    </row>
    <row r="85" spans="1:20" ht="12.75">
      <c r="A85" s="85" t="s">
        <v>627</v>
      </c>
      <c r="B85" s="17">
        <v>1.66</v>
      </c>
      <c r="C85" s="17" t="s">
        <v>637</v>
      </c>
      <c r="D85" s="17">
        <f>B85*100/0.002204621</f>
        <v>75296.388812408128</v>
      </c>
      <c r="E85" s="17"/>
      <c r="F85" s="17">
        <f>46/100</f>
        <v>0.46</v>
      </c>
      <c r="G85" s="17">
        <v>3.6</v>
      </c>
      <c r="H85" s="86"/>
      <c r="I85">
        <f>D83/100</f>
        <v>8.2032589126726171E-4</v>
      </c>
      <c r="J85" s="87">
        <f>G83/100</f>
        <v>3.6778523489932879E-3</v>
      </c>
      <c r="K85">
        <f>108/1000000</f>
        <v>1.08E-4</v>
      </c>
      <c r="L85" s="3">
        <f>1.418/1000</f>
        <v>1.418E-3</v>
      </c>
      <c r="M85" s="29"/>
      <c r="N85" s="88"/>
      <c r="O85" s="14"/>
    </row>
    <row r="86" spans="1:20" ht="12.75">
      <c r="A86" s="665" t="str">
        <f>HYPERLINK("https://nutritiondata.self.com/facts/fruits-and-fruit-juices/7678/2","Cranberry Juice Concentrate")</f>
        <v>Cranberry Juice Concentrate</v>
      </c>
      <c r="B86" s="17">
        <v>1</v>
      </c>
      <c r="C86" s="17" t="s">
        <v>638</v>
      </c>
      <c r="D86" s="17">
        <f>B86*4048</f>
        <v>4048</v>
      </c>
      <c r="E86" s="17">
        <v>8</v>
      </c>
      <c r="F86" s="17"/>
      <c r="G86" s="17"/>
      <c r="H86" s="86">
        <f>D85/D86</f>
        <v>18.600886564330072</v>
      </c>
      <c r="I86" s="14">
        <f>I85*H86</f>
        <v>1.52587888492453E-2</v>
      </c>
      <c r="J86" s="87">
        <f>J85*H86</f>
        <v>6.8411314343979041E-2</v>
      </c>
      <c r="K86">
        <f>K85*H86</f>
        <v>2.0088957489476475E-3</v>
      </c>
      <c r="L86" s="3">
        <f>L85*H86</f>
        <v>2.6376057148220042E-2</v>
      </c>
      <c r="N86" s="148"/>
      <c r="O86" s="14"/>
      <c r="P86" s="14"/>
      <c r="Q86" s="148"/>
      <c r="R86" s="148"/>
      <c r="S86" s="148"/>
      <c r="T86" s="148"/>
    </row>
    <row r="87" spans="1:20" ht="12.75">
      <c r="A87" s="666" t="s">
        <v>639</v>
      </c>
      <c r="B87" s="89"/>
      <c r="C87" s="17"/>
      <c r="D87" s="17"/>
      <c r="E87" s="667">
        <v>32</v>
      </c>
      <c r="F87" s="17"/>
      <c r="G87" s="90"/>
      <c r="H87" s="91">
        <f>E86/E87</f>
        <v>0.25</v>
      </c>
      <c r="I87" s="92">
        <f t="shared" ref="I87:L87" si="6">I86*$H87</f>
        <v>3.8146972123113249E-3</v>
      </c>
      <c r="J87" s="93">
        <f t="shared" si="6"/>
        <v>1.710282858599476E-2</v>
      </c>
      <c r="K87" s="92">
        <f t="shared" si="6"/>
        <v>5.0222393723691188E-4</v>
      </c>
      <c r="L87" s="94">
        <f t="shared" si="6"/>
        <v>6.5940142870550104E-3</v>
      </c>
      <c r="M87" s="92"/>
      <c r="N87" s="668"/>
    </row>
    <row r="88" spans="1:20" ht="12.75">
      <c r="A88" s="63" t="s">
        <v>640</v>
      </c>
      <c r="B88" s="669"/>
      <c r="C88" s="634"/>
      <c r="D88" s="634"/>
      <c r="E88" s="670"/>
      <c r="F88" s="671">
        <f>308/100</f>
        <v>3.08</v>
      </c>
      <c r="G88" s="671">
        <v>5.3</v>
      </c>
      <c r="H88" s="95">
        <f>G88/G85</f>
        <v>1.4722222222222221</v>
      </c>
      <c r="I88" s="672">
        <f t="shared" ref="I88:L88" si="7">I85*$H88</f>
        <v>1.2077020065879129E-3</v>
      </c>
      <c r="J88" s="672">
        <f t="shared" si="7"/>
        <v>5.4146159582401177E-3</v>
      </c>
      <c r="K88" s="672">
        <f t="shared" si="7"/>
        <v>1.5899999999999999E-4</v>
      </c>
      <c r="L88" s="96">
        <f t="shared" si="7"/>
        <v>2.0876111111111108E-3</v>
      </c>
    </row>
    <row r="89" spans="1:20" ht="15">
      <c r="A89" s="14" t="s">
        <v>560</v>
      </c>
      <c r="B89" s="66" t="s">
        <v>641</v>
      </c>
      <c r="C89" s="14"/>
      <c r="D89" s="14"/>
      <c r="E89" s="81"/>
      <c r="F89" s="64"/>
      <c r="G89" s="64"/>
      <c r="J89">
        <f>3.825/1000</f>
        <v>3.8250000000000003E-3</v>
      </c>
    </row>
    <row r="90" spans="1:20" ht="15">
      <c r="B90" s="14" t="s">
        <v>642</v>
      </c>
      <c r="D90" s="14"/>
      <c r="E90" s="81"/>
      <c r="F90" s="64"/>
      <c r="G90" s="64"/>
      <c r="H90" s="64"/>
      <c r="I90" s="64"/>
    </row>
    <row r="91" spans="1:20" ht="12.75">
      <c r="B91" s="14" t="s">
        <v>643</v>
      </c>
    </row>
    <row r="92" spans="1:20" ht="12.75">
      <c r="B92" s="14" t="s">
        <v>644</v>
      </c>
    </row>
    <row r="93" spans="1:20" ht="12.75">
      <c r="B93" s="14" t="s">
        <v>645</v>
      </c>
    </row>
    <row r="94" spans="1:20" ht="12.75">
      <c r="B94" s="655" t="s">
        <v>646</v>
      </c>
    </row>
    <row r="95" spans="1:20" ht="12.75">
      <c r="B95" s="655" t="s">
        <v>647</v>
      </c>
    </row>
    <row r="98" spans="1:66" ht="94.5">
      <c r="A98" s="47" t="s">
        <v>648</v>
      </c>
      <c r="B98" s="640" t="s">
        <v>649</v>
      </c>
      <c r="C98" s="641" t="s">
        <v>533</v>
      </c>
      <c r="D98" s="641" t="s">
        <v>543</v>
      </c>
      <c r="E98" s="641" t="s">
        <v>522</v>
      </c>
      <c r="F98" s="48" t="s">
        <v>650</v>
      </c>
      <c r="L98" s="14"/>
      <c r="M98" s="6"/>
      <c r="AL98" s="43"/>
      <c r="AM98" s="43"/>
      <c r="AN98" s="43"/>
      <c r="AO98" s="43"/>
      <c r="AT98" s="43"/>
      <c r="AU98" s="43"/>
      <c r="AV98" s="43"/>
      <c r="AW98" s="43"/>
      <c r="AX98" s="43"/>
      <c r="AY98" s="43"/>
      <c r="AZ98" s="43"/>
      <c r="BA98" s="43"/>
      <c r="BB98" s="43"/>
      <c r="BC98" s="43"/>
      <c r="BD98" s="43"/>
      <c r="BE98" s="43"/>
      <c r="BF98" s="43"/>
      <c r="BG98" s="43"/>
      <c r="BH98" s="43"/>
      <c r="BI98" s="43"/>
      <c r="BJ98" s="43"/>
      <c r="BK98" s="43"/>
      <c r="BL98" s="43"/>
      <c r="BM98" s="43"/>
      <c r="BN98" s="43"/>
    </row>
    <row r="99" spans="1:66" ht="12.75">
      <c r="A99" s="616" t="s">
        <v>651</v>
      </c>
      <c r="B99" s="14"/>
      <c r="C99" s="14">
        <v>1.109195941E-3</v>
      </c>
      <c r="D99" s="14">
        <v>5.4815712449999996E-3</v>
      </c>
      <c r="E99" s="14">
        <v>1.0319148936170213E-4</v>
      </c>
      <c r="F99" s="3">
        <v>3.8698117021276597E-4</v>
      </c>
      <c r="I99" s="14"/>
      <c r="J99" s="39"/>
      <c r="K99" s="14"/>
      <c r="M99" s="220"/>
      <c r="AL99" s="43"/>
      <c r="AM99" s="43"/>
      <c r="AN99" s="43"/>
      <c r="AO99" s="43"/>
      <c r="AT99" s="43"/>
      <c r="AU99" s="43"/>
      <c r="AV99" s="43"/>
      <c r="AW99" s="43"/>
      <c r="AX99" s="43"/>
      <c r="AY99" s="43"/>
      <c r="AZ99" s="43"/>
      <c r="BA99" s="43"/>
      <c r="BB99" s="43"/>
      <c r="BC99" s="43"/>
      <c r="BD99" s="43"/>
      <c r="BE99" s="43"/>
      <c r="BF99" s="43"/>
      <c r="BG99" s="43"/>
      <c r="BH99" s="43"/>
      <c r="BI99" s="43"/>
      <c r="BJ99" s="43"/>
      <c r="BK99" s="43"/>
      <c r="BL99" s="43"/>
      <c r="BM99" s="43"/>
      <c r="BN99" s="43"/>
    </row>
    <row r="100" spans="1:66" ht="12.75">
      <c r="A100" s="4" t="s">
        <v>652</v>
      </c>
      <c r="B100" s="617">
        <f>(820*1069.37)/1000000</f>
        <v>0.87688339999999987</v>
      </c>
      <c r="C100" s="646">
        <f>C99/B100</f>
        <v>1.2649297968236144E-3</v>
      </c>
      <c r="D100" s="646">
        <f>D99/B100</f>
        <v>6.2511974168971618E-3</v>
      </c>
      <c r="E100" s="646">
        <f>E99/B100</f>
        <v>1.1767982990863112E-4</v>
      </c>
      <c r="F100" s="191">
        <f>F99/B100</f>
        <v>4.4131428444507676E-4</v>
      </c>
      <c r="J100" s="39"/>
      <c r="M100" s="148"/>
    </row>
    <row r="101" spans="1:66" ht="12.75">
      <c r="A101" s="14" t="s">
        <v>538</v>
      </c>
      <c r="B101" s="14" t="s">
        <v>653</v>
      </c>
    </row>
    <row r="102" spans="1:66" ht="12.75">
      <c r="B102" s="14" t="s">
        <v>654</v>
      </c>
    </row>
    <row r="103" spans="1:66" ht="12.75">
      <c r="B103" s="655" t="s">
        <v>655</v>
      </c>
    </row>
    <row r="104" spans="1:66" ht="12.75">
      <c r="B104" s="655" t="s">
        <v>656</v>
      </c>
    </row>
    <row r="105" spans="1:66" ht="12.75">
      <c r="B105" s="14" t="s">
        <v>570</v>
      </c>
    </row>
    <row r="106" spans="1:66" ht="12.75">
      <c r="B106" s="14" t="s">
        <v>657</v>
      </c>
    </row>
    <row r="109" spans="1:66" ht="60">
      <c r="A109" s="61" t="s">
        <v>658</v>
      </c>
      <c r="B109" s="673" t="s">
        <v>659</v>
      </c>
      <c r="C109" s="641" t="s">
        <v>533</v>
      </c>
      <c r="D109" s="641" t="s">
        <v>543</v>
      </c>
      <c r="E109" s="641" t="s">
        <v>522</v>
      </c>
      <c r="F109" s="48" t="s">
        <v>535</v>
      </c>
      <c r="G109" s="14"/>
    </row>
    <row r="110" spans="1:66" ht="12.75">
      <c r="A110" s="62" t="s">
        <v>660</v>
      </c>
      <c r="B110" s="97"/>
      <c r="C110" s="14">
        <f>0.108830216354969/100</f>
        <v>1.08830216354969E-3</v>
      </c>
      <c r="D110" s="14">
        <f>1.58293607138492/100</f>
        <v>1.5829360713849203E-2</v>
      </c>
      <c r="E110">
        <f>85/1000000</f>
        <v>8.5000000000000006E-5</v>
      </c>
      <c r="F110" s="3">
        <f>AVERAGE(0.0002939499227,0.0004739942503)</f>
        <v>3.8397208649999998E-4</v>
      </c>
    </row>
    <row r="111" spans="1:66" ht="12.75">
      <c r="A111" s="63" t="s">
        <v>661</v>
      </c>
      <c r="B111" s="98">
        <v>0.45</v>
      </c>
      <c r="C111" s="646">
        <f t="shared" ref="C111:F111" si="8">C110/$B111</f>
        <v>2.4184492523326444E-3</v>
      </c>
      <c r="D111" s="646">
        <f t="shared" si="8"/>
        <v>3.5176357141887118E-2</v>
      </c>
      <c r="E111" s="646">
        <f t="shared" si="8"/>
        <v>1.8888888888888888E-4</v>
      </c>
      <c r="F111" s="191">
        <f t="shared" si="8"/>
        <v>8.5327130333333323E-4</v>
      </c>
    </row>
    <row r="112" spans="1:66" ht="12.75">
      <c r="A112" s="14" t="s">
        <v>538</v>
      </c>
      <c r="B112" s="14" t="s">
        <v>570</v>
      </c>
    </row>
    <row r="113" spans="1:7" ht="12.75">
      <c r="B113" s="14" t="s">
        <v>662</v>
      </c>
    </row>
    <row r="114" spans="1:7" ht="12.75">
      <c r="B114" s="655" t="s">
        <v>656</v>
      </c>
    </row>
    <row r="115" spans="1:7" ht="12.75">
      <c r="B115" s="14" t="s">
        <v>663</v>
      </c>
    </row>
    <row r="118" spans="1:7" ht="25.5">
      <c r="A118" s="208" t="s">
        <v>664</v>
      </c>
      <c r="B118" s="202" t="s">
        <v>665</v>
      </c>
      <c r="C118" s="99" t="s">
        <v>666</v>
      </c>
      <c r="D118" s="100" t="s">
        <v>667</v>
      </c>
      <c r="E118" s="92"/>
      <c r="F118" s="92"/>
    </row>
    <row r="119" spans="1:7" ht="12.75">
      <c r="A119" s="674" t="s">
        <v>668</v>
      </c>
      <c r="B119" s="667">
        <v>100</v>
      </c>
      <c r="C119" s="90">
        <v>64</v>
      </c>
      <c r="D119" s="101">
        <f t="shared" ref="D119:D122" si="9">C119/B119</f>
        <v>0.64</v>
      </c>
      <c r="E119" s="92"/>
      <c r="F119" s="92"/>
      <c r="G119" s="14"/>
    </row>
    <row r="120" spans="1:7" ht="12.75">
      <c r="A120" s="674" t="s">
        <v>669</v>
      </c>
      <c r="B120" s="667">
        <v>108</v>
      </c>
      <c r="C120" s="90">
        <v>67</v>
      </c>
      <c r="D120" s="101">
        <f t="shared" si="9"/>
        <v>0.62037037037037035</v>
      </c>
      <c r="E120" s="92"/>
      <c r="F120" s="92"/>
      <c r="G120" s="14"/>
    </row>
    <row r="121" spans="1:7" ht="12.75">
      <c r="A121" s="674" t="s">
        <v>670</v>
      </c>
      <c r="B121" s="667">
        <v>173</v>
      </c>
      <c r="C121" s="90">
        <v>53</v>
      </c>
      <c r="D121" s="101">
        <f t="shared" si="9"/>
        <v>0.30635838150289019</v>
      </c>
      <c r="E121" s="92"/>
      <c r="G121" s="14"/>
    </row>
    <row r="122" spans="1:7" ht="12.75">
      <c r="A122" s="674" t="s">
        <v>671</v>
      </c>
      <c r="B122" s="667">
        <v>115</v>
      </c>
      <c r="C122" s="90">
        <v>62</v>
      </c>
      <c r="D122" s="101">
        <f t="shared" si="9"/>
        <v>0.53913043478260869</v>
      </c>
      <c r="E122" s="92"/>
      <c r="F122" s="92"/>
      <c r="G122" s="14"/>
    </row>
    <row r="123" spans="1:7" ht="12.75">
      <c r="A123" s="674" t="s">
        <v>600</v>
      </c>
      <c r="B123" s="667"/>
      <c r="C123" s="90"/>
      <c r="D123" s="101">
        <f>AVERAGE(D119:D122)</f>
        <v>0.52646479666396728</v>
      </c>
      <c r="E123" s="92"/>
      <c r="F123" s="92"/>
      <c r="G123" s="14"/>
    </row>
    <row r="124" spans="1:7" ht="60">
      <c r="A124" s="61" t="s">
        <v>672</v>
      </c>
      <c r="B124" s="644" t="s">
        <v>532</v>
      </c>
      <c r="C124" s="641" t="s">
        <v>533</v>
      </c>
      <c r="D124" s="641" t="s">
        <v>543</v>
      </c>
      <c r="E124" s="641" t="s">
        <v>603</v>
      </c>
      <c r="F124" s="48" t="s">
        <v>535</v>
      </c>
    </row>
    <row r="125" spans="1:7" ht="12.75">
      <c r="A125" s="62" t="s">
        <v>673</v>
      </c>
      <c r="B125" s="14"/>
      <c r="C125" s="14">
        <f t="shared" ref="C125:E125" si="10">C126/$B126</f>
        <v>7.6227048844093532E-3</v>
      </c>
      <c r="D125" s="14">
        <f t="shared" si="10"/>
        <v>5.7362493791347786E-2</v>
      </c>
      <c r="E125" s="14">
        <f t="shared" si="10"/>
        <v>2.8871825991628227E-4</v>
      </c>
      <c r="F125" s="3">
        <f>0.04/453.592</f>
        <v>8.8184976807351105E-5</v>
      </c>
    </row>
    <row r="126" spans="1:7" ht="12.75">
      <c r="A126" s="62" t="s">
        <v>674</v>
      </c>
      <c r="B126" s="14">
        <f>D123</f>
        <v>0.52646479666396728</v>
      </c>
      <c r="C126" s="14">
        <f>0.4013085777/100</f>
        <v>4.0130857770000004E-3</v>
      </c>
      <c r="D126" s="14">
        <f>3.019933363/100</f>
        <v>3.0199333629999998E-2</v>
      </c>
      <c r="E126" s="220">
        <f>152/1000000</f>
        <v>1.5200000000000001E-4</v>
      </c>
      <c r="F126" s="3">
        <f>F125/B126</f>
        <v>1.6750403325379025E-4</v>
      </c>
    </row>
    <row r="127" spans="1:7" ht="12.75">
      <c r="A127" s="63" t="s">
        <v>675</v>
      </c>
      <c r="B127" s="617">
        <v>0.45</v>
      </c>
      <c r="C127" s="646">
        <f t="shared" ref="C127:F127" si="11">C125/$B127</f>
        <v>1.6939344187576338E-2</v>
      </c>
      <c r="D127" s="646">
        <f t="shared" si="11"/>
        <v>0.12747220842521731</v>
      </c>
      <c r="E127" s="646">
        <f t="shared" si="11"/>
        <v>6.4159613314729389E-4</v>
      </c>
      <c r="F127" s="191">
        <f t="shared" si="11"/>
        <v>1.9596661512744689E-4</v>
      </c>
      <c r="G127" s="14" t="s">
        <v>676</v>
      </c>
    </row>
    <row r="128" spans="1:7" ht="12.75">
      <c r="A128" s="14" t="s">
        <v>538</v>
      </c>
      <c r="B128" t="s">
        <v>677</v>
      </c>
    </row>
    <row r="129" spans="1:15" ht="12.75">
      <c r="B129" s="622" t="s">
        <v>570</v>
      </c>
    </row>
    <row r="130" spans="1:15" ht="12.75">
      <c r="B130" s="622" t="s">
        <v>678</v>
      </c>
    </row>
    <row r="131" spans="1:15" ht="12.75">
      <c r="B131" s="656" t="s">
        <v>679</v>
      </c>
      <c r="H131" s="6"/>
    </row>
    <row r="132" spans="1:15" ht="12.75">
      <c r="B132" s="14" t="s">
        <v>663</v>
      </c>
    </row>
    <row r="133" spans="1:15" ht="12.75">
      <c r="H133" s="148"/>
    </row>
    <row r="135" spans="1:15" ht="51.75">
      <c r="A135" s="61" t="s">
        <v>680</v>
      </c>
      <c r="B135" s="640" t="s">
        <v>681</v>
      </c>
      <c r="C135" s="640" t="s">
        <v>682</v>
      </c>
      <c r="D135" s="648" t="s">
        <v>549</v>
      </c>
      <c r="E135" s="648" t="s">
        <v>550</v>
      </c>
      <c r="F135" s="648" t="s">
        <v>551</v>
      </c>
      <c r="G135" s="54" t="s">
        <v>552</v>
      </c>
      <c r="H135" s="102"/>
      <c r="I135" s="102"/>
      <c r="J135" s="14"/>
      <c r="K135" s="102"/>
      <c r="L135" s="81"/>
      <c r="M135" s="81"/>
      <c r="N135" s="14"/>
      <c r="O135" s="81"/>
    </row>
    <row r="136" spans="1:15" ht="12.75">
      <c r="A136" s="62" t="s">
        <v>536</v>
      </c>
      <c r="B136" s="14">
        <v>43</v>
      </c>
      <c r="C136" s="14">
        <v>100</v>
      </c>
      <c r="D136">
        <v>2.0863187909805599E-3</v>
      </c>
      <c r="E136">
        <v>1.5149371069182389E-2</v>
      </c>
      <c r="F136">
        <v>3.0135276985835671E-4</v>
      </c>
      <c r="G136" s="3">
        <v>3.5347185290550941E-4</v>
      </c>
      <c r="L136" s="220"/>
      <c r="M136" s="220"/>
      <c r="N136" s="14"/>
      <c r="O136" s="220"/>
    </row>
    <row r="137" spans="1:15" ht="12.75">
      <c r="A137" s="63" t="s">
        <v>683</v>
      </c>
      <c r="B137" s="617">
        <v>29</v>
      </c>
      <c r="C137" s="617">
        <v>100</v>
      </c>
      <c r="D137" s="646">
        <f t="shared" ref="D137:F137" si="12">D136*$B136/$B137</f>
        <v>3.0935071728332439E-3</v>
      </c>
      <c r="E137" s="646">
        <f t="shared" si="12"/>
        <v>2.2462860550856643E-2</v>
      </c>
      <c r="F137" s="646">
        <f t="shared" si="12"/>
        <v>4.4683341737618407E-4</v>
      </c>
      <c r="G137" s="191">
        <v>3.0935071729999999E-3</v>
      </c>
      <c r="H137" s="14"/>
      <c r="J137" s="14"/>
    </row>
    <row r="138" spans="1:15" ht="12.75">
      <c r="A138" s="14" t="s">
        <v>560</v>
      </c>
      <c r="B138" s="14" t="s">
        <v>561</v>
      </c>
    </row>
    <row r="139" spans="1:15" ht="12.75">
      <c r="B139" s="14" t="s">
        <v>562</v>
      </c>
    </row>
    <row r="140" spans="1:15" ht="12.75">
      <c r="B140" s="14" t="s">
        <v>563</v>
      </c>
    </row>
    <row r="141" spans="1:15" ht="12.75">
      <c r="B141" s="14" t="s">
        <v>564</v>
      </c>
    </row>
    <row r="142" spans="1:15" ht="12.75">
      <c r="B142" s="14" t="s">
        <v>565</v>
      </c>
    </row>
    <row r="143" spans="1:15" ht="12.75">
      <c r="B143" s="14" t="s">
        <v>684</v>
      </c>
    </row>
    <row r="144" spans="1:15" ht="12.75">
      <c r="A144" s="14"/>
      <c r="B144" s="655" t="s">
        <v>685</v>
      </c>
    </row>
    <row r="145" spans="1:66" ht="12.75">
      <c r="A145" s="14"/>
      <c r="B145" s="655" t="s">
        <v>686</v>
      </c>
    </row>
    <row r="147" spans="1:66" ht="12.75">
      <c r="H147" s="622"/>
    </row>
    <row r="148" spans="1:66" ht="63">
      <c r="A148" s="52" t="s">
        <v>687</v>
      </c>
      <c r="B148" s="640" t="s">
        <v>688</v>
      </c>
      <c r="C148" s="641" t="s">
        <v>533</v>
      </c>
      <c r="D148" s="641" t="s">
        <v>543</v>
      </c>
      <c r="E148" s="641" t="s">
        <v>603</v>
      </c>
      <c r="F148" s="48" t="s">
        <v>535</v>
      </c>
    </row>
    <row r="149" spans="1:66" ht="12.75">
      <c r="A149" s="62" t="s">
        <v>689</v>
      </c>
      <c r="B149" s="14">
        <v>1</v>
      </c>
      <c r="C149">
        <v>9.6530647293316797E-4</v>
      </c>
      <c r="D149">
        <v>1.9624016847597899E-2</v>
      </c>
      <c r="E149">
        <f>110/1000000</f>
        <v>1.1E-4</v>
      </c>
      <c r="F149" s="3">
        <v>4.7399425033951224E-4</v>
      </c>
    </row>
    <row r="150" spans="1:66" ht="12.75">
      <c r="A150" s="63" t="s">
        <v>690</v>
      </c>
      <c r="B150" s="617">
        <v>0.5</v>
      </c>
      <c r="C150" s="646">
        <f t="shared" ref="C150:E150" si="13">C149/$B150</f>
        <v>1.9306129458663359E-3</v>
      </c>
      <c r="D150" s="646">
        <f t="shared" si="13"/>
        <v>3.9248033695195798E-2</v>
      </c>
      <c r="E150" s="646">
        <f t="shared" si="13"/>
        <v>2.2000000000000001E-4</v>
      </c>
      <c r="F150" s="191">
        <f>0.97/453.592</f>
        <v>2.1384856875782642E-3</v>
      </c>
    </row>
    <row r="151" spans="1:66" ht="12.75">
      <c r="A151" s="14" t="s">
        <v>691</v>
      </c>
      <c r="B151" s="622" t="s">
        <v>570</v>
      </c>
    </row>
    <row r="152" spans="1:66" ht="12.75">
      <c r="A152" s="14"/>
      <c r="B152" s="14" t="s">
        <v>692</v>
      </c>
    </row>
    <row r="153" spans="1:66" ht="12.75">
      <c r="B153" s="14" t="s">
        <v>693</v>
      </c>
    </row>
    <row r="154" spans="1:66" ht="12.75">
      <c r="B154" s="14" t="s">
        <v>694</v>
      </c>
    </row>
    <row r="155" spans="1:66" ht="12.75">
      <c r="B155" s="14" t="s">
        <v>663</v>
      </c>
    </row>
    <row r="156" spans="1:66" ht="12.75">
      <c r="B156" s="14"/>
    </row>
    <row r="157" spans="1:66" ht="12.75">
      <c r="B157" s="14"/>
    </row>
    <row r="158" spans="1:66" ht="63">
      <c r="A158" s="47" t="s">
        <v>695</v>
      </c>
      <c r="B158" s="640" t="s">
        <v>649</v>
      </c>
      <c r="C158" s="641" t="s">
        <v>533</v>
      </c>
      <c r="D158" s="641" t="s">
        <v>543</v>
      </c>
      <c r="E158" s="641" t="s">
        <v>522</v>
      </c>
      <c r="F158" s="48" t="s">
        <v>535</v>
      </c>
      <c r="G158" s="14"/>
      <c r="H158" s="103"/>
      <c r="I158" s="88"/>
      <c r="J158" s="104"/>
      <c r="K158" s="104"/>
      <c r="L158" s="104"/>
      <c r="M158" s="104"/>
      <c r="N158" s="88"/>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row>
    <row r="159" spans="1:66" ht="15">
      <c r="A159" s="616" t="s">
        <v>696</v>
      </c>
      <c r="B159" s="14"/>
      <c r="C159" s="14">
        <f>0.24079/100</f>
        <v>2.4079000000000001E-3</v>
      </c>
      <c r="D159" s="14">
        <f>7.4916/100</f>
        <v>7.4915999999999996E-2</v>
      </c>
      <c r="E159" s="14">
        <f>9/1000000</f>
        <v>9.0000000000000002E-6</v>
      </c>
      <c r="F159" s="3">
        <f>0.04*0.00220462</f>
        <v>8.8184799999999996E-5</v>
      </c>
      <c r="G159" s="55"/>
      <c r="H159" s="106"/>
      <c r="I159" s="88"/>
      <c r="J159" s="88"/>
      <c r="K159" s="107"/>
      <c r="L159" s="107"/>
      <c r="M159" s="107"/>
      <c r="N159" s="107"/>
      <c r="O159" s="108"/>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9"/>
      <c r="AU159" s="109"/>
      <c r="AV159" s="109"/>
      <c r="AW159" s="109"/>
      <c r="AX159" s="109"/>
      <c r="AY159" s="109"/>
      <c r="AZ159" s="109"/>
      <c r="BA159" s="109"/>
      <c r="BB159" s="110"/>
      <c r="BC159" s="110"/>
      <c r="BD159" s="110"/>
      <c r="BE159" s="110"/>
      <c r="BF159" s="110"/>
      <c r="BG159" s="110"/>
      <c r="BH159" s="110"/>
      <c r="BI159" s="110"/>
      <c r="BJ159" s="110"/>
      <c r="BK159" s="110"/>
      <c r="BL159" s="110"/>
      <c r="BM159" s="110"/>
      <c r="BN159" s="110"/>
    </row>
    <row r="160" spans="1:66" ht="12.75">
      <c r="A160" s="675" t="s">
        <v>697</v>
      </c>
      <c r="B160" s="617">
        <v>0.65</v>
      </c>
      <c r="C160" s="646">
        <f t="shared" ref="C160:F160" si="14">C159/$B160</f>
        <v>3.7044615384615384E-3</v>
      </c>
      <c r="D160" s="646">
        <f t="shared" si="14"/>
        <v>0.11525538461538461</v>
      </c>
      <c r="E160" s="646">
        <f t="shared" si="14"/>
        <v>1.3846153846153847E-5</v>
      </c>
      <c r="F160" s="646">
        <f t="shared" si="14"/>
        <v>1.3566892307692306E-4</v>
      </c>
      <c r="H160" s="106"/>
      <c r="I160" s="111"/>
      <c r="J160" s="107"/>
      <c r="K160" s="112"/>
      <c r="L160" s="112"/>
      <c r="M160" s="112"/>
      <c r="N160" s="112"/>
      <c r="O160" s="88"/>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9"/>
      <c r="AM160" s="109"/>
      <c r="AN160" s="109"/>
      <c r="AO160" s="109"/>
      <c r="AP160" s="105"/>
      <c r="AQ160" s="105"/>
      <c r="AR160" s="105"/>
      <c r="AS160" s="105"/>
      <c r="AT160" s="110"/>
      <c r="AU160" s="110"/>
      <c r="AV160" s="110"/>
      <c r="AW160" s="110"/>
      <c r="AX160" s="109"/>
      <c r="AY160" s="109"/>
      <c r="AZ160" s="109"/>
      <c r="BA160" s="109"/>
      <c r="BB160" s="110"/>
      <c r="BC160" s="110"/>
      <c r="BD160" s="110"/>
      <c r="BE160" s="110"/>
      <c r="BF160" s="110"/>
      <c r="BG160" s="110"/>
      <c r="BH160" s="110"/>
      <c r="BI160" s="110"/>
      <c r="BJ160" s="110"/>
      <c r="BK160" s="110"/>
      <c r="BL160" s="110"/>
      <c r="BM160" s="110"/>
      <c r="BN160" s="110"/>
    </row>
    <row r="161" spans="1:66" ht="12.75">
      <c r="A161" s="14" t="s">
        <v>538</v>
      </c>
      <c r="B161" s="14" t="s">
        <v>570</v>
      </c>
      <c r="H161" s="106"/>
      <c r="I161" s="88"/>
      <c r="J161" s="88"/>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9"/>
      <c r="AM161" s="109"/>
      <c r="AN161" s="109"/>
      <c r="AO161" s="109"/>
      <c r="AP161" s="105"/>
      <c r="AQ161" s="105"/>
      <c r="AR161" s="105"/>
      <c r="AS161" s="105"/>
      <c r="AT161" s="110"/>
      <c r="AU161" s="110"/>
      <c r="AV161" s="110"/>
      <c r="AW161" s="110"/>
      <c r="AX161" s="109"/>
      <c r="AY161" s="109"/>
      <c r="AZ161" s="109"/>
      <c r="BA161" s="109"/>
      <c r="BB161" s="110"/>
      <c r="BC161" s="110"/>
      <c r="BD161" s="110"/>
      <c r="BE161" s="110"/>
      <c r="BF161" s="110"/>
      <c r="BG161" s="110"/>
      <c r="BH161" s="110"/>
      <c r="BI161" s="110"/>
      <c r="BJ161" s="110"/>
      <c r="BK161" s="110"/>
      <c r="BL161" s="110"/>
      <c r="BM161" s="110"/>
      <c r="BN161" s="110"/>
    </row>
    <row r="162" spans="1:66" ht="12.75">
      <c r="B162" s="66" t="s">
        <v>642</v>
      </c>
      <c r="H162" s="106"/>
      <c r="I162" s="105"/>
      <c r="J162" s="88"/>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9"/>
      <c r="AM162" s="109"/>
      <c r="AN162" s="109"/>
      <c r="AO162" s="109"/>
      <c r="AP162" s="105"/>
      <c r="AQ162" s="105"/>
      <c r="AR162" s="105"/>
      <c r="AS162" s="105"/>
      <c r="AT162" s="110"/>
      <c r="AU162" s="110"/>
      <c r="AV162" s="110"/>
      <c r="AW162" s="110"/>
      <c r="AX162" s="109"/>
      <c r="AY162" s="109"/>
      <c r="AZ162" s="109"/>
      <c r="BA162" s="109"/>
      <c r="BB162" s="110"/>
      <c r="BC162" s="110"/>
      <c r="BD162" s="110"/>
      <c r="BE162" s="110"/>
      <c r="BF162" s="110"/>
      <c r="BG162" s="110"/>
      <c r="BH162" s="110"/>
      <c r="BI162" s="110"/>
      <c r="BJ162" s="110"/>
      <c r="BK162" s="110"/>
      <c r="BL162" s="110"/>
      <c r="BM162" s="110"/>
      <c r="BN162" s="110"/>
    </row>
    <row r="163" spans="1:66" ht="12.75">
      <c r="B163" s="655" t="s">
        <v>656</v>
      </c>
      <c r="H163" s="106"/>
      <c r="I163" s="105"/>
      <c r="J163" s="66"/>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9"/>
      <c r="AM163" s="109"/>
      <c r="AN163" s="109"/>
      <c r="AO163" s="109"/>
      <c r="AP163" s="105"/>
      <c r="AQ163" s="105"/>
      <c r="AR163" s="105"/>
      <c r="AS163" s="105"/>
      <c r="AT163" s="110"/>
      <c r="AU163" s="110"/>
      <c r="AV163" s="110"/>
      <c r="AW163" s="110"/>
      <c r="AX163" s="109"/>
      <c r="AY163" s="109"/>
      <c r="AZ163" s="109"/>
      <c r="BA163" s="109"/>
      <c r="BB163" s="110"/>
      <c r="BC163" s="110"/>
      <c r="BD163" s="110"/>
      <c r="BE163" s="110"/>
      <c r="BF163" s="110"/>
      <c r="BG163" s="110"/>
      <c r="BH163" s="110"/>
      <c r="BI163" s="110"/>
      <c r="BJ163" s="110"/>
      <c r="BK163" s="110"/>
      <c r="BL163" s="110"/>
      <c r="BM163" s="110"/>
      <c r="BN163" s="110"/>
    </row>
    <row r="164" spans="1:66" ht="12.75">
      <c r="B164" s="88" t="s">
        <v>698</v>
      </c>
      <c r="H164" s="106"/>
      <c r="I164" s="105"/>
      <c r="J164" s="88"/>
      <c r="AL164" s="43"/>
      <c r="AM164" s="43"/>
      <c r="AN164" s="43"/>
      <c r="AO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row>
    <row r="167" spans="1:66" ht="38.25">
      <c r="A167" s="113" t="s">
        <v>699</v>
      </c>
      <c r="B167" s="657" t="s">
        <v>700</v>
      </c>
      <c r="C167" s="676" t="s">
        <v>701</v>
      </c>
      <c r="D167" s="676" t="s">
        <v>702</v>
      </c>
      <c r="E167" s="676" t="s">
        <v>703</v>
      </c>
      <c r="F167" s="114" t="s">
        <v>704</v>
      </c>
      <c r="G167" s="676" t="s">
        <v>600</v>
      </c>
      <c r="H167" s="115" t="s">
        <v>705</v>
      </c>
      <c r="I167" s="677" t="s">
        <v>706</v>
      </c>
      <c r="J167" s="116" t="s">
        <v>707</v>
      </c>
      <c r="K167" s="117"/>
      <c r="L167" s="117"/>
      <c r="M167" s="117"/>
      <c r="N167" s="118"/>
    </row>
    <row r="168" spans="1:66" ht="12.75">
      <c r="A168" s="119"/>
      <c r="B168" s="17" t="s">
        <v>708</v>
      </c>
      <c r="C168" s="120">
        <v>89.3</v>
      </c>
      <c r="D168" s="120">
        <v>50.5</v>
      </c>
      <c r="E168" s="120">
        <v>28.5</v>
      </c>
      <c r="F168" s="121">
        <v>13.2</v>
      </c>
      <c r="G168" s="120">
        <f t="shared" ref="G168:G171" si="15">SUM(C168:F168)/4</f>
        <v>45.375</v>
      </c>
      <c r="H168" s="77">
        <f>(J169*2)/(J169*2+K169*4+L169*3)</f>
        <v>0.35</v>
      </c>
      <c r="I168" s="49">
        <f t="shared" ref="I168:I171" si="16">F168*H168</f>
        <v>4.6199999999999992</v>
      </c>
      <c r="J168" s="122" t="s">
        <v>709</v>
      </c>
      <c r="K168" s="123" t="s">
        <v>710</v>
      </c>
      <c r="L168" s="123" t="s">
        <v>711</v>
      </c>
      <c r="M168" s="123" t="s">
        <v>712</v>
      </c>
      <c r="N168" s="124" t="s">
        <v>713</v>
      </c>
    </row>
    <row r="169" spans="1:66" ht="12.75">
      <c r="A169" s="119"/>
      <c r="B169" s="17" t="s">
        <v>714</v>
      </c>
      <c r="C169" s="120">
        <v>304.60000000000002</v>
      </c>
      <c r="D169" s="120">
        <v>50.5</v>
      </c>
      <c r="E169" s="120">
        <v>0</v>
      </c>
      <c r="F169" s="121">
        <v>0</v>
      </c>
      <c r="G169" s="120">
        <f t="shared" si="15"/>
        <v>88.775000000000006</v>
      </c>
      <c r="H169" s="77">
        <f>J169/(M169+J169+L169*3)</f>
        <v>0.13861386138613863</v>
      </c>
      <c r="I169" s="49">
        <f t="shared" si="16"/>
        <v>0</v>
      </c>
      <c r="J169" s="72">
        <v>14</v>
      </c>
      <c r="K169" s="71">
        <v>1</v>
      </c>
      <c r="L169" s="71">
        <v>16</v>
      </c>
      <c r="M169" s="71">
        <v>39</v>
      </c>
      <c r="N169" s="73">
        <v>40</v>
      </c>
    </row>
    <row r="170" spans="1:66" ht="12.75">
      <c r="A170" s="119"/>
      <c r="B170" s="17" t="s">
        <v>715</v>
      </c>
      <c r="C170" s="120">
        <v>0</v>
      </c>
      <c r="D170" s="120">
        <v>8</v>
      </c>
      <c r="E170" s="120">
        <v>3.4</v>
      </c>
      <c r="F170" s="121">
        <v>0</v>
      </c>
      <c r="G170" s="120">
        <f t="shared" si="15"/>
        <v>2.85</v>
      </c>
      <c r="H170" s="77">
        <f>(J169*2)/(N169+J169*2+L169*6)</f>
        <v>0.17073170731707318</v>
      </c>
      <c r="I170" s="49">
        <f t="shared" si="16"/>
        <v>0</v>
      </c>
    </row>
    <row r="171" spans="1:66" ht="12.75">
      <c r="A171" s="119"/>
      <c r="B171" s="634" t="s">
        <v>716</v>
      </c>
      <c r="C171" s="678">
        <f>865.2/1000</f>
        <v>0.86520000000000008</v>
      </c>
      <c r="D171" s="678">
        <f>302.9/1000</f>
        <v>0.3029</v>
      </c>
      <c r="E171" s="678">
        <f>121.7/1000</f>
        <v>0.1217</v>
      </c>
      <c r="F171" s="125">
        <f>53.3/1000</f>
        <v>5.33E-2</v>
      </c>
      <c r="G171" s="678">
        <f t="shared" si="15"/>
        <v>0.33577499999999999</v>
      </c>
      <c r="H171" s="126">
        <f>(J169*2)/(J169*2+L169)</f>
        <v>0.63636363636363635</v>
      </c>
      <c r="I171" s="127">
        <f t="shared" si="16"/>
        <v>3.391818181818182E-2</v>
      </c>
    </row>
    <row r="172" spans="1:66" ht="12.75">
      <c r="A172" s="119"/>
      <c r="B172" s="679" t="s">
        <v>717</v>
      </c>
      <c r="C172" s="634"/>
      <c r="D172" s="634"/>
      <c r="E172" s="634"/>
      <c r="F172" s="634"/>
      <c r="G172" s="634"/>
      <c r="H172" s="680"/>
      <c r="I172" s="681">
        <f>SUM(I168:I171)</f>
        <v>4.653918181818181</v>
      </c>
    </row>
    <row r="173" spans="1:66" ht="90">
      <c r="A173" s="119"/>
      <c r="B173" s="78" t="s">
        <v>718</v>
      </c>
      <c r="C173" s="657" t="s">
        <v>624</v>
      </c>
      <c r="D173" s="79" t="s">
        <v>625</v>
      </c>
      <c r="E173" s="657" t="s">
        <v>719</v>
      </c>
      <c r="F173" s="657" t="s">
        <v>624</v>
      </c>
      <c r="G173" s="79" t="s">
        <v>720</v>
      </c>
      <c r="H173" s="657" t="s">
        <v>721</v>
      </c>
      <c r="I173" s="657" t="s">
        <v>624</v>
      </c>
      <c r="J173" s="682" t="s">
        <v>722</v>
      </c>
      <c r="K173" s="683"/>
    </row>
    <row r="174" spans="1:66" ht="12.75">
      <c r="A174" s="119"/>
      <c r="B174" s="684">
        <f>1/(SUM(1.61,4.34,13.56,21.84)/4)</f>
        <v>9.6735187424425634E-2</v>
      </c>
      <c r="C174" s="30" t="s">
        <v>723</v>
      </c>
      <c r="D174" s="128">
        <f>B174</f>
        <v>9.6735187424425634E-2</v>
      </c>
      <c r="E174" s="30">
        <f>SUM(2456,3967,5958,6359)/4</f>
        <v>4685</v>
      </c>
      <c r="F174" s="30" t="s">
        <v>724</v>
      </c>
      <c r="G174" s="77">
        <f>4685/10.3375/10000</f>
        <v>4.5320435308343406E-2</v>
      </c>
      <c r="H174" s="129">
        <f>SUM(18.2,6.95,2.95,1.84)/4</f>
        <v>7.4849999999999994</v>
      </c>
      <c r="I174" s="129" t="s">
        <v>725</v>
      </c>
      <c r="J174" s="120">
        <f>H174/3.9*0.1</f>
        <v>0.19192307692307692</v>
      </c>
      <c r="K174" s="616"/>
    </row>
    <row r="175" spans="1:66" ht="12.75">
      <c r="A175" s="130"/>
      <c r="B175" s="82"/>
      <c r="C175" s="634"/>
      <c r="D175" s="634"/>
      <c r="E175" s="634"/>
      <c r="F175" s="634"/>
      <c r="G175" s="634"/>
      <c r="H175" s="634"/>
      <c r="I175" s="634"/>
      <c r="J175" s="634">
        <f>0.2*0.220462</f>
        <v>4.4092400000000004E-2</v>
      </c>
      <c r="K175" s="616"/>
    </row>
    <row r="176" spans="1:66" ht="60">
      <c r="A176" s="131" t="s">
        <v>726</v>
      </c>
      <c r="B176" s="640" t="s">
        <v>649</v>
      </c>
      <c r="C176" s="641" t="s">
        <v>533</v>
      </c>
      <c r="D176" s="641" t="s">
        <v>543</v>
      </c>
      <c r="E176" s="641" t="s">
        <v>522</v>
      </c>
      <c r="F176" s="48" t="s">
        <v>650</v>
      </c>
    </row>
    <row r="177" spans="1:7" ht="12.75">
      <c r="A177" s="616" t="s">
        <v>727</v>
      </c>
      <c r="C177">
        <f>D174/100</f>
        <v>9.6735187424425639E-4</v>
      </c>
      <c r="D177">
        <f>I172/100</f>
        <v>4.6539181818181813E-2</v>
      </c>
      <c r="E177">
        <f>G174/100</f>
        <v>4.5320435308343404E-4</v>
      </c>
      <c r="F177" s="3">
        <f>J175/100</f>
        <v>4.4092400000000004E-4</v>
      </c>
    </row>
    <row r="178" spans="1:7" ht="12.75">
      <c r="A178" s="675" t="s">
        <v>53</v>
      </c>
      <c r="B178" s="617">
        <f>AVERAGE(0.335,0.392,0.429)</f>
        <v>0.38533333333333336</v>
      </c>
      <c r="C178" s="646">
        <f>C177/B178</f>
        <v>2.5104287393882085E-3</v>
      </c>
      <c r="D178" s="646">
        <f>D177/B178</f>
        <v>0.12077642340358601</v>
      </c>
      <c r="E178" s="646">
        <f>E177/B178</f>
        <v>1.1761358644033755E-3</v>
      </c>
      <c r="F178" s="191">
        <f>F177/B178</f>
        <v>1.1442664359861592E-3</v>
      </c>
    </row>
    <row r="179" spans="1:7" ht="12.75">
      <c r="A179" s="14" t="s">
        <v>538</v>
      </c>
      <c r="B179" s="14" t="s">
        <v>570</v>
      </c>
    </row>
    <row r="180" spans="1:7" ht="12.75">
      <c r="B180" s="14" t="s">
        <v>728</v>
      </c>
    </row>
    <row r="181" spans="1:7" ht="12.75">
      <c r="B181" s="14" t="s">
        <v>729</v>
      </c>
    </row>
    <row r="182" spans="1:7" ht="12.75">
      <c r="B182" s="66" t="s">
        <v>730</v>
      </c>
    </row>
    <row r="185" spans="1:7" ht="51.75">
      <c r="A185" s="52" t="s">
        <v>731</v>
      </c>
      <c r="B185" s="132" t="s">
        <v>732</v>
      </c>
      <c r="C185" s="685" t="s">
        <v>533</v>
      </c>
      <c r="D185" s="685" t="s">
        <v>543</v>
      </c>
      <c r="E185" s="685" t="s">
        <v>522</v>
      </c>
      <c r="F185" s="291" t="s">
        <v>535</v>
      </c>
    </row>
    <row r="186" spans="1:7" ht="12.75">
      <c r="A186" s="62" t="s">
        <v>733</v>
      </c>
      <c r="B186" s="97">
        <v>240</v>
      </c>
      <c r="C186">
        <v>2.6431432150407948E-3</v>
      </c>
      <c r="D186">
        <v>3.578569890523918E-2</v>
      </c>
      <c r="E186" s="14">
        <v>1.1539641943734014E-3</v>
      </c>
      <c r="F186" s="3">
        <v>5.0706361664226891E-4</v>
      </c>
    </row>
    <row r="187" spans="1:7" ht="12.75">
      <c r="A187" s="686" t="s">
        <v>734</v>
      </c>
      <c r="B187" s="98">
        <v>71</v>
      </c>
      <c r="C187" s="646">
        <f t="shared" ref="C187:E187" si="17">C186*$B187/$B186</f>
        <v>7.8192986778290174E-4</v>
      </c>
      <c r="D187" s="646">
        <f t="shared" si="17"/>
        <v>1.0586602592799924E-2</v>
      </c>
      <c r="E187" s="646">
        <f t="shared" si="17"/>
        <v>3.4138107416879792E-4</v>
      </c>
      <c r="F187" s="191">
        <f>1.1*(F186*$B187/$B186)</f>
        <v>1.6500695191567171E-4</v>
      </c>
    </row>
    <row r="188" spans="1:7" ht="12.75">
      <c r="A188" s="14" t="s">
        <v>538</v>
      </c>
      <c r="B188" s="14" t="s">
        <v>570</v>
      </c>
      <c r="C188" s="97"/>
      <c r="G188" s="148"/>
    </row>
    <row r="189" spans="1:7" ht="12.75">
      <c r="B189" s="133" t="s">
        <v>735</v>
      </c>
    </row>
    <row r="190" spans="1:7" ht="12.75">
      <c r="B190" s="134" t="s">
        <v>736</v>
      </c>
    </row>
    <row r="193" spans="1:25" ht="12.75">
      <c r="A193" s="116" t="s">
        <v>737</v>
      </c>
      <c r="B193" s="117" t="s">
        <v>738</v>
      </c>
      <c r="C193" s="117"/>
      <c r="D193" s="117"/>
      <c r="E193" s="117"/>
      <c r="F193" s="118" t="s">
        <v>739</v>
      </c>
      <c r="L193" s="14"/>
    </row>
    <row r="194" spans="1:25" s="92" customFormat="1" ht="25.5">
      <c r="A194" s="964"/>
      <c r="B194" s="667" t="s">
        <v>740</v>
      </c>
      <c r="C194" s="667" t="s">
        <v>741</v>
      </c>
      <c r="D194" s="667" t="s">
        <v>742</v>
      </c>
      <c r="E194" s="667" t="s">
        <v>743</v>
      </c>
      <c r="F194" s="965">
        <f>500.5*100000</f>
        <v>50050000</v>
      </c>
      <c r="L194" s="81"/>
    </row>
    <row r="195" spans="1:25" s="92" customFormat="1" ht="51">
      <c r="A195" s="961"/>
      <c r="B195" s="74" t="s">
        <v>744</v>
      </c>
      <c r="C195" s="74" t="s">
        <v>745</v>
      </c>
      <c r="D195" s="74" t="s">
        <v>746</v>
      </c>
      <c r="E195" s="74" t="s">
        <v>747</v>
      </c>
      <c r="F195" s="75">
        <f>285*100000</f>
        <v>28500000</v>
      </c>
      <c r="G195" s="966"/>
      <c r="H195" s="966"/>
      <c r="I195" s="966"/>
      <c r="K195" s="966"/>
      <c r="L195" s="966"/>
      <c r="M195" s="966"/>
      <c r="N195" s="966"/>
      <c r="O195" s="966"/>
    </row>
    <row r="196" spans="1:25" s="92" customFormat="1" ht="76.5">
      <c r="A196" s="961" t="s">
        <v>748</v>
      </c>
      <c r="B196" s="74" t="s">
        <v>749</v>
      </c>
      <c r="C196" s="74" t="s">
        <v>750</v>
      </c>
      <c r="D196" s="74" t="s">
        <v>751</v>
      </c>
      <c r="E196" s="74" t="s">
        <v>752</v>
      </c>
      <c r="F196" s="74" t="s">
        <v>753</v>
      </c>
      <c r="G196" s="74" t="s">
        <v>754</v>
      </c>
      <c r="H196" s="962" t="s">
        <v>755</v>
      </c>
      <c r="I196" s="74" t="s">
        <v>756</v>
      </c>
      <c r="J196" s="202" t="s">
        <v>757</v>
      </c>
      <c r="K196" s="963" t="s">
        <v>758</v>
      </c>
      <c r="L196" s="74" t="s">
        <v>759</v>
      </c>
      <c r="M196" s="74" t="s">
        <v>760</v>
      </c>
      <c r="N196" s="74" t="s">
        <v>761</v>
      </c>
      <c r="O196" s="75" t="s">
        <v>758</v>
      </c>
      <c r="P196" s="202" t="s">
        <v>762</v>
      </c>
      <c r="Q196" s="202" t="s">
        <v>763</v>
      </c>
      <c r="R196" s="202" t="s">
        <v>764</v>
      </c>
      <c r="S196" s="202" t="s">
        <v>765</v>
      </c>
      <c r="T196" s="209" t="s">
        <v>766</v>
      </c>
      <c r="U196" s="202" t="s">
        <v>767</v>
      </c>
      <c r="V196" s="202"/>
      <c r="W196" s="209" t="s">
        <v>766</v>
      </c>
    </row>
    <row r="197" spans="1:25" ht="12.75">
      <c r="A197" s="46"/>
      <c r="B197" s="17">
        <f t="shared" ref="B197:C197" si="18">2986*1000</f>
        <v>2986000</v>
      </c>
      <c r="C197" s="17">
        <f t="shared" si="18"/>
        <v>2986000</v>
      </c>
      <c r="D197" s="17">
        <f>261*10000</f>
        <v>2610000</v>
      </c>
      <c r="E197" s="17">
        <f>27.3*1000</f>
        <v>27300</v>
      </c>
      <c r="F197" s="17">
        <f>5.6*10000</f>
        <v>56000</v>
      </c>
      <c r="G197" s="17">
        <f>C197/D197</f>
        <v>1.1440613026819924</v>
      </c>
      <c r="H197" s="659">
        <f>G197*1000/1000000</f>
        <v>1.1440613026819924E-3</v>
      </c>
      <c r="I197" s="17">
        <f>E197/F197</f>
        <v>0.48749999999999999</v>
      </c>
      <c r="J197" s="17">
        <f>I197/1000000</f>
        <v>4.8749999999999999E-7</v>
      </c>
      <c r="K197" s="643">
        <f>J197*1000</f>
        <v>4.8749999999999998E-4</v>
      </c>
      <c r="L197" s="17" t="s">
        <v>768</v>
      </c>
      <c r="M197" s="17">
        <f>226.5*1000</f>
        <v>226500</v>
      </c>
      <c r="N197" s="17">
        <f t="shared" ref="N197:N201" si="19">1/M197</f>
        <v>4.4150110375275942E-6</v>
      </c>
      <c r="O197" s="77">
        <f t="shared" ref="O197:O201" si="20">N197*10000</f>
        <v>4.4150110375275942E-2</v>
      </c>
      <c r="P197" s="17" t="s">
        <v>744</v>
      </c>
      <c r="Q197" s="17">
        <v>1.01</v>
      </c>
      <c r="R197" s="17">
        <f t="shared" ref="R197:R202" si="21">1/Q197</f>
        <v>0.99009900990099009</v>
      </c>
      <c r="S197" s="17">
        <f t="shared" ref="S197:S202" si="22">R197/1000000</f>
        <v>9.9009900990099017E-7</v>
      </c>
      <c r="T197" s="77">
        <f t="shared" ref="T197:T202" si="23">S197*10000</f>
        <v>9.9009900990099011E-3</v>
      </c>
      <c r="U197" s="17" t="s">
        <v>769</v>
      </c>
      <c r="V197" s="17">
        <v>4193176</v>
      </c>
      <c r="W197" s="77">
        <f>V197*10000</f>
        <v>41931760000</v>
      </c>
    </row>
    <row r="198" spans="1:25" ht="12.75">
      <c r="A198" s="46"/>
      <c r="B198" s="17"/>
      <c r="C198" s="17"/>
      <c r="D198" s="17"/>
      <c r="E198" s="17"/>
      <c r="F198" s="17" t="s">
        <v>770</v>
      </c>
      <c r="G198" s="17"/>
      <c r="H198" s="17"/>
      <c r="I198" s="17"/>
      <c r="J198" s="17"/>
      <c r="K198" s="77"/>
      <c r="L198" s="16" t="s">
        <v>771</v>
      </c>
      <c r="M198" s="17">
        <f>219*1000</f>
        <v>219000</v>
      </c>
      <c r="N198" s="17">
        <f t="shared" si="19"/>
        <v>4.5662100456621006E-6</v>
      </c>
      <c r="O198" s="77">
        <f t="shared" si="20"/>
        <v>4.5662100456621009E-2</v>
      </c>
      <c r="P198" s="17" t="s">
        <v>772</v>
      </c>
      <c r="Q198" s="17">
        <v>1.67</v>
      </c>
      <c r="R198" s="17">
        <f t="shared" si="21"/>
        <v>0.5988023952095809</v>
      </c>
      <c r="S198" s="17">
        <f t="shared" si="22"/>
        <v>5.9880239520958093E-7</v>
      </c>
      <c r="T198" s="77">
        <f t="shared" si="23"/>
        <v>5.9880239520958096E-3</v>
      </c>
      <c r="U198" s="17" t="s">
        <v>773</v>
      </c>
      <c r="V198" s="17">
        <v>6337968</v>
      </c>
      <c r="W198" s="77">
        <f>V198*1000000</f>
        <v>6337968000000</v>
      </c>
    </row>
    <row r="199" spans="1:25" ht="12.75">
      <c r="A199" s="46"/>
      <c r="B199" s="17"/>
      <c r="C199" s="17"/>
      <c r="D199" s="17"/>
      <c r="E199" s="17"/>
      <c r="F199" s="17"/>
      <c r="G199" s="17"/>
      <c r="H199" s="17"/>
      <c r="I199" s="17"/>
      <c r="J199" s="17"/>
      <c r="K199" s="77"/>
      <c r="L199" s="16" t="s">
        <v>774</v>
      </c>
      <c r="M199" s="17">
        <f>213*1000</f>
        <v>213000</v>
      </c>
      <c r="N199" s="17">
        <f t="shared" si="19"/>
        <v>4.6948356807511736E-6</v>
      </c>
      <c r="O199" s="77">
        <f t="shared" si="20"/>
        <v>4.6948356807511735E-2</v>
      </c>
      <c r="P199" s="17" t="s">
        <v>775</v>
      </c>
      <c r="Q199" s="17">
        <v>2.48</v>
      </c>
      <c r="R199" s="17">
        <f t="shared" si="21"/>
        <v>0.40322580645161293</v>
      </c>
      <c r="S199" s="17">
        <f t="shared" si="22"/>
        <v>4.0322580645161295E-7</v>
      </c>
      <c r="T199" s="77">
        <f t="shared" si="23"/>
        <v>4.0322580645161298E-3</v>
      </c>
      <c r="U199" s="17" t="s">
        <v>776</v>
      </c>
      <c r="V199" s="17">
        <v>15115</v>
      </c>
      <c r="W199" s="689">
        <f>1/(V199*100/10000)</f>
        <v>6.6159444260668211E-3</v>
      </c>
      <c r="X199" s="136"/>
      <c r="Y199" s="136"/>
    </row>
    <row r="200" spans="1:25" ht="12.75">
      <c r="A200" s="46"/>
      <c r="B200" s="17"/>
      <c r="C200" s="17"/>
      <c r="D200" s="17"/>
      <c r="E200" s="17"/>
      <c r="F200" s="17"/>
      <c r="G200" s="17"/>
      <c r="H200" s="17"/>
      <c r="I200" s="17"/>
      <c r="J200" s="17"/>
      <c r="K200" s="77"/>
      <c r="L200" s="16" t="s">
        <v>777</v>
      </c>
      <c r="M200" s="17">
        <f>181.5*1000</f>
        <v>181500</v>
      </c>
      <c r="N200" s="17">
        <f t="shared" si="19"/>
        <v>5.5096418732782371E-6</v>
      </c>
      <c r="O200" s="77">
        <f t="shared" si="20"/>
        <v>5.5096418732782371E-2</v>
      </c>
      <c r="P200" s="17" t="s">
        <v>778</v>
      </c>
      <c r="Q200" s="17">
        <v>1.43</v>
      </c>
      <c r="R200" s="17">
        <f t="shared" si="21"/>
        <v>0.69930069930069938</v>
      </c>
      <c r="S200" s="17">
        <f t="shared" si="22"/>
        <v>6.9930069930069936E-7</v>
      </c>
      <c r="T200" s="77">
        <f t="shared" si="23"/>
        <v>6.9930069930069939E-3</v>
      </c>
      <c r="U200" s="17"/>
      <c r="V200" s="17"/>
      <c r="W200" s="77"/>
    </row>
    <row r="201" spans="1:25" ht="12.75">
      <c r="A201" s="46"/>
      <c r="B201" s="17"/>
      <c r="C201" s="17"/>
      <c r="D201" s="17"/>
      <c r="E201" s="17"/>
      <c r="F201" s="17"/>
      <c r="G201" s="17"/>
      <c r="H201" s="17"/>
      <c r="I201" s="17"/>
      <c r="J201" s="17"/>
      <c r="K201" s="77"/>
      <c r="L201" s="16" t="s">
        <v>779</v>
      </c>
      <c r="M201" s="17">
        <f>169.5*1000</f>
        <v>169500</v>
      </c>
      <c r="N201" s="17">
        <f t="shared" si="19"/>
        <v>5.8997050147492627E-6</v>
      </c>
      <c r="O201" s="77">
        <f t="shared" si="20"/>
        <v>5.8997050147492625E-2</v>
      </c>
      <c r="P201" s="17" t="s">
        <v>780</v>
      </c>
      <c r="Q201" s="17">
        <v>2.71</v>
      </c>
      <c r="R201" s="17">
        <f t="shared" si="21"/>
        <v>0.36900369003690037</v>
      </c>
      <c r="S201" s="17">
        <f t="shared" si="22"/>
        <v>3.6900369003690038E-7</v>
      </c>
      <c r="T201" s="77">
        <f t="shared" si="23"/>
        <v>3.690036900369004E-3</v>
      </c>
      <c r="U201" s="17" t="s">
        <v>781</v>
      </c>
      <c r="V201" s="17">
        <v>20702</v>
      </c>
      <c r="W201" s="77">
        <f t="shared" ref="W201:W202" si="24">1/(V201*100/10000)</f>
        <v>4.8304511641387307E-3</v>
      </c>
    </row>
    <row r="202" spans="1:25" ht="12.75">
      <c r="A202" s="46"/>
      <c r="B202" s="17"/>
      <c r="C202" s="17"/>
      <c r="D202" s="17"/>
      <c r="E202" s="17"/>
      <c r="F202" s="17"/>
      <c r="G202" s="17"/>
      <c r="H202" s="17"/>
      <c r="I202" s="17"/>
      <c r="J202" s="17"/>
      <c r="K202" s="77"/>
      <c r="L202" s="16"/>
      <c r="M202" s="17"/>
      <c r="N202" s="17"/>
      <c r="O202" s="77"/>
      <c r="P202" s="17" t="s">
        <v>782</v>
      </c>
      <c r="Q202" s="123">
        <v>1.37</v>
      </c>
      <c r="R202" s="17">
        <f t="shared" si="21"/>
        <v>0.72992700729927007</v>
      </c>
      <c r="S202" s="17">
        <f t="shared" si="22"/>
        <v>7.299270072992701E-7</v>
      </c>
      <c r="T202" s="643">
        <f t="shared" si="23"/>
        <v>7.2992700729927014E-3</v>
      </c>
      <c r="U202" s="17" t="s">
        <v>783</v>
      </c>
      <c r="V202" s="17">
        <v>11182</v>
      </c>
      <c r="W202" s="77">
        <f t="shared" si="24"/>
        <v>8.9429440171704538E-3</v>
      </c>
    </row>
    <row r="203" spans="1:25" ht="12.75">
      <c r="A203" s="72"/>
      <c r="B203" s="71"/>
      <c r="C203" s="71"/>
      <c r="D203" s="71"/>
      <c r="E203" s="71"/>
      <c r="F203" s="71"/>
      <c r="G203" s="71"/>
      <c r="H203" s="71"/>
      <c r="I203" s="71"/>
      <c r="J203" s="71"/>
      <c r="K203" s="73"/>
      <c r="L203" s="71" t="s">
        <v>600</v>
      </c>
      <c r="M203" s="71"/>
      <c r="N203" s="71"/>
      <c r="O203" s="73">
        <f>AVERAGE(O197:O201)</f>
        <v>5.0170807303936735E-2</v>
      </c>
      <c r="P203" s="17"/>
      <c r="Q203" s="71"/>
      <c r="R203" s="71"/>
      <c r="S203" s="71"/>
      <c r="T203" s="73"/>
      <c r="U203" s="71"/>
      <c r="V203" s="71"/>
      <c r="W203" s="73"/>
    </row>
    <row r="204" spans="1:25" s="92" customFormat="1" ht="63.75">
      <c r="A204" s="961" t="s">
        <v>784</v>
      </c>
      <c r="B204" s="74" t="s">
        <v>785</v>
      </c>
      <c r="C204" s="74" t="s">
        <v>705</v>
      </c>
      <c r="D204" s="74" t="s">
        <v>786</v>
      </c>
      <c r="E204" s="74" t="s">
        <v>787</v>
      </c>
      <c r="F204" s="74" t="s">
        <v>788</v>
      </c>
      <c r="G204" s="962" t="s">
        <v>789</v>
      </c>
      <c r="H204" s="74" t="s">
        <v>790</v>
      </c>
      <c r="I204" s="962" t="s">
        <v>791</v>
      </c>
      <c r="J204" s="961" t="s">
        <v>792</v>
      </c>
      <c r="K204" s="967" t="s">
        <v>793</v>
      </c>
      <c r="L204" s="74" t="s">
        <v>794</v>
      </c>
      <c r="M204" s="74" t="s">
        <v>795</v>
      </c>
      <c r="N204" s="74" t="s">
        <v>705</v>
      </c>
      <c r="O204" s="74" t="s">
        <v>796</v>
      </c>
      <c r="P204" s="716" t="s">
        <v>797</v>
      </c>
      <c r="Q204" s="317"/>
      <c r="R204" s="317"/>
      <c r="S204" s="317"/>
      <c r="T204" s="317"/>
      <c r="U204" s="317"/>
      <c r="V204" s="317"/>
      <c r="W204" s="317"/>
      <c r="X204" s="317"/>
      <c r="Y204" s="317"/>
    </row>
    <row r="205" spans="1:25" ht="12.75">
      <c r="A205" s="46" t="s">
        <v>744</v>
      </c>
      <c r="B205" s="17"/>
      <c r="C205" s="17"/>
      <c r="D205" s="17"/>
      <c r="E205" s="17"/>
      <c r="F205" s="17"/>
      <c r="G205" s="659">
        <f>F209*J197</f>
        <v>1.8747602213851241E-2</v>
      </c>
      <c r="H205" s="17">
        <f>553*1000</f>
        <v>553000</v>
      </c>
      <c r="I205" s="659">
        <f>H205*J197</f>
        <v>0.26958749999999998</v>
      </c>
      <c r="J205" s="46">
        <f>500*1000</f>
        <v>500000</v>
      </c>
      <c r="K205" s="691">
        <f>J205*J197</f>
        <v>0.24374999999999999</v>
      </c>
      <c r="L205" s="17" t="s">
        <v>798</v>
      </c>
      <c r="M205" s="17">
        <f>136*1000</f>
        <v>136000</v>
      </c>
      <c r="N205" s="30">
        <f>(14*2)/(12+16+(14*2)+(1*4))</f>
        <v>0.46666666666666667</v>
      </c>
      <c r="O205" s="17">
        <f>M205*N205</f>
        <v>63466.666666666664</v>
      </c>
      <c r="P205" s="643">
        <f>O205*J197</f>
        <v>3.0939999999999999E-2</v>
      </c>
      <c r="Q205" s="39"/>
      <c r="R205" s="39"/>
      <c r="S205" s="39"/>
      <c r="T205" s="39"/>
      <c r="U205" s="39"/>
      <c r="V205" s="39"/>
      <c r="W205" s="39"/>
      <c r="X205" s="39"/>
      <c r="Y205" s="39"/>
    </row>
    <row r="206" spans="1:25" ht="12.75">
      <c r="A206" s="46"/>
      <c r="B206" s="17" t="s">
        <v>799</v>
      </c>
      <c r="C206" s="17">
        <f>(0.5*(14/(14+16)))+(0.5*(14/(14+16*2)))</f>
        <v>0.38550724637681161</v>
      </c>
      <c r="D206" s="17">
        <f>0.02*1000</f>
        <v>20</v>
      </c>
      <c r="E206" s="17">
        <f t="shared" ref="E206:E209" si="25">C206*D206</f>
        <v>7.7101449275362324</v>
      </c>
      <c r="F206" s="17"/>
      <c r="G206" s="17"/>
      <c r="H206" s="17"/>
      <c r="I206" s="17"/>
      <c r="J206" s="46"/>
      <c r="K206" s="121"/>
      <c r="L206" s="17"/>
      <c r="M206" s="17"/>
      <c r="N206" s="17"/>
      <c r="O206" s="17"/>
      <c r="P206" s="77"/>
      <c r="Q206" s="39"/>
      <c r="R206" s="39"/>
      <c r="S206" s="39"/>
      <c r="T206" s="39"/>
      <c r="U206" s="39"/>
      <c r="V206" s="39"/>
      <c r="W206" s="39"/>
      <c r="X206" s="39"/>
      <c r="Y206" s="39"/>
    </row>
    <row r="207" spans="1:25" ht="12.75">
      <c r="A207" s="46"/>
      <c r="B207" s="17" t="s">
        <v>716</v>
      </c>
      <c r="C207" s="17">
        <f>(14*2)/(14*2+16)</f>
        <v>0.63636363636363635</v>
      </c>
      <c r="D207" s="17">
        <f>5.68*1000</f>
        <v>5680</v>
      </c>
      <c r="E207" s="17">
        <f t="shared" si="25"/>
        <v>3614.5454545454545</v>
      </c>
      <c r="F207" s="17"/>
      <c r="G207" s="17"/>
      <c r="H207" s="17"/>
      <c r="I207" s="17"/>
      <c r="J207" s="46"/>
      <c r="K207" s="121"/>
      <c r="L207" s="17"/>
      <c r="M207" s="17"/>
      <c r="N207" s="17"/>
      <c r="O207" s="17"/>
      <c r="P207" s="77"/>
    </row>
    <row r="208" spans="1:25" ht="12.75">
      <c r="A208" s="46"/>
      <c r="B208" s="17" t="s">
        <v>800</v>
      </c>
      <c r="C208" s="17">
        <f>14/(14+1*3)</f>
        <v>0.82352941176470584</v>
      </c>
      <c r="D208" s="17">
        <f>30.44*1000</f>
        <v>30440</v>
      </c>
      <c r="E208" s="17">
        <f t="shared" si="25"/>
        <v>25068.235294117647</v>
      </c>
      <c r="F208" s="17"/>
      <c r="G208" s="17"/>
      <c r="H208" s="17"/>
      <c r="I208" s="17"/>
      <c r="J208" s="46"/>
      <c r="K208" s="121"/>
      <c r="L208" s="17"/>
      <c r="M208" s="17"/>
      <c r="N208" s="17"/>
      <c r="O208" s="17"/>
      <c r="P208" s="689">
        <f>AVERAGE(I205,K205,P205)</f>
        <v>0.18142583333333331</v>
      </c>
      <c r="Q208" s="14"/>
    </row>
    <row r="209" spans="1:25" ht="12.75">
      <c r="A209" s="72"/>
      <c r="B209" s="71" t="s">
        <v>801</v>
      </c>
      <c r="C209" s="71">
        <f>14/(14+16*3)</f>
        <v>0.22580645161290322</v>
      </c>
      <c r="D209" s="71">
        <f>43.25*1000</f>
        <v>43250</v>
      </c>
      <c r="E209" s="71">
        <f t="shared" si="25"/>
        <v>9766.1290322580644</v>
      </c>
      <c r="F209" s="71">
        <f>SUM(E206:E209)</f>
        <v>38456.619925848703</v>
      </c>
      <c r="G209" s="71"/>
      <c r="H209" s="71"/>
      <c r="I209" s="71"/>
      <c r="J209" s="72"/>
      <c r="K209" s="137"/>
      <c r="L209" s="71"/>
      <c r="M209" s="71"/>
      <c r="N209" s="71"/>
      <c r="O209" s="71"/>
      <c r="P209" s="73"/>
      <c r="Q209" s="14"/>
    </row>
    <row r="210" spans="1:25" s="92" customFormat="1" ht="63.75">
      <c r="A210" s="961" t="s">
        <v>802</v>
      </c>
      <c r="B210" s="74" t="s">
        <v>803</v>
      </c>
      <c r="C210" s="74" t="s">
        <v>804</v>
      </c>
      <c r="D210" s="74" t="s">
        <v>805</v>
      </c>
      <c r="E210" s="74" t="s">
        <v>12</v>
      </c>
      <c r="F210" s="75" t="s">
        <v>806</v>
      </c>
      <c r="G210" s="74" t="s">
        <v>807</v>
      </c>
      <c r="H210" s="74" t="s">
        <v>808</v>
      </c>
      <c r="I210" s="74" t="s">
        <v>809</v>
      </c>
      <c r="J210" s="74" t="s">
        <v>810</v>
      </c>
      <c r="K210" s="74" t="s">
        <v>811</v>
      </c>
      <c r="L210" s="75" t="s">
        <v>812</v>
      </c>
      <c r="M210" s="961" t="s">
        <v>807</v>
      </c>
      <c r="N210" s="74" t="s">
        <v>813</v>
      </c>
      <c r="O210" s="74" t="s">
        <v>814</v>
      </c>
      <c r="P210" s="75" t="s">
        <v>815</v>
      </c>
      <c r="Q210" s="202"/>
      <c r="R210" s="968" t="s">
        <v>816</v>
      </c>
      <c r="S210" s="202"/>
      <c r="T210" s="202"/>
      <c r="U210" s="202"/>
      <c r="V210" s="202"/>
      <c r="W210" s="202"/>
      <c r="X210" s="202"/>
      <c r="Y210" s="209"/>
    </row>
    <row r="211" spans="1:25" ht="12.75">
      <c r="A211" s="46"/>
      <c r="B211" s="17">
        <f>12.73</f>
        <v>12.73</v>
      </c>
      <c r="C211" s="17" t="s">
        <v>817</v>
      </c>
      <c r="D211" s="17">
        <v>14.5</v>
      </c>
      <c r="E211" s="659">
        <f t="shared" ref="E211:E220" si="26">D211/1000/2</f>
        <v>7.2500000000000004E-3</v>
      </c>
      <c r="F211" s="77"/>
      <c r="G211" s="17"/>
      <c r="H211" s="17">
        <f>9-1.8</f>
        <v>7.2</v>
      </c>
      <c r="I211" s="17">
        <f>H211/1000</f>
        <v>7.1999999999999998E-3</v>
      </c>
      <c r="J211" s="17">
        <f>(SUM(0.3,3.3,1.9,0.33))/1000</f>
        <v>5.8300000000000001E-3</v>
      </c>
      <c r="K211" s="17">
        <f>(SUM(0.65,9.6,1.9,0.92))/1000</f>
        <v>1.307E-2</v>
      </c>
      <c r="L211" s="643">
        <f>AVERAGE(J211:K211)</f>
        <v>9.4500000000000001E-3</v>
      </c>
      <c r="M211" s="46" t="s">
        <v>818</v>
      </c>
      <c r="N211" s="17">
        <f>5.1/1.75/1000</f>
        <v>2.9142857142857143E-3</v>
      </c>
      <c r="O211" s="17">
        <f>3/1.75/1000</f>
        <v>1.7142857142857142E-3</v>
      </c>
      <c r="P211" s="77"/>
      <c r="Q211" s="17"/>
      <c r="R211" s="692">
        <f>AVERAGE(E211:E215,E217:E220,L211,P213)</f>
        <v>4.2987012987012983E-3</v>
      </c>
      <c r="S211" s="136" t="s">
        <v>819</v>
      </c>
      <c r="T211" s="136"/>
      <c r="U211" s="136"/>
      <c r="V211" s="136"/>
      <c r="W211" s="136"/>
      <c r="X211" s="17"/>
      <c r="Y211" s="77"/>
    </row>
    <row r="212" spans="1:25" ht="12.75">
      <c r="A212" s="46"/>
      <c r="B212" s="17"/>
      <c r="C212" s="17" t="s">
        <v>820</v>
      </c>
      <c r="D212" s="17">
        <v>14.1</v>
      </c>
      <c r="E212" s="659">
        <f t="shared" si="26"/>
        <v>7.0499999999999998E-3</v>
      </c>
      <c r="F212" s="77"/>
      <c r="G212" s="17"/>
      <c r="H212" s="17"/>
      <c r="I212" s="17"/>
      <c r="J212" s="17"/>
      <c r="K212" s="17"/>
      <c r="L212" s="17"/>
      <c r="M212" s="46" t="s">
        <v>821</v>
      </c>
      <c r="N212" s="17">
        <f t="shared" ref="N212:O212" si="27">6.6/1.75/1000</f>
        <v>3.7714285714285714E-3</v>
      </c>
      <c r="O212" s="17">
        <f t="shared" si="27"/>
        <v>3.7714285714285714E-3</v>
      </c>
      <c r="P212" s="77"/>
      <c r="Q212" s="17"/>
      <c r="R212" s="17"/>
      <c r="S212" s="136"/>
      <c r="T212" s="136"/>
      <c r="U212" s="136"/>
      <c r="V212" s="136"/>
      <c r="W212" s="136"/>
      <c r="X212" s="17"/>
      <c r="Y212" s="77"/>
    </row>
    <row r="213" spans="1:25" ht="12.75">
      <c r="A213" s="46"/>
      <c r="B213" s="17"/>
      <c r="C213" s="17" t="s">
        <v>822</v>
      </c>
      <c r="D213" s="17">
        <v>15.9</v>
      </c>
      <c r="E213" s="659">
        <f t="shared" si="26"/>
        <v>7.9500000000000005E-3</v>
      </c>
      <c r="F213" s="77"/>
      <c r="G213" s="17"/>
      <c r="H213" s="17"/>
      <c r="I213" s="17"/>
      <c r="J213" s="17"/>
      <c r="K213" s="17"/>
      <c r="L213" s="77"/>
      <c r="M213" s="46"/>
      <c r="N213" s="17">
        <f t="shared" ref="N213:O213" si="28">SUM(N211:N212)</f>
        <v>6.6857142857142862E-3</v>
      </c>
      <c r="O213" s="17">
        <f t="shared" si="28"/>
        <v>5.4857142857142856E-3</v>
      </c>
      <c r="P213" s="643">
        <f>AVERAGE(N213:O213)</f>
        <v>6.0857142857142863E-3</v>
      </c>
      <c r="Q213" s="17"/>
      <c r="R213" s="659"/>
      <c r="S213" s="17"/>
      <c r="T213" s="17"/>
      <c r="U213" s="17"/>
      <c r="V213" s="17"/>
      <c r="W213" s="17"/>
      <c r="X213" s="17"/>
      <c r="Y213" s="77"/>
    </row>
    <row r="214" spans="1:25" ht="12.75">
      <c r="A214" s="46"/>
      <c r="B214" s="17"/>
      <c r="C214" s="17" t="s">
        <v>823</v>
      </c>
      <c r="D214" s="17">
        <v>6</v>
      </c>
      <c r="E214" s="659">
        <f t="shared" si="26"/>
        <v>3.0000000000000001E-3</v>
      </c>
      <c r="F214" s="77"/>
      <c r="G214" s="17"/>
      <c r="H214" s="17"/>
      <c r="I214" s="17"/>
      <c r="J214" s="17"/>
      <c r="K214" s="17"/>
      <c r="L214" s="17"/>
      <c r="M214" s="46"/>
      <c r="N214" s="17"/>
      <c r="O214" s="17"/>
      <c r="P214" s="77"/>
      <c r="Q214" s="17"/>
      <c r="R214" s="17"/>
      <c r="S214" s="17"/>
      <c r="T214" s="17"/>
      <c r="U214" s="17"/>
      <c r="V214" s="17"/>
      <c r="W214" s="17"/>
      <c r="X214" s="17"/>
      <c r="Y214" s="77"/>
    </row>
    <row r="215" spans="1:25" ht="12.75">
      <c r="A215" s="46"/>
      <c r="B215" s="17"/>
      <c r="C215" s="17" t="s">
        <v>824</v>
      </c>
      <c r="D215" s="17">
        <v>1</v>
      </c>
      <c r="E215" s="659">
        <f t="shared" si="26"/>
        <v>5.0000000000000001E-4</v>
      </c>
      <c r="F215" s="77"/>
      <c r="G215" s="17"/>
      <c r="H215" s="17"/>
      <c r="I215" s="17"/>
      <c r="J215" s="17"/>
      <c r="K215" s="17"/>
      <c r="L215" s="17"/>
      <c r="M215" s="46"/>
      <c r="N215" s="17"/>
      <c r="O215" s="17"/>
      <c r="P215" s="77"/>
      <c r="Q215" s="17"/>
      <c r="R215" s="17"/>
      <c r="S215" s="17"/>
      <c r="T215" s="17"/>
      <c r="U215" s="17"/>
      <c r="V215" s="17"/>
      <c r="W215" s="17"/>
      <c r="X215" s="17"/>
      <c r="Y215" s="77"/>
    </row>
    <row r="216" spans="1:25" ht="12.75">
      <c r="A216" s="46"/>
      <c r="B216" s="17"/>
      <c r="C216" s="120" t="s">
        <v>825</v>
      </c>
      <c r="D216" s="120">
        <v>11.5</v>
      </c>
      <c r="E216" s="120">
        <f t="shared" si="26"/>
        <v>5.7499999999999999E-3</v>
      </c>
      <c r="F216" s="77"/>
      <c r="G216" s="17"/>
      <c r="H216" s="17"/>
      <c r="I216" s="17"/>
      <c r="J216" s="17"/>
      <c r="K216" s="17"/>
      <c r="L216" s="17"/>
      <c r="M216" s="46"/>
      <c r="N216" s="17"/>
      <c r="O216" s="17"/>
      <c r="P216" s="77"/>
      <c r="Q216" s="17"/>
      <c r="R216" s="17"/>
      <c r="S216" s="17"/>
      <c r="T216" s="17"/>
      <c r="U216" s="17"/>
      <c r="V216" s="17"/>
      <c r="W216" s="17"/>
      <c r="X216" s="17"/>
      <c r="Y216" s="77"/>
    </row>
    <row r="217" spans="1:25" ht="12.75">
      <c r="A217" s="46"/>
      <c r="B217" s="17"/>
      <c r="C217" s="17" t="s">
        <v>826</v>
      </c>
      <c r="D217" s="17">
        <v>3</v>
      </c>
      <c r="E217" s="659">
        <f t="shared" si="26"/>
        <v>1.5E-3</v>
      </c>
      <c r="F217" s="77"/>
      <c r="G217" s="17"/>
      <c r="H217" s="17"/>
      <c r="I217" s="17"/>
      <c r="J217" s="17"/>
      <c r="K217" s="17"/>
      <c r="L217" s="17"/>
      <c r="M217" s="46"/>
      <c r="N217" s="17"/>
      <c r="O217" s="17"/>
      <c r="P217" s="77"/>
      <c r="Q217" s="17"/>
      <c r="R217" s="17"/>
      <c r="S217" s="17"/>
      <c r="T217" s="17"/>
      <c r="U217" s="17"/>
      <c r="V217" s="17"/>
      <c r="W217" s="17"/>
      <c r="X217" s="17"/>
      <c r="Y217" s="77"/>
    </row>
    <row r="218" spans="1:25" ht="12.75">
      <c r="A218" s="46"/>
      <c r="B218" s="17"/>
      <c r="C218" s="17" t="s">
        <v>827</v>
      </c>
      <c r="D218" s="17">
        <v>6.3</v>
      </c>
      <c r="E218" s="659">
        <f t="shared" si="26"/>
        <v>3.15E-3</v>
      </c>
      <c r="F218" s="77"/>
      <c r="G218" s="17"/>
      <c r="H218" s="17"/>
      <c r="I218" s="17"/>
      <c r="J218" s="17"/>
      <c r="K218" s="17"/>
      <c r="L218" s="17"/>
      <c r="M218" s="46"/>
      <c r="N218" s="17"/>
      <c r="O218" s="17"/>
      <c r="P218" s="77"/>
      <c r="Q218" s="17"/>
      <c r="R218" s="17"/>
      <c r="S218" s="17"/>
      <c r="T218" s="17"/>
      <c r="U218" s="17"/>
      <c r="V218" s="17"/>
      <c r="W218" s="17"/>
      <c r="X218" s="17"/>
      <c r="Y218" s="77"/>
    </row>
    <row r="219" spans="1:25" ht="12.75">
      <c r="A219" s="46"/>
      <c r="B219" s="123"/>
      <c r="C219" s="138" t="s">
        <v>828</v>
      </c>
      <c r="D219" s="17">
        <v>2</v>
      </c>
      <c r="E219" s="659">
        <f t="shared" si="26"/>
        <v>1E-3</v>
      </c>
      <c r="F219" s="124" t="s">
        <v>829</v>
      </c>
      <c r="G219" s="17"/>
      <c r="H219" s="17"/>
      <c r="I219" s="17"/>
      <c r="J219" s="17"/>
      <c r="K219" s="17"/>
      <c r="L219" s="17"/>
      <c r="M219" s="46"/>
      <c r="N219" s="17"/>
      <c r="O219" s="17"/>
      <c r="P219" s="77"/>
      <c r="Q219" s="17"/>
      <c r="R219" s="17"/>
      <c r="S219" s="17"/>
      <c r="T219" s="17"/>
      <c r="U219" s="17"/>
      <c r="V219" s="17"/>
      <c r="W219" s="17"/>
      <c r="X219" s="17"/>
      <c r="Y219" s="77"/>
    </row>
    <row r="220" spans="1:25" ht="12.75">
      <c r="A220" s="46"/>
      <c r="B220" s="17"/>
      <c r="C220" s="17" t="s">
        <v>830</v>
      </c>
      <c r="D220" s="17">
        <v>0.7</v>
      </c>
      <c r="E220" s="659">
        <f t="shared" si="26"/>
        <v>3.5E-4</v>
      </c>
      <c r="F220" s="77">
        <f>AVERAGE(E211:E215,E217:E220)</f>
        <v>3.5277777777777777E-3</v>
      </c>
      <c r="G220" s="71"/>
      <c r="H220" s="71"/>
      <c r="I220" s="71"/>
      <c r="J220" s="71"/>
      <c r="K220" s="71"/>
      <c r="L220" s="71"/>
      <c r="M220" s="72"/>
      <c r="N220" s="71"/>
      <c r="O220" s="71"/>
      <c r="P220" s="73"/>
      <c r="Q220" s="71"/>
      <c r="R220" s="71"/>
      <c r="S220" s="71"/>
      <c r="T220" s="71"/>
      <c r="U220" s="71"/>
      <c r="V220" s="71"/>
      <c r="W220" s="71"/>
      <c r="X220" s="71"/>
      <c r="Y220" s="73"/>
    </row>
    <row r="221" spans="1:25" ht="39">
      <c r="A221" s="61" t="s">
        <v>831</v>
      </c>
      <c r="B221" s="640" t="s">
        <v>832</v>
      </c>
      <c r="C221" s="139" t="s">
        <v>833</v>
      </c>
      <c r="D221" s="139" t="s">
        <v>834</v>
      </c>
      <c r="E221" s="139" t="s">
        <v>835</v>
      </c>
      <c r="F221" s="140" t="s">
        <v>836</v>
      </c>
    </row>
    <row r="222" spans="1:25" ht="12.75">
      <c r="A222" s="141" t="s">
        <v>837</v>
      </c>
      <c r="C222">
        <f>W199</f>
        <v>6.6159444260668211E-3</v>
      </c>
      <c r="D222">
        <f>P208</f>
        <v>0.18142583333333331</v>
      </c>
      <c r="E222" s="220">
        <f>898/1000000</f>
        <v>8.9800000000000004E-4</v>
      </c>
      <c r="F222" s="3">
        <f>R211</f>
        <v>4.2987012987012983E-3</v>
      </c>
    </row>
    <row r="223" spans="1:25" ht="15">
      <c r="A223" s="63" t="s">
        <v>838</v>
      </c>
      <c r="B223" s="617">
        <f>2/237</f>
        <v>8.4388185654008432E-3</v>
      </c>
      <c r="C223" s="617">
        <f>C222*B223</f>
        <v>5.5830754650352915E-5</v>
      </c>
      <c r="D223" s="617">
        <f>D222*B223</f>
        <v>1.5310196905766523E-3</v>
      </c>
      <c r="E223" s="617">
        <f>E222*B223</f>
        <v>7.5780590717299575E-6</v>
      </c>
      <c r="F223" s="5">
        <f>F222*B223</f>
        <v>3.6275960326593231E-5</v>
      </c>
      <c r="G223" s="55"/>
      <c r="H223" s="55"/>
      <c r="I223" s="55"/>
      <c r="J223" s="55"/>
    </row>
    <row r="224" spans="1:25" ht="12.75">
      <c r="A224" s="14" t="s">
        <v>538</v>
      </c>
      <c r="B224" s="14" t="s">
        <v>839</v>
      </c>
      <c r="C224" s="133" t="s">
        <v>840</v>
      </c>
    </row>
    <row r="225" spans="1:13" ht="12.75">
      <c r="B225" s="14" t="s">
        <v>841</v>
      </c>
      <c r="C225" s="29" t="s">
        <v>842</v>
      </c>
    </row>
    <row r="226" spans="1:13" ht="12.75">
      <c r="B226" s="14" t="s">
        <v>841</v>
      </c>
      <c r="C226" s="29" t="s">
        <v>843</v>
      </c>
    </row>
    <row r="227" spans="1:13" ht="12.75">
      <c r="B227" s="14" t="s">
        <v>844</v>
      </c>
      <c r="C227" s="29" t="s">
        <v>845</v>
      </c>
    </row>
    <row r="228" spans="1:13" ht="12.75">
      <c r="B228" s="14" t="s">
        <v>841</v>
      </c>
      <c r="C228" s="10" t="s">
        <v>846</v>
      </c>
    </row>
    <row r="229" spans="1:13" ht="12.75">
      <c r="B229" s="14" t="s">
        <v>847</v>
      </c>
      <c r="C229" s="14" t="s">
        <v>848</v>
      </c>
    </row>
    <row r="230" spans="1:13" ht="12.75">
      <c r="B230" s="14" t="s">
        <v>847</v>
      </c>
      <c r="C230" s="14" t="s">
        <v>849</v>
      </c>
    </row>
    <row r="231" spans="1:13" ht="12.75">
      <c r="B231" s="14" t="s">
        <v>614</v>
      </c>
      <c r="C231" s="14" t="s">
        <v>848</v>
      </c>
    </row>
    <row r="232" spans="1:13" ht="12.75">
      <c r="B232" s="14" t="s">
        <v>612</v>
      </c>
      <c r="C232" s="622" t="s">
        <v>850</v>
      </c>
    </row>
    <row r="233" spans="1:13" ht="12.75">
      <c r="B233" s="14" t="s">
        <v>851</v>
      </c>
      <c r="C233" s="655" t="s">
        <v>852</v>
      </c>
    </row>
    <row r="234" spans="1:13" ht="12.75">
      <c r="C234" s="14" t="s">
        <v>853</v>
      </c>
    </row>
    <row r="235" spans="1:13" ht="12.75">
      <c r="B235" s="14"/>
      <c r="C235" s="14"/>
    </row>
    <row r="237" spans="1:13" ht="75">
      <c r="A237" s="52" t="s">
        <v>854</v>
      </c>
      <c r="B237" s="640" t="s">
        <v>688</v>
      </c>
      <c r="C237" s="644" t="s">
        <v>532</v>
      </c>
      <c r="D237" s="641" t="s">
        <v>533</v>
      </c>
      <c r="E237" s="641" t="s">
        <v>543</v>
      </c>
      <c r="F237" s="641" t="s">
        <v>603</v>
      </c>
      <c r="G237" s="48" t="s">
        <v>535</v>
      </c>
    </row>
    <row r="238" spans="1:13" ht="15">
      <c r="A238" s="62" t="s">
        <v>855</v>
      </c>
      <c r="B238">
        <f>MEDIAN(3,3.5)</f>
        <v>3.25</v>
      </c>
      <c r="D238" s="14">
        <f>0.0480570576170054/100</f>
        <v>4.8057057617005398E-4</v>
      </c>
      <c r="E238" s="14">
        <f>0.987762151976997/100</f>
        <v>9.8776215197699697E-3</v>
      </c>
      <c r="F238">
        <f>63/1000000</f>
        <v>6.3E-5</v>
      </c>
      <c r="G238" s="3">
        <f>0.11*0.00220462</f>
        <v>2.4250819999999999E-4</v>
      </c>
      <c r="H238" s="64"/>
      <c r="J238" s="64"/>
      <c r="K238" s="64"/>
      <c r="L238" s="14"/>
      <c r="M238" s="220"/>
    </row>
    <row r="239" spans="1:13" ht="12.75">
      <c r="A239" s="63" t="s">
        <v>856</v>
      </c>
      <c r="B239" s="617">
        <v>2.19</v>
      </c>
      <c r="C239" s="617">
        <f>B239/B238</f>
        <v>0.67384615384615387</v>
      </c>
      <c r="D239" s="693">
        <f t="shared" ref="D239:G239" si="29">D238/$C239</f>
        <v>7.1317551258113035E-4</v>
      </c>
      <c r="E239" s="693">
        <f t="shared" si="29"/>
        <v>1.4658570748517077E-2</v>
      </c>
      <c r="F239" s="693">
        <f t="shared" si="29"/>
        <v>9.34931506849315E-5</v>
      </c>
      <c r="G239" s="694">
        <f t="shared" si="29"/>
        <v>3.5988659817351594E-4</v>
      </c>
      <c r="J239" s="39"/>
      <c r="M239" s="220"/>
    </row>
    <row r="240" spans="1:13" ht="12.75">
      <c r="A240" s="14" t="s">
        <v>538</v>
      </c>
      <c r="B240" s="14" t="s">
        <v>570</v>
      </c>
      <c r="D240" s="14"/>
      <c r="E240" s="14"/>
      <c r="I240" s="142"/>
      <c r="J240" s="143"/>
      <c r="K240" s="142"/>
      <c r="M240" s="57"/>
    </row>
    <row r="241" spans="1:25" ht="12.75">
      <c r="B241" s="133" t="s">
        <v>857</v>
      </c>
      <c r="J241" s="39"/>
    </row>
    <row r="242" spans="1:25" ht="12.75">
      <c r="B242" s="655" t="s">
        <v>858</v>
      </c>
    </row>
    <row r="243" spans="1:25" ht="12.75">
      <c r="B243" s="14" t="s">
        <v>859</v>
      </c>
    </row>
    <row r="246" spans="1:25" ht="51.75">
      <c r="A246" s="144" t="s">
        <v>860</v>
      </c>
      <c r="B246" s="644" t="s">
        <v>861</v>
      </c>
      <c r="C246" s="685" t="s">
        <v>533</v>
      </c>
      <c r="D246" s="685" t="s">
        <v>543</v>
      </c>
      <c r="E246" s="685" t="s">
        <v>522</v>
      </c>
      <c r="F246" s="291" t="s">
        <v>862</v>
      </c>
    </row>
    <row r="247" spans="1:25" ht="12.75">
      <c r="A247" s="62" t="s">
        <v>863</v>
      </c>
      <c r="B247" s="14">
        <f>1.06/0.75</f>
        <v>1.4133333333333333</v>
      </c>
      <c r="C247" s="14">
        <f>0.1109195941/100</f>
        <v>1.109195941E-3</v>
      </c>
      <c r="D247" s="14">
        <v>5.4815712449999996E-3</v>
      </c>
      <c r="E247" s="14">
        <f>97/1000000/0.94</f>
        <v>1.0319148936170213E-4</v>
      </c>
      <c r="F247" s="3">
        <f>G408/0.94</f>
        <v>5.4724609929078006E-4</v>
      </c>
    </row>
    <row r="248" spans="1:25" ht="15">
      <c r="A248" s="190" t="s">
        <v>864</v>
      </c>
      <c r="B248" s="617">
        <v>1</v>
      </c>
      <c r="C248" s="646">
        <f t="shared" ref="C248:F248" si="30">C247*$B247</f>
        <v>1.5676635966133333E-3</v>
      </c>
      <c r="D248" s="646">
        <f t="shared" si="30"/>
        <v>7.7472873595999994E-3</v>
      </c>
      <c r="E248" s="646">
        <f t="shared" si="30"/>
        <v>1.4584397163120569E-4</v>
      </c>
      <c r="F248" s="191">
        <f t="shared" si="30"/>
        <v>7.7344115366430246E-4</v>
      </c>
      <c r="L248" s="145"/>
      <c r="M248" s="145"/>
      <c r="N248" s="146"/>
      <c r="O248" s="147"/>
      <c r="P248" s="14"/>
      <c r="Q248" s="14"/>
      <c r="R248" s="14"/>
      <c r="S248" s="14"/>
      <c r="T248" s="14"/>
      <c r="U248" s="64"/>
      <c r="V248" s="64"/>
      <c r="W248" s="64"/>
      <c r="X248" s="64"/>
      <c r="Y248" s="64"/>
    </row>
    <row r="249" spans="1:25" ht="15">
      <c r="A249" s="14" t="s">
        <v>538</v>
      </c>
      <c r="B249" s="14" t="s">
        <v>570</v>
      </c>
      <c r="L249" s="146"/>
      <c r="M249" s="146"/>
      <c r="N249" s="14"/>
      <c r="O249" s="55"/>
      <c r="U249" s="148"/>
      <c r="V249" s="148"/>
      <c r="W249" s="148"/>
      <c r="X249" s="148"/>
      <c r="Y249" s="148"/>
    </row>
    <row r="250" spans="1:25" ht="15">
      <c r="B250" s="14" t="s">
        <v>865</v>
      </c>
      <c r="L250" s="149"/>
      <c r="M250" s="149"/>
      <c r="N250" s="146"/>
      <c r="O250" s="55"/>
      <c r="W250" s="43"/>
      <c r="X250" s="43"/>
      <c r="Y250" s="43"/>
    </row>
    <row r="251" spans="1:25" ht="15">
      <c r="B251" s="14" t="s">
        <v>866</v>
      </c>
      <c r="L251" s="14"/>
      <c r="M251" s="14"/>
      <c r="N251" s="14"/>
      <c r="O251" s="55"/>
      <c r="U251" s="14"/>
      <c r="W251" s="43"/>
      <c r="X251" s="43"/>
      <c r="Y251" s="43"/>
    </row>
    <row r="252" spans="1:25" ht="15">
      <c r="B252" s="14" t="s">
        <v>867</v>
      </c>
      <c r="L252" s="14"/>
      <c r="M252" s="14"/>
      <c r="N252" s="14"/>
      <c r="O252" s="55"/>
      <c r="U252" s="14"/>
      <c r="W252" s="43"/>
      <c r="X252" s="43"/>
      <c r="Y252" s="43"/>
    </row>
    <row r="253" spans="1:25" ht="15">
      <c r="L253" s="14"/>
      <c r="M253" s="14"/>
      <c r="N253" s="14"/>
      <c r="O253" s="55"/>
      <c r="U253" s="14"/>
      <c r="W253" s="43"/>
      <c r="X253" s="43"/>
      <c r="Y253" s="43"/>
    </row>
    <row r="254" spans="1:25" ht="15">
      <c r="A254" s="14"/>
      <c r="L254" s="14"/>
      <c r="M254" s="14"/>
      <c r="N254" s="14"/>
      <c r="O254" s="55"/>
      <c r="W254" s="43"/>
      <c r="X254" s="43"/>
      <c r="Y254" s="43"/>
    </row>
    <row r="255" spans="1:25" ht="51.75">
      <c r="A255" s="144" t="s">
        <v>868</v>
      </c>
      <c r="B255" s="644" t="s">
        <v>861</v>
      </c>
      <c r="C255" s="685" t="s">
        <v>533</v>
      </c>
      <c r="D255" s="685" t="s">
        <v>543</v>
      </c>
      <c r="E255" s="685" t="s">
        <v>522</v>
      </c>
      <c r="F255" s="291" t="s">
        <v>862</v>
      </c>
      <c r="L255" s="14"/>
      <c r="M255" s="14"/>
      <c r="N255" s="14"/>
      <c r="O255" s="55"/>
      <c r="U255" s="64"/>
      <c r="V255" s="64"/>
      <c r="W255" s="64"/>
      <c r="X255" s="64"/>
      <c r="Y255" s="64"/>
    </row>
    <row r="256" spans="1:25" ht="15">
      <c r="A256" s="62" t="s">
        <v>863</v>
      </c>
      <c r="B256" s="14">
        <f>1.2/0.75</f>
        <v>1.5999999999999999</v>
      </c>
      <c r="C256" s="14">
        <f>0.1109195941/100</f>
        <v>1.109195941E-3</v>
      </c>
      <c r="D256" s="14">
        <v>5.4815712449999996E-3</v>
      </c>
      <c r="E256" s="14">
        <f>97/1000000/0.94</f>
        <v>1.0319148936170213E-4</v>
      </c>
      <c r="F256" s="3">
        <f>H408/0.94</f>
        <v>4.2216127659574473E-4</v>
      </c>
      <c r="L256" s="14"/>
      <c r="M256" s="14"/>
      <c r="N256" s="14"/>
      <c r="O256" s="55"/>
      <c r="U256" s="148"/>
      <c r="V256" s="148"/>
      <c r="W256" s="148"/>
      <c r="X256" s="148"/>
      <c r="Y256" s="148"/>
    </row>
    <row r="257" spans="1:66" ht="15">
      <c r="A257" s="190" t="s">
        <v>869</v>
      </c>
      <c r="B257" s="646">
        <v>1</v>
      </c>
      <c r="C257" s="646">
        <f t="shared" ref="C257:F257" si="31">C256*$B256</f>
        <v>1.7747135055999998E-3</v>
      </c>
      <c r="D257" s="646">
        <f t="shared" si="31"/>
        <v>8.7705139919999984E-3</v>
      </c>
      <c r="E257" s="646">
        <f t="shared" si="31"/>
        <v>1.651063829787234E-4</v>
      </c>
      <c r="F257" s="191">
        <f t="shared" si="31"/>
        <v>6.7545804255319153E-4</v>
      </c>
      <c r="L257" s="14"/>
      <c r="M257" s="14"/>
      <c r="N257" s="14"/>
      <c r="O257" s="55"/>
      <c r="W257" s="43"/>
      <c r="X257" s="43"/>
      <c r="Y257" s="43"/>
    </row>
    <row r="258" spans="1:66" ht="15">
      <c r="A258" s="14" t="s">
        <v>538</v>
      </c>
      <c r="B258" s="14" t="s">
        <v>570</v>
      </c>
      <c r="L258" s="14"/>
      <c r="M258" s="14"/>
      <c r="N258" s="14"/>
      <c r="O258" s="55"/>
      <c r="W258" s="43"/>
      <c r="X258" s="43"/>
      <c r="Y258" s="43"/>
    </row>
    <row r="259" spans="1:66" ht="15">
      <c r="B259" s="14" t="s">
        <v>865</v>
      </c>
      <c r="L259" s="14"/>
      <c r="M259" s="14"/>
      <c r="N259" s="14"/>
      <c r="O259" s="55"/>
      <c r="U259" s="64"/>
      <c r="V259" s="64"/>
      <c r="W259" s="64"/>
      <c r="X259" s="64"/>
      <c r="Y259" s="64"/>
    </row>
    <row r="260" spans="1:66" ht="12.75">
      <c r="B260" s="14" t="s">
        <v>866</v>
      </c>
    </row>
    <row r="261" spans="1:66" ht="12.75">
      <c r="B261" s="14" t="s">
        <v>867</v>
      </c>
    </row>
    <row r="262" spans="1:66" ht="12.75">
      <c r="B262" s="14"/>
    </row>
    <row r="264" spans="1:66" ht="15">
      <c r="A264" s="35"/>
      <c r="B264" s="36"/>
      <c r="C264" s="36"/>
      <c r="D264" s="36"/>
      <c r="E264" s="37"/>
      <c r="F264" s="37"/>
      <c r="G264" s="37"/>
      <c r="H264" s="37"/>
      <c r="I264" s="36"/>
      <c r="J264" s="36"/>
      <c r="K264" s="36"/>
      <c r="L264" s="36"/>
      <c r="M264" s="36"/>
      <c r="N264" s="36"/>
      <c r="O264" s="36"/>
      <c r="P264" s="36"/>
      <c r="Q264" s="36"/>
      <c r="R264" s="36"/>
      <c r="S264" s="36"/>
      <c r="T264" s="36"/>
      <c r="U264" s="36"/>
      <c r="V264" s="36"/>
      <c r="W264" s="36"/>
      <c r="X264" s="36"/>
      <c r="Y264" s="36"/>
      <c r="Z264" s="36"/>
      <c r="AA264" s="36"/>
      <c r="AB264" s="36"/>
      <c r="AC264" s="36"/>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spans="1:66" ht="30.75" customHeight="1">
      <c r="A265" s="38" t="s">
        <v>870</v>
      </c>
      <c r="B265" s="39"/>
      <c r="C265" s="39"/>
      <c r="D265" s="39"/>
      <c r="E265" s="40"/>
      <c r="F265" s="40"/>
      <c r="G265" s="40"/>
      <c r="H265" s="40"/>
      <c r="I265" s="39"/>
      <c r="J265" s="39"/>
      <c r="K265" s="39"/>
      <c r="L265" s="39"/>
      <c r="M265" s="39"/>
      <c r="N265" s="39"/>
      <c r="O265" s="39"/>
      <c r="P265" s="39"/>
      <c r="Q265" s="39"/>
      <c r="R265" s="39"/>
      <c r="S265" s="39"/>
      <c r="T265" s="39"/>
      <c r="U265" s="39"/>
      <c r="V265" s="39"/>
      <c r="W265" s="39"/>
      <c r="X265" s="39"/>
      <c r="Y265" s="39"/>
      <c r="Z265" s="39"/>
      <c r="AA265" s="39"/>
      <c r="AB265" s="39"/>
      <c r="AC265" s="39"/>
      <c r="AD265" s="14"/>
      <c r="AE265" s="14"/>
      <c r="AK265" s="14"/>
      <c r="AP265" s="14"/>
    </row>
    <row r="266" spans="1:66" ht="15">
      <c r="B266" s="39"/>
      <c r="C266" s="39"/>
      <c r="D266" s="39"/>
      <c r="E266" s="40"/>
      <c r="F266" s="40"/>
      <c r="G266" s="40"/>
      <c r="H266" s="40"/>
      <c r="I266" s="39"/>
      <c r="J266" s="39"/>
      <c r="K266" s="39"/>
      <c r="L266" s="39"/>
      <c r="M266" s="39"/>
      <c r="N266" s="39"/>
      <c r="O266" s="39"/>
      <c r="P266" s="39"/>
      <c r="Q266" s="39"/>
      <c r="R266" s="39"/>
      <c r="S266" s="39"/>
      <c r="T266" s="39"/>
      <c r="U266" s="39"/>
      <c r="V266" s="39"/>
      <c r="W266" s="39"/>
      <c r="X266" s="39"/>
      <c r="Y266" s="39"/>
      <c r="Z266" s="39"/>
      <c r="AA266" s="39"/>
      <c r="AB266" s="39"/>
      <c r="AC266" s="39"/>
      <c r="AD266" s="14"/>
      <c r="AE266" s="14"/>
      <c r="AK266" s="14"/>
      <c r="AP266" s="14"/>
    </row>
    <row r="267" spans="1:66" ht="60">
      <c r="A267" s="695" t="s">
        <v>871</v>
      </c>
      <c r="B267" s="657" t="s">
        <v>872</v>
      </c>
      <c r="C267" s="696" t="s">
        <v>625</v>
      </c>
      <c r="D267" s="696" t="s">
        <v>534</v>
      </c>
      <c r="E267" s="696" t="s">
        <v>720</v>
      </c>
      <c r="F267" s="150" t="s">
        <v>722</v>
      </c>
      <c r="G267" s="697" t="s">
        <v>873</v>
      </c>
      <c r="H267" s="657" t="s">
        <v>874</v>
      </c>
      <c r="I267" s="696" t="s">
        <v>625</v>
      </c>
      <c r="J267" s="696" t="s">
        <v>534</v>
      </c>
      <c r="K267" s="696" t="s">
        <v>720</v>
      </c>
      <c r="L267" s="696" t="s">
        <v>722</v>
      </c>
      <c r="M267" s="698"/>
      <c r="N267" s="699"/>
      <c r="O267" s="682" t="s">
        <v>625</v>
      </c>
      <c r="P267" s="682" t="s">
        <v>534</v>
      </c>
      <c r="Q267" s="682" t="s">
        <v>720</v>
      </c>
      <c r="R267" s="682" t="s">
        <v>722</v>
      </c>
      <c r="S267" s="700" t="s">
        <v>875</v>
      </c>
      <c r="T267" s="701"/>
      <c r="U267" s="151" t="s">
        <v>533</v>
      </c>
      <c r="V267" s="702" t="s">
        <v>543</v>
      </c>
      <c r="W267" s="702" t="s">
        <v>522</v>
      </c>
      <c r="X267" s="152" t="s">
        <v>535</v>
      </c>
      <c r="AA267" s="39"/>
      <c r="AB267" s="39"/>
      <c r="AC267" s="39"/>
      <c r="AD267" s="14"/>
      <c r="AE267" s="14"/>
      <c r="AK267" s="14"/>
      <c r="AP267" s="14"/>
    </row>
    <row r="268" spans="1:66" ht="12.75">
      <c r="A268" s="645" t="s">
        <v>876</v>
      </c>
      <c r="B268" s="157">
        <v>12.66</v>
      </c>
      <c r="C268" s="17">
        <v>0.6018</v>
      </c>
      <c r="D268" s="153">
        <v>1.7694000000000001</v>
      </c>
      <c r="E268" s="123">
        <v>1.1796600000000001E-2</v>
      </c>
      <c r="F268" s="124">
        <v>0.111</v>
      </c>
      <c r="G268" s="17">
        <v>60</v>
      </c>
      <c r="H268" s="121"/>
      <c r="I268" s="17">
        <v>0.6018</v>
      </c>
      <c r="J268" s="153">
        <v>1.7694000000000001</v>
      </c>
      <c r="K268" s="123">
        <v>1.1796600000000001E-2</v>
      </c>
      <c r="L268" s="123">
        <v>0.111</v>
      </c>
      <c r="M268" s="645" t="s">
        <v>876</v>
      </c>
      <c r="N268" s="17"/>
      <c r="O268" s="17">
        <v>0.6018</v>
      </c>
      <c r="P268" s="153">
        <v>1.7694000000000001</v>
      </c>
      <c r="Q268" s="123">
        <v>1.1796600000000001E-2</v>
      </c>
      <c r="R268" s="123">
        <v>0.111</v>
      </c>
      <c r="S268" s="703" t="s">
        <v>876</v>
      </c>
      <c r="T268" s="14"/>
      <c r="U268" s="154">
        <f t="shared" ref="U268:X268" si="32">O268/100</f>
        <v>6.0179999999999999E-3</v>
      </c>
      <c r="V268" s="14">
        <f t="shared" si="32"/>
        <v>1.7694000000000001E-2</v>
      </c>
      <c r="W268" s="14">
        <f t="shared" si="32"/>
        <v>1.17966E-4</v>
      </c>
      <c r="X268" s="3">
        <f t="shared" si="32"/>
        <v>1.1100000000000001E-3</v>
      </c>
      <c r="AA268" s="39"/>
      <c r="AB268" s="39"/>
      <c r="AC268" s="39"/>
      <c r="AD268" s="14"/>
      <c r="AE268" s="14"/>
      <c r="AK268" s="14"/>
      <c r="AP268" s="14"/>
    </row>
    <row r="269" spans="1:66" ht="12.75">
      <c r="A269" s="645" t="s">
        <v>877</v>
      </c>
      <c r="B269" s="157">
        <v>9.41</v>
      </c>
      <c r="C269" s="156">
        <f t="shared" ref="C269:C280" si="33">B269/B$268*C$268</f>
        <v>0.44730947867298576</v>
      </c>
      <c r="D269" s="156">
        <f t="shared" ref="D269:D280" si="34">B269/B$268*D$268</f>
        <v>1.3151701421800948</v>
      </c>
      <c r="E269" s="156">
        <f t="shared" ref="E269:E280" si="35">B269/B$268*E$268</f>
        <v>8.7682469194312797E-3</v>
      </c>
      <c r="F269" s="158">
        <f t="shared" ref="F269:F280" si="36">B269/B$268*F$268</f>
        <v>8.2504739336492897E-2</v>
      </c>
      <c r="G269" s="17">
        <v>34</v>
      </c>
      <c r="H269" s="155">
        <f t="shared" ref="H269:H281" si="37">G269/G$268</f>
        <v>0.56666666666666665</v>
      </c>
      <c r="I269" s="156">
        <f t="shared" ref="I269:I281" si="38">H269*I$268</f>
        <v>0.34101999999999999</v>
      </c>
      <c r="J269" s="156">
        <f t="shared" ref="J269:J281" si="39">H269*J$268</f>
        <v>1.0026600000000001</v>
      </c>
      <c r="K269" s="156">
        <f t="shared" ref="K269:K281" si="40">H269*K$268</f>
        <v>6.6847400000000006E-3</v>
      </c>
      <c r="L269" s="156">
        <f t="shared" ref="L269:L281" si="41">H269*L$268</f>
        <v>6.2899999999999998E-2</v>
      </c>
      <c r="M269" s="645" t="s">
        <v>877</v>
      </c>
      <c r="N269" s="17"/>
      <c r="O269" s="156">
        <f t="shared" ref="O269:R269" si="42">AVERAGE(C269,I269)</f>
        <v>0.39416473933649288</v>
      </c>
      <c r="P269" s="156">
        <f t="shared" si="42"/>
        <v>1.1589150710900475</v>
      </c>
      <c r="Q269" s="156">
        <f t="shared" si="42"/>
        <v>7.7264934597156398E-3</v>
      </c>
      <c r="R269" s="156">
        <f t="shared" si="42"/>
        <v>7.2702369668246447E-2</v>
      </c>
      <c r="S269" s="703" t="s">
        <v>877</v>
      </c>
      <c r="T269" s="14"/>
      <c r="U269" s="154">
        <f t="shared" ref="U269:X269" si="43">O269/100</f>
        <v>3.9416473933649287E-3</v>
      </c>
      <c r="V269" s="14">
        <f t="shared" si="43"/>
        <v>1.1589150710900475E-2</v>
      </c>
      <c r="W269" s="14">
        <f t="shared" si="43"/>
        <v>7.7264934597156404E-5</v>
      </c>
      <c r="X269" s="3">
        <f t="shared" si="43"/>
        <v>7.2702369668246447E-4</v>
      </c>
      <c r="AA269" s="39"/>
      <c r="AB269" s="39"/>
      <c r="AC269" s="39"/>
      <c r="AD269" s="14"/>
      <c r="AE269" s="14"/>
      <c r="AK269" s="14"/>
      <c r="AP269" s="14"/>
    </row>
    <row r="270" spans="1:66" ht="12.75">
      <c r="A270" s="645" t="s">
        <v>115</v>
      </c>
      <c r="B270" s="157">
        <v>11.58</v>
      </c>
      <c r="C270" s="156">
        <f t="shared" si="33"/>
        <v>0.55046161137440763</v>
      </c>
      <c r="D270" s="156">
        <f t="shared" si="34"/>
        <v>1.6184559241706162</v>
      </c>
      <c r="E270" s="156">
        <f t="shared" si="35"/>
        <v>1.0790254976303319E-2</v>
      </c>
      <c r="F270" s="158">
        <f t="shared" si="36"/>
        <v>0.1015308056872038</v>
      </c>
      <c r="G270" s="17">
        <v>43</v>
      </c>
      <c r="H270" s="155">
        <f t="shared" si="37"/>
        <v>0.71666666666666667</v>
      </c>
      <c r="I270" s="156">
        <f t="shared" si="38"/>
        <v>0.43129000000000001</v>
      </c>
      <c r="J270" s="156">
        <f t="shared" si="39"/>
        <v>1.26807</v>
      </c>
      <c r="K270" s="156">
        <f t="shared" si="40"/>
        <v>8.4542300000000001E-3</v>
      </c>
      <c r="L270" s="156">
        <f t="shared" si="41"/>
        <v>7.9549999999999996E-2</v>
      </c>
      <c r="M270" s="645" t="s">
        <v>115</v>
      </c>
      <c r="N270" s="17"/>
      <c r="O270" s="156">
        <f t="shared" ref="O270:R270" si="44">AVERAGE(C270,I270)</f>
        <v>0.49087580568720379</v>
      </c>
      <c r="P270" s="156">
        <f t="shared" si="44"/>
        <v>1.4432629620853081</v>
      </c>
      <c r="Q270" s="156">
        <f t="shared" si="44"/>
        <v>9.6222424881516593E-3</v>
      </c>
      <c r="R270" s="156">
        <f t="shared" si="44"/>
        <v>9.0540402843601903E-2</v>
      </c>
      <c r="S270" s="703" t="s">
        <v>115</v>
      </c>
      <c r="T270" s="14"/>
      <c r="U270" s="154">
        <f t="shared" ref="U270:X270" si="45">O270/100</f>
        <v>4.9087580568720375E-3</v>
      </c>
      <c r="V270" s="14">
        <f t="shared" si="45"/>
        <v>1.4432629620853081E-2</v>
      </c>
      <c r="W270" s="14">
        <f t="shared" si="45"/>
        <v>9.6222424881516595E-5</v>
      </c>
      <c r="X270" s="3">
        <f t="shared" si="45"/>
        <v>9.0540402843601901E-4</v>
      </c>
      <c r="AA270" s="39"/>
      <c r="AB270" s="39"/>
      <c r="AC270" s="39"/>
      <c r="AD270" s="14"/>
      <c r="AE270" s="14"/>
      <c r="AK270" s="14"/>
      <c r="AP270" s="14"/>
    </row>
    <row r="271" spans="1:66" ht="12.75">
      <c r="A271" s="645" t="s">
        <v>118</v>
      </c>
      <c r="B271" s="157">
        <v>11.58</v>
      </c>
      <c r="C271" s="156">
        <f t="shared" si="33"/>
        <v>0.55046161137440763</v>
      </c>
      <c r="D271" s="156">
        <f t="shared" si="34"/>
        <v>1.6184559241706162</v>
      </c>
      <c r="E271" s="156">
        <f t="shared" si="35"/>
        <v>1.0790254976303319E-2</v>
      </c>
      <c r="F271" s="158">
        <f t="shared" si="36"/>
        <v>0.1015308056872038</v>
      </c>
      <c r="G271" s="17">
        <v>50</v>
      </c>
      <c r="H271" s="155">
        <f t="shared" si="37"/>
        <v>0.83333333333333337</v>
      </c>
      <c r="I271" s="156">
        <f t="shared" si="38"/>
        <v>0.50150000000000006</v>
      </c>
      <c r="J271" s="156">
        <f t="shared" si="39"/>
        <v>1.4745000000000001</v>
      </c>
      <c r="K271" s="156">
        <f t="shared" si="40"/>
        <v>9.8305000000000007E-3</v>
      </c>
      <c r="L271" s="156">
        <f t="shared" si="41"/>
        <v>9.2499999999999999E-2</v>
      </c>
      <c r="M271" s="645" t="s">
        <v>118</v>
      </c>
      <c r="N271" s="17"/>
      <c r="O271" s="156">
        <f t="shared" ref="O271:R271" si="46">AVERAGE(C271,I271)</f>
        <v>0.52598080568720385</v>
      </c>
      <c r="P271" s="156">
        <f t="shared" si="46"/>
        <v>1.5464779620853082</v>
      </c>
      <c r="Q271" s="156">
        <f t="shared" si="46"/>
        <v>1.031037748815166E-2</v>
      </c>
      <c r="R271" s="156">
        <f t="shared" si="46"/>
        <v>9.7015402843601897E-2</v>
      </c>
      <c r="S271" s="703" t="s">
        <v>118</v>
      </c>
      <c r="T271" s="14"/>
      <c r="U271" s="154">
        <f t="shared" ref="U271:X271" si="47">O271/100</f>
        <v>5.2598080568720387E-3</v>
      </c>
      <c r="V271" s="14">
        <f t="shared" si="47"/>
        <v>1.5464779620853082E-2</v>
      </c>
      <c r="W271" s="14">
        <f t="shared" si="47"/>
        <v>1.0310377488151661E-4</v>
      </c>
      <c r="X271" s="3">
        <f t="shared" si="47"/>
        <v>9.7015402843601893E-4</v>
      </c>
      <c r="AA271" s="39"/>
      <c r="AB271" s="39"/>
      <c r="AC271" s="39"/>
      <c r="AD271" s="14"/>
      <c r="AE271" s="14"/>
      <c r="AK271" s="14"/>
      <c r="AP271" s="14"/>
    </row>
    <row r="272" spans="1:66" ht="12.75">
      <c r="A272" s="645" t="s">
        <v>134</v>
      </c>
      <c r="B272" s="157">
        <v>7</v>
      </c>
      <c r="C272" s="156">
        <f t="shared" si="33"/>
        <v>0.33274881516587679</v>
      </c>
      <c r="D272" s="156">
        <f t="shared" si="34"/>
        <v>0.97834123222748826</v>
      </c>
      <c r="E272" s="156">
        <f t="shared" si="35"/>
        <v>6.5226066350710906E-3</v>
      </c>
      <c r="F272" s="158">
        <f t="shared" si="36"/>
        <v>6.1374407582938391E-2</v>
      </c>
      <c r="G272" s="17">
        <v>27</v>
      </c>
      <c r="H272" s="155">
        <f t="shared" si="37"/>
        <v>0.45</v>
      </c>
      <c r="I272" s="156">
        <f t="shared" si="38"/>
        <v>0.27081</v>
      </c>
      <c r="J272" s="156">
        <f t="shared" si="39"/>
        <v>0.7962300000000001</v>
      </c>
      <c r="K272" s="156">
        <f t="shared" si="40"/>
        <v>5.3084700000000009E-3</v>
      </c>
      <c r="L272" s="156">
        <f t="shared" si="41"/>
        <v>4.9950000000000001E-2</v>
      </c>
      <c r="M272" s="645" t="s">
        <v>134</v>
      </c>
      <c r="N272" s="17"/>
      <c r="O272" s="156">
        <f t="shared" ref="O272:R272" si="48">AVERAGE(C272,I272)</f>
        <v>0.30177940758293842</v>
      </c>
      <c r="P272" s="156">
        <f t="shared" si="48"/>
        <v>0.88728561611374412</v>
      </c>
      <c r="Q272" s="156">
        <f t="shared" si="48"/>
        <v>5.9155383175355462E-3</v>
      </c>
      <c r="R272" s="156">
        <f t="shared" si="48"/>
        <v>5.5662203791469196E-2</v>
      </c>
      <c r="S272" s="703" t="s">
        <v>134</v>
      </c>
      <c r="T272" s="14"/>
      <c r="U272" s="154">
        <f t="shared" ref="U272:X272" si="49">O272/100</f>
        <v>3.0177940758293843E-3</v>
      </c>
      <c r="V272" s="14">
        <f t="shared" si="49"/>
        <v>8.8728561611374421E-3</v>
      </c>
      <c r="W272" s="14">
        <f t="shared" si="49"/>
        <v>5.9155383175355464E-5</v>
      </c>
      <c r="X272" s="3">
        <f t="shared" si="49"/>
        <v>5.56622037914692E-4</v>
      </c>
      <c r="AA272" s="39"/>
      <c r="AB272" s="39"/>
      <c r="AC272" s="39"/>
      <c r="AD272" s="14"/>
      <c r="AE272" s="14"/>
      <c r="AK272" s="14"/>
      <c r="AP272" s="14"/>
    </row>
    <row r="273" spans="1:42" ht="12.75">
      <c r="A273" s="645" t="s">
        <v>878</v>
      </c>
      <c r="B273" s="157">
        <v>95.5</v>
      </c>
      <c r="C273" s="156">
        <f t="shared" si="33"/>
        <v>4.5396445497630333</v>
      </c>
      <c r="D273" s="156">
        <f t="shared" si="34"/>
        <v>13.347369668246445</v>
      </c>
      <c r="E273" s="156">
        <f t="shared" si="35"/>
        <v>8.8986990521327011E-2</v>
      </c>
      <c r="F273" s="158">
        <f t="shared" si="36"/>
        <v>0.83732227488151656</v>
      </c>
      <c r="G273" s="17">
        <v>353</v>
      </c>
      <c r="H273" s="155">
        <f t="shared" si="37"/>
        <v>5.8833333333333337</v>
      </c>
      <c r="I273" s="156">
        <f t="shared" si="38"/>
        <v>3.5405900000000003</v>
      </c>
      <c r="J273" s="156">
        <f t="shared" si="39"/>
        <v>10.409970000000001</v>
      </c>
      <c r="K273" s="156">
        <f t="shared" si="40"/>
        <v>6.9403330000000013E-2</v>
      </c>
      <c r="L273" s="156">
        <f t="shared" si="41"/>
        <v>0.65305000000000002</v>
      </c>
      <c r="M273" s="645" t="s">
        <v>878</v>
      </c>
      <c r="N273" s="17"/>
      <c r="O273" s="156">
        <f t="shared" ref="O273:R273" si="50">AVERAGE(C273,I273)</f>
        <v>4.0401172748815171</v>
      </c>
      <c r="P273" s="156">
        <f t="shared" si="50"/>
        <v>11.878669834123222</v>
      </c>
      <c r="Q273" s="156">
        <f t="shared" si="50"/>
        <v>7.9195160260663505E-2</v>
      </c>
      <c r="R273" s="156">
        <f t="shared" si="50"/>
        <v>0.74518613744075823</v>
      </c>
      <c r="S273" s="703" t="s">
        <v>878</v>
      </c>
      <c r="T273" s="14"/>
      <c r="U273" s="154">
        <f t="shared" ref="U273:X273" si="51">O273/100</f>
        <v>4.0401172748815169E-2</v>
      </c>
      <c r="V273" s="14">
        <f t="shared" si="51"/>
        <v>0.11878669834123222</v>
      </c>
      <c r="W273" s="14">
        <f t="shared" si="51"/>
        <v>7.919516026066351E-4</v>
      </c>
      <c r="X273" s="3">
        <f t="shared" si="51"/>
        <v>7.4518613744075819E-3</v>
      </c>
      <c r="AA273" s="39"/>
      <c r="AB273" s="39"/>
      <c r="AC273" s="39"/>
      <c r="AD273" s="14"/>
      <c r="AE273" s="14"/>
      <c r="AK273" s="14"/>
      <c r="AP273" s="14"/>
    </row>
    <row r="274" spans="1:42" ht="12.75">
      <c r="A274" s="645" t="s">
        <v>88</v>
      </c>
      <c r="B274" s="157">
        <v>81.3</v>
      </c>
      <c r="C274" s="156">
        <f t="shared" si="33"/>
        <v>3.8646398104265405</v>
      </c>
      <c r="D274" s="156">
        <f t="shared" si="34"/>
        <v>11.362734597156399</v>
      </c>
      <c r="E274" s="156">
        <f t="shared" si="35"/>
        <v>7.5755417061611374E-2</v>
      </c>
      <c r="F274" s="158">
        <f t="shared" si="36"/>
        <v>0.7128199052132701</v>
      </c>
      <c r="G274" s="17">
        <v>717</v>
      </c>
      <c r="H274" s="155">
        <f t="shared" si="37"/>
        <v>11.95</v>
      </c>
      <c r="I274" s="156">
        <f t="shared" si="38"/>
        <v>7.1915099999999992</v>
      </c>
      <c r="J274" s="156">
        <f t="shared" si="39"/>
        <v>21.14433</v>
      </c>
      <c r="K274" s="156">
        <f t="shared" si="40"/>
        <v>0.14096937000000001</v>
      </c>
      <c r="L274" s="156">
        <f t="shared" si="41"/>
        <v>1.3264499999999999</v>
      </c>
      <c r="M274" s="645" t="s">
        <v>88</v>
      </c>
      <c r="N274" s="17"/>
      <c r="O274" s="156">
        <f t="shared" ref="O274:R274" si="52">AVERAGE(C274,I274)</f>
        <v>5.5280749052132698</v>
      </c>
      <c r="P274" s="156">
        <f t="shared" si="52"/>
        <v>16.2535322985782</v>
      </c>
      <c r="Q274" s="156">
        <f t="shared" si="52"/>
        <v>0.10836239353080569</v>
      </c>
      <c r="R274" s="156">
        <f t="shared" si="52"/>
        <v>1.0196349526066351</v>
      </c>
      <c r="S274" s="703" t="s">
        <v>88</v>
      </c>
      <c r="T274" s="14"/>
      <c r="U274" s="154">
        <f t="shared" ref="U274:X274" si="53">O274/100</f>
        <v>5.5280749052132698E-2</v>
      </c>
      <c r="V274" s="14">
        <f t="shared" si="53"/>
        <v>0.16253532298578199</v>
      </c>
      <c r="W274" s="14">
        <f t="shared" si="53"/>
        <v>1.0836239353080568E-3</v>
      </c>
      <c r="X274" s="3">
        <f t="shared" si="53"/>
        <v>1.0196349526066351E-2</v>
      </c>
      <c r="AA274" s="39"/>
      <c r="AB274" s="39"/>
      <c r="AC274" s="39"/>
      <c r="AD274" s="14"/>
      <c r="AE274" s="14"/>
      <c r="AK274" s="14"/>
      <c r="AP274" s="14"/>
    </row>
    <row r="275" spans="1:42" ht="12.75">
      <c r="A275" s="645" t="s">
        <v>121</v>
      </c>
      <c r="B275" s="157">
        <v>97.5</v>
      </c>
      <c r="C275" s="156">
        <f t="shared" si="33"/>
        <v>4.6347156398104268</v>
      </c>
      <c r="D275" s="156">
        <f t="shared" si="34"/>
        <v>13.626895734597156</v>
      </c>
      <c r="E275" s="156">
        <f t="shared" si="35"/>
        <v>9.0850592417061615E-2</v>
      </c>
      <c r="F275" s="158">
        <f t="shared" si="36"/>
        <v>0.85485781990521326</v>
      </c>
      <c r="G275" s="17">
        <v>358</v>
      </c>
      <c r="H275" s="155">
        <f t="shared" si="37"/>
        <v>5.9666666666666668</v>
      </c>
      <c r="I275" s="156">
        <f t="shared" si="38"/>
        <v>3.5907400000000003</v>
      </c>
      <c r="J275" s="156">
        <f t="shared" si="39"/>
        <v>10.55742</v>
      </c>
      <c r="K275" s="156">
        <f t="shared" si="40"/>
        <v>7.0386380000000012E-2</v>
      </c>
      <c r="L275" s="156">
        <f t="shared" si="41"/>
        <v>0.6623</v>
      </c>
      <c r="M275" s="645" t="s">
        <v>121</v>
      </c>
      <c r="N275" s="17"/>
      <c r="O275" s="156">
        <f t="shared" ref="O275:R275" si="54">AVERAGE(C275,I275)</f>
        <v>4.1127278199052135</v>
      </c>
      <c r="P275" s="156">
        <f t="shared" si="54"/>
        <v>12.092157867298578</v>
      </c>
      <c r="Q275" s="156">
        <f t="shared" si="54"/>
        <v>8.0618486208530821E-2</v>
      </c>
      <c r="R275" s="156">
        <f t="shared" si="54"/>
        <v>0.75857890995260657</v>
      </c>
      <c r="S275" s="703" t="s">
        <v>121</v>
      </c>
      <c r="T275" s="14"/>
      <c r="U275" s="154">
        <f t="shared" ref="U275:X275" si="55">O275/100</f>
        <v>4.1127278199052132E-2</v>
      </c>
      <c r="V275" s="14">
        <f t="shared" si="55"/>
        <v>0.12092157867298578</v>
      </c>
      <c r="W275" s="14">
        <f t="shared" si="55"/>
        <v>8.0618486208530824E-4</v>
      </c>
      <c r="X275" s="3">
        <f t="shared" si="55"/>
        <v>7.5857890995260661E-3</v>
      </c>
      <c r="AA275" s="39"/>
      <c r="AB275" s="39"/>
      <c r="AC275" s="39"/>
      <c r="AD275" s="14"/>
      <c r="AE275" s="14"/>
      <c r="AK275" s="14"/>
      <c r="AP275" s="14"/>
    </row>
    <row r="276" spans="1:42" ht="12.75">
      <c r="A276" s="645" t="s">
        <v>128</v>
      </c>
      <c r="B276" s="157">
        <v>18</v>
      </c>
      <c r="C276" s="156">
        <f t="shared" si="33"/>
        <v>0.85563981042654025</v>
      </c>
      <c r="D276" s="156">
        <f t="shared" si="34"/>
        <v>2.5157345971563982</v>
      </c>
      <c r="E276" s="156">
        <f t="shared" si="35"/>
        <v>1.6772417061611377E-2</v>
      </c>
      <c r="F276" s="158">
        <f t="shared" si="36"/>
        <v>0.15781990521327013</v>
      </c>
      <c r="G276" s="17">
        <v>198</v>
      </c>
      <c r="H276" s="155">
        <f t="shared" si="37"/>
        <v>3.3</v>
      </c>
      <c r="I276" s="156">
        <f t="shared" si="38"/>
        <v>1.9859399999999998</v>
      </c>
      <c r="J276" s="156">
        <f t="shared" si="39"/>
        <v>5.8390199999999997</v>
      </c>
      <c r="K276" s="156">
        <f t="shared" si="40"/>
        <v>3.8928780000000003E-2</v>
      </c>
      <c r="L276" s="156">
        <f t="shared" si="41"/>
        <v>0.36629999999999996</v>
      </c>
      <c r="M276" s="645" t="s">
        <v>128</v>
      </c>
      <c r="N276" s="17"/>
      <c r="O276" s="156">
        <f t="shared" ref="O276:R276" si="56">AVERAGE(C276,I276)</f>
        <v>1.42078990521327</v>
      </c>
      <c r="P276" s="156">
        <f t="shared" si="56"/>
        <v>4.1773772985781985</v>
      </c>
      <c r="Q276" s="156">
        <f t="shared" si="56"/>
        <v>2.7850598530805688E-2</v>
      </c>
      <c r="R276" s="156">
        <f t="shared" si="56"/>
        <v>0.26205995260663506</v>
      </c>
      <c r="S276" s="703" t="s">
        <v>128</v>
      </c>
      <c r="T276" s="14"/>
      <c r="U276" s="154">
        <f t="shared" ref="U276:X276" si="57">O276/100</f>
        <v>1.42078990521327E-2</v>
      </c>
      <c r="V276" s="14">
        <f t="shared" si="57"/>
        <v>4.1773772985781985E-2</v>
      </c>
      <c r="W276" s="14">
        <f t="shared" si="57"/>
        <v>2.785059853080569E-4</v>
      </c>
      <c r="X276" s="3">
        <f t="shared" si="57"/>
        <v>2.6205995260663506E-3</v>
      </c>
      <c r="AA276" s="39"/>
      <c r="AB276" s="39"/>
      <c r="AC276" s="39"/>
      <c r="AD276" s="14"/>
      <c r="AE276" s="14"/>
      <c r="AK276" s="14"/>
      <c r="AP276" s="14"/>
    </row>
    <row r="277" spans="1:42" ht="12.75">
      <c r="A277" s="645" t="s">
        <v>879</v>
      </c>
      <c r="B277" s="157">
        <v>10.64</v>
      </c>
      <c r="C277" s="156">
        <f t="shared" si="33"/>
        <v>0.50577819905213273</v>
      </c>
      <c r="D277" s="156">
        <f t="shared" si="34"/>
        <v>1.4870786729857821</v>
      </c>
      <c r="E277" s="156">
        <f t="shared" si="35"/>
        <v>9.9143620853080587E-3</v>
      </c>
      <c r="F277" s="158">
        <f t="shared" si="36"/>
        <v>9.3289099526066357E-2</v>
      </c>
      <c r="G277" s="17">
        <v>63</v>
      </c>
      <c r="H277" s="155">
        <f t="shared" si="37"/>
        <v>1.05</v>
      </c>
      <c r="I277" s="156">
        <f t="shared" si="38"/>
        <v>0.63189000000000006</v>
      </c>
      <c r="J277" s="156">
        <f t="shared" si="39"/>
        <v>1.8578700000000001</v>
      </c>
      <c r="K277" s="156">
        <f t="shared" si="40"/>
        <v>1.2386430000000002E-2</v>
      </c>
      <c r="L277" s="156">
        <f t="shared" si="41"/>
        <v>0.11655</v>
      </c>
      <c r="M277" s="645" t="s">
        <v>879</v>
      </c>
      <c r="N277" s="17"/>
      <c r="O277" s="156">
        <f t="shared" ref="O277:R277" si="58">AVERAGE(C277,I277)</f>
        <v>0.56883409952606634</v>
      </c>
      <c r="P277" s="156">
        <f t="shared" si="58"/>
        <v>1.6724743364928911</v>
      </c>
      <c r="Q277" s="156">
        <f t="shared" si="58"/>
        <v>1.115039604265403E-2</v>
      </c>
      <c r="R277" s="156">
        <f t="shared" si="58"/>
        <v>0.10491954976303318</v>
      </c>
      <c r="S277" s="703" t="s">
        <v>879</v>
      </c>
      <c r="T277" s="14"/>
      <c r="U277" s="154">
        <f t="shared" ref="U277:X277" si="59">O277/100</f>
        <v>5.688340995260663E-3</v>
      </c>
      <c r="V277" s="14">
        <f t="shared" si="59"/>
        <v>1.672474336492891E-2</v>
      </c>
      <c r="W277" s="14">
        <f t="shared" si="59"/>
        <v>1.1150396042654029E-4</v>
      </c>
      <c r="X277" s="3">
        <f t="shared" si="59"/>
        <v>1.0491954976303319E-3</v>
      </c>
      <c r="AA277" s="39"/>
      <c r="AB277" s="39"/>
      <c r="AC277" s="39"/>
      <c r="AD277" s="14"/>
      <c r="AE277" s="14"/>
      <c r="AK277" s="14"/>
      <c r="AP277" s="14"/>
    </row>
    <row r="278" spans="1:42" ht="12.75">
      <c r="A278" s="645" t="s">
        <v>92</v>
      </c>
      <c r="B278" s="157">
        <f>B271</f>
        <v>11.58</v>
      </c>
      <c r="C278" s="156">
        <f t="shared" si="33"/>
        <v>0.55046161137440763</v>
      </c>
      <c r="D278" s="156">
        <f t="shared" si="34"/>
        <v>1.6184559241706162</v>
      </c>
      <c r="E278" s="156">
        <f t="shared" si="35"/>
        <v>1.0790254976303319E-2</v>
      </c>
      <c r="F278" s="158">
        <f t="shared" si="36"/>
        <v>0.1015308056872038</v>
      </c>
      <c r="G278" s="17">
        <v>40</v>
      </c>
      <c r="H278" s="155">
        <f t="shared" si="37"/>
        <v>0.66666666666666663</v>
      </c>
      <c r="I278" s="156">
        <f t="shared" si="38"/>
        <v>0.4012</v>
      </c>
      <c r="J278" s="156">
        <f t="shared" si="39"/>
        <v>1.1796</v>
      </c>
      <c r="K278" s="156">
        <f t="shared" si="40"/>
        <v>7.8644000000000006E-3</v>
      </c>
      <c r="L278" s="156">
        <f t="shared" si="41"/>
        <v>7.3999999999999996E-2</v>
      </c>
      <c r="M278" s="645" t="s">
        <v>92</v>
      </c>
      <c r="N278" s="17"/>
      <c r="O278" s="156">
        <f t="shared" ref="O278:R278" si="60">AVERAGE(C278,I278)</f>
        <v>0.47583080568720382</v>
      </c>
      <c r="P278" s="156">
        <f t="shared" si="60"/>
        <v>1.3990279620853081</v>
      </c>
      <c r="Q278" s="156">
        <f t="shared" si="60"/>
        <v>9.3273274881516596E-3</v>
      </c>
      <c r="R278" s="156">
        <f t="shared" si="60"/>
        <v>8.7765402843601903E-2</v>
      </c>
      <c r="S278" s="703" t="s">
        <v>92</v>
      </c>
      <c r="T278" s="14"/>
      <c r="U278" s="154">
        <f t="shared" ref="U278:X278" si="61">O278/100</f>
        <v>4.7583080568720385E-3</v>
      </c>
      <c r="V278" s="14">
        <f t="shared" si="61"/>
        <v>1.399027962085308E-2</v>
      </c>
      <c r="W278" s="14">
        <f t="shared" si="61"/>
        <v>9.3273274881516596E-5</v>
      </c>
      <c r="X278" s="3">
        <f t="shared" si="61"/>
        <v>8.7765402843601901E-4</v>
      </c>
      <c r="AA278" s="39"/>
      <c r="AB278" s="39"/>
      <c r="AC278" s="39"/>
      <c r="AD278" s="14"/>
      <c r="AE278" s="14"/>
      <c r="AK278" s="14"/>
      <c r="AP278" s="14"/>
    </row>
    <row r="279" spans="1:42" ht="12.75">
      <c r="A279" s="645" t="s">
        <v>108</v>
      </c>
      <c r="B279" s="157">
        <f t="shared" ref="B279:B280" si="62">MEDIAN(18,30)</f>
        <v>24</v>
      </c>
      <c r="C279" s="156">
        <f t="shared" si="33"/>
        <v>1.1408530805687205</v>
      </c>
      <c r="D279" s="156">
        <f t="shared" si="34"/>
        <v>3.3543127962085308</v>
      </c>
      <c r="E279" s="156">
        <f t="shared" si="35"/>
        <v>2.2363222748815168E-2</v>
      </c>
      <c r="F279" s="158">
        <f t="shared" si="36"/>
        <v>0.2104265402843602</v>
      </c>
      <c r="G279" s="17">
        <v>195</v>
      </c>
      <c r="H279" s="155">
        <f t="shared" si="37"/>
        <v>3.25</v>
      </c>
      <c r="I279" s="156">
        <f t="shared" si="38"/>
        <v>1.9558500000000001</v>
      </c>
      <c r="J279" s="156">
        <f t="shared" si="39"/>
        <v>5.7505500000000005</v>
      </c>
      <c r="K279" s="156">
        <f t="shared" si="40"/>
        <v>3.8338950000000004E-2</v>
      </c>
      <c r="L279" s="156">
        <f t="shared" si="41"/>
        <v>0.36075000000000002</v>
      </c>
      <c r="M279" s="645" t="s">
        <v>108</v>
      </c>
      <c r="N279" s="17"/>
      <c r="O279" s="156">
        <f t="shared" ref="O279:R279" si="63">AVERAGE(C279,I279)</f>
        <v>1.5483515402843602</v>
      </c>
      <c r="P279" s="156">
        <f t="shared" si="63"/>
        <v>4.5524313981042654</v>
      </c>
      <c r="Q279" s="156">
        <f t="shared" si="63"/>
        <v>3.0351086374407588E-2</v>
      </c>
      <c r="R279" s="156">
        <f t="shared" si="63"/>
        <v>0.28558827014218013</v>
      </c>
      <c r="S279" s="703" t="s">
        <v>108</v>
      </c>
      <c r="T279" s="14"/>
      <c r="U279" s="154">
        <f t="shared" ref="U279:X279" si="64">O279/100</f>
        <v>1.5483515402843602E-2</v>
      </c>
      <c r="V279" s="14">
        <f t="shared" si="64"/>
        <v>4.5524313981042654E-2</v>
      </c>
      <c r="W279" s="14">
        <f t="shared" si="64"/>
        <v>3.0351086374407588E-4</v>
      </c>
      <c r="X279" s="3">
        <f t="shared" si="64"/>
        <v>2.8558827014218014E-3</v>
      </c>
      <c r="AA279" s="39"/>
      <c r="AB279" s="39"/>
      <c r="AC279" s="39"/>
      <c r="AD279" s="14"/>
      <c r="AE279" s="14"/>
      <c r="AK279" s="14"/>
      <c r="AP279" s="14"/>
    </row>
    <row r="280" spans="1:42" ht="12.75">
      <c r="A280" s="645" t="s">
        <v>105</v>
      </c>
      <c r="B280" s="157">
        <f t="shared" si="62"/>
        <v>24</v>
      </c>
      <c r="C280" s="156">
        <f t="shared" si="33"/>
        <v>1.1408530805687205</v>
      </c>
      <c r="D280" s="156">
        <f t="shared" si="34"/>
        <v>3.3543127962085308</v>
      </c>
      <c r="E280" s="156">
        <f t="shared" si="35"/>
        <v>2.2363222748815168E-2</v>
      </c>
      <c r="F280" s="158">
        <f t="shared" si="36"/>
        <v>0.2104265402843602</v>
      </c>
      <c r="G280" s="17">
        <v>340</v>
      </c>
      <c r="H280" s="155">
        <f t="shared" si="37"/>
        <v>5.666666666666667</v>
      </c>
      <c r="I280" s="156">
        <f t="shared" si="38"/>
        <v>3.4102000000000001</v>
      </c>
      <c r="J280" s="156">
        <f t="shared" si="39"/>
        <v>10.0266</v>
      </c>
      <c r="K280" s="156">
        <f t="shared" si="40"/>
        <v>6.6847400000000015E-2</v>
      </c>
      <c r="L280" s="156">
        <f t="shared" si="41"/>
        <v>0.629</v>
      </c>
      <c r="M280" s="645" t="s">
        <v>105</v>
      </c>
      <c r="N280" s="17"/>
      <c r="O280" s="156">
        <f t="shared" ref="O280:R280" si="65">AVERAGE(C280,I280)</f>
        <v>2.2755265402843605</v>
      </c>
      <c r="P280" s="156">
        <f t="shared" si="65"/>
        <v>6.6904563981042653</v>
      </c>
      <c r="Q280" s="156">
        <f t="shared" si="65"/>
        <v>4.460531137440759E-2</v>
      </c>
      <c r="R280" s="156">
        <f t="shared" si="65"/>
        <v>0.41971327014218007</v>
      </c>
      <c r="S280" s="703" t="s">
        <v>105</v>
      </c>
      <c r="T280" s="14"/>
      <c r="U280" s="154">
        <f t="shared" ref="U280:X280" si="66">O280/100</f>
        <v>2.2755265402843606E-2</v>
      </c>
      <c r="V280" s="14">
        <f t="shared" si="66"/>
        <v>6.690456398104265E-2</v>
      </c>
      <c r="W280" s="14">
        <f t="shared" si="66"/>
        <v>4.4605311374407592E-4</v>
      </c>
      <c r="X280" s="3">
        <f t="shared" si="66"/>
        <v>4.197132701421801E-3</v>
      </c>
      <c r="AA280" s="39"/>
      <c r="AB280" s="39"/>
      <c r="AC280" s="39"/>
      <c r="AD280" s="14"/>
      <c r="AE280" s="14"/>
      <c r="AK280" s="14"/>
      <c r="AP280" s="14"/>
    </row>
    <row r="281" spans="1:42" ht="12.75">
      <c r="A281" s="645" t="s">
        <v>880</v>
      </c>
      <c r="B281" s="157" t="s">
        <v>881</v>
      </c>
      <c r="C281" s="156">
        <f t="shared" ref="C281:F281" si="67">C280*0.88</f>
        <v>1.0039507109004739</v>
      </c>
      <c r="D281" s="156">
        <f t="shared" si="67"/>
        <v>2.9517952606635069</v>
      </c>
      <c r="E281" s="156">
        <f t="shared" si="67"/>
        <v>1.9679636018957346E-2</v>
      </c>
      <c r="F281" s="158">
        <f t="shared" si="67"/>
        <v>0.18517535545023697</v>
      </c>
      <c r="G281" s="17">
        <v>257</v>
      </c>
      <c r="H281" s="155">
        <f t="shared" si="37"/>
        <v>4.2833333333333332</v>
      </c>
      <c r="I281" s="156">
        <f t="shared" si="38"/>
        <v>2.5777099999999997</v>
      </c>
      <c r="J281" s="156">
        <f t="shared" si="39"/>
        <v>7.5789299999999997</v>
      </c>
      <c r="K281" s="156">
        <f t="shared" si="40"/>
        <v>5.0528770000000001E-2</v>
      </c>
      <c r="L281" s="156">
        <f t="shared" si="41"/>
        <v>0.47544999999999998</v>
      </c>
      <c r="M281" s="645" t="s">
        <v>882</v>
      </c>
      <c r="N281" s="17"/>
      <c r="O281" s="156">
        <f t="shared" ref="O281:R281" si="68">AVERAGE(C281,I281)</f>
        <v>1.7908303554502369</v>
      </c>
      <c r="P281" s="156">
        <f t="shared" si="68"/>
        <v>5.2653626303317536</v>
      </c>
      <c r="Q281" s="156">
        <f t="shared" si="68"/>
        <v>3.5104203009478675E-2</v>
      </c>
      <c r="R281" s="156">
        <f t="shared" si="68"/>
        <v>0.33031267772511846</v>
      </c>
      <c r="S281" s="703" t="s">
        <v>882</v>
      </c>
      <c r="T281" s="14"/>
      <c r="U281" s="154">
        <f t="shared" ref="U281:X281" si="69">O281/100</f>
        <v>1.7908303554502368E-2</v>
      </c>
      <c r="V281" s="14">
        <f t="shared" si="69"/>
        <v>5.2653626303317533E-2</v>
      </c>
      <c r="W281" s="14">
        <f t="shared" si="69"/>
        <v>3.5104203009478677E-4</v>
      </c>
      <c r="X281" s="3">
        <f t="shared" si="69"/>
        <v>3.3031267772511848E-3</v>
      </c>
      <c r="AA281" s="39"/>
      <c r="AB281" s="39"/>
      <c r="AC281" s="39"/>
      <c r="AD281" s="14"/>
      <c r="AE281" s="14"/>
      <c r="AK281" s="14"/>
      <c r="AP281" s="14"/>
    </row>
    <row r="282" spans="1:42" ht="12.75">
      <c r="A282" s="645" t="s">
        <v>883</v>
      </c>
      <c r="B282" s="157"/>
      <c r="C282" s="17"/>
      <c r="D282" s="17"/>
      <c r="E282" s="17"/>
      <c r="F282" s="77"/>
      <c r="G282" s="45">
        <v>403</v>
      </c>
      <c r="H282" s="159"/>
      <c r="I282" s="45"/>
      <c r="J282" s="45"/>
      <c r="K282" s="45"/>
      <c r="L282" s="45"/>
      <c r="M282" s="160" t="s">
        <v>883</v>
      </c>
      <c r="N282" s="704" t="s">
        <v>884</v>
      </c>
      <c r="O282" s="704">
        <f t="shared" ref="O282:R282" si="70">O268*8</f>
        <v>4.8144</v>
      </c>
      <c r="P282" s="704">
        <f t="shared" si="70"/>
        <v>14.155200000000001</v>
      </c>
      <c r="Q282" s="704">
        <f t="shared" si="70"/>
        <v>9.4372800000000007E-2</v>
      </c>
      <c r="R282" s="704">
        <f t="shared" si="70"/>
        <v>0.88800000000000001</v>
      </c>
      <c r="S282" s="161" t="s">
        <v>883</v>
      </c>
      <c r="T282" s="162" t="s">
        <v>884</v>
      </c>
      <c r="U282" s="163">
        <f t="shared" ref="U282:X282" si="71">O282/100</f>
        <v>4.8143999999999999E-2</v>
      </c>
      <c r="V282" s="162">
        <f t="shared" si="71"/>
        <v>0.14155200000000001</v>
      </c>
      <c r="W282" s="162">
        <f t="shared" si="71"/>
        <v>9.4372800000000001E-4</v>
      </c>
      <c r="X282" s="164">
        <f t="shared" si="71"/>
        <v>8.8800000000000007E-3</v>
      </c>
      <c r="AA282" s="39"/>
      <c r="AB282" s="39"/>
      <c r="AC282" s="39"/>
      <c r="AD282" s="14"/>
      <c r="AE282" s="14"/>
      <c r="AK282" s="14"/>
      <c r="AP282" s="14"/>
    </row>
    <row r="283" spans="1:42" ht="12.75">
      <c r="A283" s="645" t="s">
        <v>885</v>
      </c>
      <c r="B283" s="157"/>
      <c r="C283" s="17"/>
      <c r="D283" s="17"/>
      <c r="E283" s="17"/>
      <c r="F283" s="77"/>
      <c r="G283" s="17">
        <f>AVERAGE(254,138)</f>
        <v>196</v>
      </c>
      <c r="H283" s="121"/>
      <c r="I283" s="17"/>
      <c r="J283" s="17"/>
      <c r="K283" s="17"/>
      <c r="L283" s="17"/>
      <c r="M283" s="645" t="s">
        <v>885</v>
      </c>
      <c r="N283" s="17" t="s">
        <v>886</v>
      </c>
      <c r="O283" s="17">
        <f t="shared" ref="O283:R283" si="72">O268*3.5</f>
        <v>2.1063000000000001</v>
      </c>
      <c r="P283" s="17">
        <f t="shared" si="72"/>
        <v>6.1928999999999998</v>
      </c>
      <c r="Q283" s="17">
        <f t="shared" si="72"/>
        <v>4.1288100000000001E-2</v>
      </c>
      <c r="R283" s="17">
        <f t="shared" si="72"/>
        <v>0.38850000000000001</v>
      </c>
      <c r="S283" s="616" t="s">
        <v>885</v>
      </c>
      <c r="T283" s="14" t="s">
        <v>886</v>
      </c>
      <c r="U283" s="154">
        <f t="shared" ref="U283:X283" si="73">O283/100</f>
        <v>2.1063000000000002E-2</v>
      </c>
      <c r="V283" s="14">
        <f t="shared" si="73"/>
        <v>6.1928999999999998E-2</v>
      </c>
      <c r="W283" s="14">
        <f t="shared" si="73"/>
        <v>4.1288100000000003E-4</v>
      </c>
      <c r="X283" s="3">
        <f t="shared" si="73"/>
        <v>3.885E-3</v>
      </c>
      <c r="AA283" s="39"/>
      <c r="AB283" s="39"/>
      <c r="AC283" s="39"/>
      <c r="AD283" s="14"/>
      <c r="AE283" s="14"/>
      <c r="AK283" s="14"/>
      <c r="AP283" s="14"/>
    </row>
    <row r="284" spans="1:42" ht="12.75">
      <c r="A284" s="645" t="s">
        <v>887</v>
      </c>
      <c r="B284" s="157"/>
      <c r="C284" s="17"/>
      <c r="D284" s="17"/>
      <c r="E284" s="17"/>
      <c r="F284" s="77"/>
      <c r="G284" s="71">
        <v>296</v>
      </c>
      <c r="H284" s="137"/>
      <c r="I284" s="71"/>
      <c r="J284" s="71"/>
      <c r="K284" s="71"/>
      <c r="L284" s="71"/>
      <c r="M284" s="645" t="s">
        <v>887</v>
      </c>
      <c r="N284" s="17" t="s">
        <v>888</v>
      </c>
      <c r="O284" s="17">
        <f t="shared" ref="O284:R284" si="74">O268*7</f>
        <v>4.2126000000000001</v>
      </c>
      <c r="P284" s="17">
        <f t="shared" si="74"/>
        <v>12.3858</v>
      </c>
      <c r="Q284" s="17">
        <f t="shared" si="74"/>
        <v>8.2576200000000002E-2</v>
      </c>
      <c r="R284" s="17">
        <f t="shared" si="74"/>
        <v>0.77700000000000002</v>
      </c>
      <c r="S284" s="165" t="s">
        <v>887</v>
      </c>
      <c r="T284" s="135" t="s">
        <v>888</v>
      </c>
      <c r="U284" s="166">
        <f t="shared" ref="U284:X284" si="75">O284/100</f>
        <v>4.2126000000000004E-2</v>
      </c>
      <c r="V284" s="135">
        <f t="shared" si="75"/>
        <v>0.123858</v>
      </c>
      <c r="W284" s="135">
        <f t="shared" si="75"/>
        <v>8.2576200000000007E-4</v>
      </c>
      <c r="X284" s="167">
        <f t="shared" si="75"/>
        <v>7.77E-3</v>
      </c>
      <c r="AA284" s="39"/>
      <c r="AB284" s="39"/>
      <c r="AC284" s="39"/>
      <c r="AD284" s="14"/>
      <c r="AE284" s="14"/>
      <c r="AK284" s="14"/>
      <c r="AP284" s="14"/>
    </row>
    <row r="285" spans="1:42" ht="12.75">
      <c r="A285" s="56" t="s">
        <v>101</v>
      </c>
      <c r="B285" s="121"/>
      <c r="C285" s="17"/>
      <c r="D285" s="17"/>
      <c r="E285" s="17"/>
      <c r="F285" s="77"/>
      <c r="G285" s="123">
        <v>72</v>
      </c>
      <c r="H285" s="155">
        <f t="shared" ref="H285:H286" si="76">G285/G$268</f>
        <v>1.2</v>
      </c>
      <c r="I285" s="156">
        <f t="shared" ref="I285:I286" si="77">H285*I$268</f>
        <v>0.72216000000000002</v>
      </c>
      <c r="J285" s="156">
        <f t="shared" ref="J285:J286" si="78">H285*J$268</f>
        <v>2.1232799999999998</v>
      </c>
      <c r="K285" s="156">
        <f t="shared" ref="K285:K286" si="79">H285*K$268</f>
        <v>1.4155920000000001E-2</v>
      </c>
      <c r="L285" s="156">
        <f t="shared" ref="L285:L286" si="80">H285*L$268</f>
        <v>0.13319999999999999</v>
      </c>
      <c r="M285" s="160" t="s">
        <v>101</v>
      </c>
      <c r="N285" s="704"/>
      <c r="O285" s="704">
        <v>0.98563298630136975</v>
      </c>
      <c r="P285" s="704">
        <v>2.8979378630136985</v>
      </c>
      <c r="Q285" s="704">
        <v>1.9320568438356164E-2</v>
      </c>
      <c r="R285" s="704">
        <v>0.18179671232876712</v>
      </c>
      <c r="S285" s="616" t="s">
        <v>101</v>
      </c>
      <c r="U285" s="154">
        <f t="shared" ref="U285:X285" si="81">O285/100</f>
        <v>9.8563298630136974E-3</v>
      </c>
      <c r="V285" s="14">
        <f t="shared" si="81"/>
        <v>2.8979378630136984E-2</v>
      </c>
      <c r="W285" s="14">
        <f t="shared" si="81"/>
        <v>1.9320568438356163E-4</v>
      </c>
      <c r="X285" s="3">
        <f t="shared" si="81"/>
        <v>1.8179671232876713E-3</v>
      </c>
      <c r="AA285" s="39"/>
      <c r="AB285" s="39"/>
      <c r="AC285" s="39"/>
      <c r="AD285" s="14"/>
      <c r="AE285" s="14"/>
      <c r="AK285" s="14"/>
      <c r="AP285" s="14"/>
    </row>
    <row r="286" spans="1:42" ht="12.75">
      <c r="A286" s="168" t="s">
        <v>103</v>
      </c>
      <c r="B286" s="705">
        <v>49</v>
      </c>
      <c r="C286" s="706">
        <f>B286/B$268*C$268</f>
        <v>2.3292417061611377</v>
      </c>
      <c r="D286" s="706">
        <f>B286/B$268*D$268</f>
        <v>6.8483886255924178</v>
      </c>
      <c r="E286" s="706">
        <f>B286/B$268*E$268</f>
        <v>4.5658246445497631E-2</v>
      </c>
      <c r="F286" s="707">
        <f>B286/B$268*F$268</f>
        <v>0.42962085308056874</v>
      </c>
      <c r="G286" s="708">
        <v>350</v>
      </c>
      <c r="H286" s="169">
        <f t="shared" si="76"/>
        <v>5.833333333333333</v>
      </c>
      <c r="I286" s="706">
        <f t="shared" si="77"/>
        <v>3.5105</v>
      </c>
      <c r="J286" s="706">
        <f t="shared" si="78"/>
        <v>10.3215</v>
      </c>
      <c r="K286" s="706">
        <f t="shared" si="79"/>
        <v>6.88135E-2</v>
      </c>
      <c r="L286" s="706">
        <f t="shared" si="80"/>
        <v>0.64749999999999996</v>
      </c>
      <c r="M286" s="82" t="s">
        <v>103</v>
      </c>
      <c r="N286" s="634"/>
      <c r="O286" s="706">
        <f t="shared" ref="O286:R286" si="82">AVERAGE(C286,I286)</f>
        <v>2.9198708530805688</v>
      </c>
      <c r="P286" s="706">
        <f t="shared" si="82"/>
        <v>8.5849443127962086</v>
      </c>
      <c r="Q286" s="706">
        <f t="shared" si="82"/>
        <v>5.7235873222748812E-2</v>
      </c>
      <c r="R286" s="706">
        <f t="shared" si="82"/>
        <v>0.53856042654028435</v>
      </c>
      <c r="S286" s="4" t="s">
        <v>103</v>
      </c>
      <c r="T286" s="617"/>
      <c r="U286" s="170">
        <f t="shared" ref="U286:X286" si="83">O286/100</f>
        <v>2.9198708530805688E-2</v>
      </c>
      <c r="V286" s="617">
        <f t="shared" si="83"/>
        <v>8.5849443127962083E-2</v>
      </c>
      <c r="W286" s="617">
        <f t="shared" si="83"/>
        <v>5.7235873222748809E-4</v>
      </c>
      <c r="X286" s="5">
        <f t="shared" si="83"/>
        <v>5.3856042654028434E-3</v>
      </c>
      <c r="AA286" s="39"/>
      <c r="AB286" s="39"/>
      <c r="AC286" s="39"/>
      <c r="AD286" s="14"/>
      <c r="AE286" s="14"/>
      <c r="AK286" s="14"/>
      <c r="AP286" s="14"/>
    </row>
    <row r="287" spans="1:42" ht="15">
      <c r="A287" s="14" t="s">
        <v>691</v>
      </c>
      <c r="B287" s="14" t="s">
        <v>570</v>
      </c>
      <c r="C287" s="39"/>
      <c r="D287" s="39"/>
      <c r="E287" s="40"/>
      <c r="F287" s="40"/>
      <c r="G287" s="40"/>
      <c r="H287" s="40"/>
      <c r="I287" s="39"/>
      <c r="J287" s="39"/>
      <c r="K287" s="39"/>
      <c r="L287" s="39"/>
      <c r="M287" s="39"/>
      <c r="N287" s="39"/>
      <c r="O287" s="39"/>
      <c r="P287" s="39"/>
      <c r="Q287" s="39"/>
      <c r="R287" s="39"/>
      <c r="S287" s="39"/>
      <c r="T287" s="39"/>
      <c r="U287" s="39"/>
      <c r="V287" s="39"/>
      <c r="W287" s="39"/>
      <c r="X287" s="39"/>
      <c r="Y287" s="39"/>
      <c r="Z287" s="39"/>
      <c r="AA287" s="39"/>
      <c r="AB287" s="39"/>
      <c r="AC287" s="39"/>
      <c r="AD287" s="14"/>
      <c r="AE287" s="14"/>
      <c r="AK287" s="14"/>
      <c r="AP287" s="14"/>
    </row>
    <row r="288" spans="1:42" ht="15">
      <c r="A288" s="14"/>
      <c r="B288" s="655" t="s">
        <v>889</v>
      </c>
      <c r="C288" s="39"/>
      <c r="D288" s="39"/>
      <c r="E288" s="40"/>
      <c r="F288" s="40"/>
      <c r="G288" s="40"/>
      <c r="H288" s="40"/>
      <c r="I288" s="39"/>
      <c r="J288" s="39"/>
      <c r="K288" s="39"/>
      <c r="L288" s="39"/>
      <c r="M288" s="39"/>
      <c r="N288" s="39"/>
      <c r="O288" s="39"/>
      <c r="P288" s="39"/>
      <c r="Q288" s="39"/>
      <c r="R288" s="39"/>
      <c r="S288" s="39"/>
      <c r="T288" s="39"/>
      <c r="U288" s="39"/>
      <c r="V288" s="39"/>
      <c r="W288" s="39"/>
      <c r="X288" s="39"/>
      <c r="Y288" s="39"/>
      <c r="Z288" s="39"/>
      <c r="AA288" s="39"/>
      <c r="AB288" s="39"/>
      <c r="AC288" s="39"/>
      <c r="AD288" s="14"/>
      <c r="AE288" s="14"/>
      <c r="AK288" s="14"/>
      <c r="AP288" s="14"/>
    </row>
    <row r="289" spans="1:66" ht="15">
      <c r="B289" s="655" t="s">
        <v>890</v>
      </c>
      <c r="C289" s="39"/>
      <c r="D289" s="39"/>
      <c r="E289" s="40"/>
      <c r="F289" s="40"/>
      <c r="G289" s="40"/>
      <c r="H289" s="40"/>
      <c r="I289" s="39"/>
      <c r="J289" s="39"/>
      <c r="K289" s="39"/>
      <c r="L289" s="39"/>
      <c r="M289" s="39"/>
      <c r="N289" s="39"/>
      <c r="O289" s="39"/>
      <c r="P289" s="39"/>
      <c r="Q289" s="39"/>
      <c r="R289" s="39"/>
      <c r="S289" s="39"/>
      <c r="T289" s="39"/>
      <c r="U289" s="39"/>
      <c r="V289" s="39"/>
      <c r="W289" s="39"/>
      <c r="X289" s="39"/>
      <c r="Y289" s="39"/>
      <c r="Z289" s="39"/>
      <c r="AA289" s="39"/>
      <c r="AB289" s="39"/>
      <c r="AC289" s="39"/>
      <c r="AD289" s="14"/>
      <c r="AE289" s="14"/>
      <c r="AK289" s="14"/>
      <c r="AP289" s="14"/>
    </row>
    <row r="290" spans="1:66" ht="15">
      <c r="B290" s="39"/>
      <c r="C290" s="39"/>
      <c r="D290" s="39"/>
      <c r="E290" s="40"/>
      <c r="F290" s="40"/>
      <c r="G290" s="40"/>
      <c r="H290" s="40"/>
      <c r="I290" s="39"/>
      <c r="J290" s="39"/>
      <c r="K290" s="39"/>
      <c r="L290" s="39"/>
      <c r="M290" s="39"/>
      <c r="N290" s="39"/>
      <c r="O290" s="39"/>
      <c r="P290" s="39"/>
      <c r="Q290" s="39"/>
      <c r="R290" s="39"/>
      <c r="S290" s="39"/>
      <c r="T290" s="39"/>
      <c r="U290" s="39"/>
      <c r="V290" s="39"/>
      <c r="W290" s="39"/>
      <c r="X290" s="39"/>
      <c r="Y290" s="39"/>
      <c r="Z290" s="39"/>
      <c r="AA290" s="39"/>
      <c r="AB290" s="39"/>
      <c r="AC290" s="39"/>
      <c r="AD290" s="14"/>
      <c r="AE290" s="14"/>
      <c r="AK290" s="14"/>
      <c r="AP290" s="14"/>
    </row>
    <row r="291" spans="1:66" ht="15">
      <c r="A291" s="36"/>
      <c r="B291" s="36"/>
      <c r="C291" s="36"/>
      <c r="D291" s="36"/>
      <c r="E291" s="37"/>
      <c r="F291" s="37"/>
      <c r="G291" s="37"/>
      <c r="H291" s="37"/>
      <c r="I291" s="36"/>
      <c r="J291" s="36"/>
      <c r="K291" s="36"/>
      <c r="L291" s="36"/>
      <c r="M291" s="36"/>
      <c r="N291" s="36"/>
      <c r="O291" s="36"/>
      <c r="P291" s="36"/>
      <c r="Q291" s="36"/>
      <c r="R291" s="36"/>
      <c r="S291" s="36"/>
      <c r="T291" s="36"/>
      <c r="U291" s="36"/>
      <c r="V291" s="36"/>
      <c r="W291" s="36"/>
      <c r="X291" s="36"/>
      <c r="Y291" s="36"/>
      <c r="Z291" s="36"/>
      <c r="AA291" s="36"/>
      <c r="AB291" s="36"/>
      <c r="AC291" s="36"/>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row>
    <row r="292" spans="1:66" ht="30.75" customHeight="1">
      <c r="A292" s="38" t="s">
        <v>891</v>
      </c>
      <c r="B292" s="39"/>
      <c r="C292" s="39"/>
      <c r="D292" s="39"/>
      <c r="E292" s="40"/>
      <c r="F292" s="40"/>
      <c r="G292" s="40"/>
      <c r="H292" s="40"/>
      <c r="I292" s="39"/>
      <c r="J292" s="39"/>
      <c r="K292" s="39"/>
      <c r="L292" s="39"/>
      <c r="M292" s="39"/>
      <c r="N292" s="39"/>
      <c r="O292" s="39"/>
      <c r="P292" s="39"/>
      <c r="Q292" s="39"/>
      <c r="R292" s="39"/>
      <c r="S292" s="39"/>
      <c r="T292" s="39"/>
      <c r="U292" s="39"/>
      <c r="V292" s="39"/>
      <c r="W292" s="39"/>
      <c r="X292" s="39"/>
      <c r="Y292" s="39"/>
      <c r="Z292" s="39"/>
      <c r="AA292" s="39"/>
      <c r="AB292" s="39"/>
      <c r="AC292" s="39"/>
      <c r="AD292" s="14"/>
      <c r="AE292" s="14"/>
      <c r="AK292" s="14"/>
      <c r="AP292" s="14"/>
    </row>
    <row r="293" spans="1:66" ht="15">
      <c r="A293" s="39"/>
      <c r="B293" s="39"/>
      <c r="C293" s="39"/>
      <c r="D293" s="39"/>
      <c r="E293" s="40"/>
      <c r="F293" s="40"/>
      <c r="G293" s="40"/>
      <c r="H293" s="40"/>
      <c r="I293" s="39"/>
      <c r="J293" s="39"/>
      <c r="K293" s="39"/>
      <c r="L293" s="39"/>
      <c r="M293" s="39"/>
      <c r="N293" s="39"/>
      <c r="O293" s="39"/>
      <c r="P293" s="39"/>
      <c r="Q293" s="39"/>
      <c r="R293" s="39"/>
      <c r="S293" s="39"/>
      <c r="T293" s="39"/>
      <c r="U293" s="39"/>
      <c r="V293" s="39"/>
      <c r="W293" s="39"/>
      <c r="X293" s="39"/>
      <c r="Y293" s="39"/>
      <c r="Z293" s="39"/>
      <c r="AA293" s="39"/>
      <c r="AB293" s="39"/>
      <c r="AC293" s="39"/>
      <c r="AD293" s="14"/>
      <c r="AE293" s="14"/>
      <c r="AK293" s="14"/>
      <c r="AP293" s="14"/>
    </row>
    <row r="294" spans="1:66" ht="39">
      <c r="A294" s="960" t="s">
        <v>892</v>
      </c>
      <c r="B294" s="697" t="s">
        <v>893</v>
      </c>
      <c r="C294" s="697" t="s">
        <v>894</v>
      </c>
      <c r="D294" s="969" t="s">
        <v>895</v>
      </c>
      <c r="E294" s="40"/>
      <c r="F294" s="40"/>
      <c r="G294" s="40"/>
      <c r="H294" s="40"/>
      <c r="I294" s="39"/>
      <c r="J294" s="39"/>
      <c r="K294" s="39"/>
      <c r="L294" s="39"/>
      <c r="M294" s="39"/>
      <c r="N294" s="39"/>
      <c r="O294" s="39"/>
      <c r="P294" s="39"/>
      <c r="Q294" s="39"/>
      <c r="R294" s="39"/>
      <c r="S294" s="39"/>
      <c r="T294" s="39"/>
      <c r="U294" s="39"/>
      <c r="V294" s="39"/>
      <c r="W294" s="39"/>
      <c r="X294" s="39"/>
      <c r="Y294" s="39"/>
      <c r="Z294" s="39"/>
      <c r="AA294" s="39"/>
      <c r="AB294" s="39"/>
      <c r="AC294" s="39"/>
      <c r="AD294" s="14"/>
      <c r="AE294" s="14"/>
      <c r="AK294" s="14"/>
      <c r="AP294" s="14"/>
    </row>
    <row r="295" spans="1:66" ht="15">
      <c r="A295" s="56" t="s">
        <v>896</v>
      </c>
      <c r="B295" s="17">
        <v>0.92</v>
      </c>
      <c r="C295" s="171">
        <f t="shared" ref="C295:C298" si="84">B295*0.00220462</f>
        <v>2.0282504000000002E-3</v>
      </c>
      <c r="D295" s="663">
        <f>AVERAGE(C295:C298)</f>
        <v>2.0392735E-3</v>
      </c>
      <c r="E295" s="40"/>
      <c r="F295" s="40"/>
      <c r="G295" s="40"/>
      <c r="H295" s="40"/>
      <c r="I295" s="39"/>
      <c r="J295" s="39"/>
      <c r="K295" s="39"/>
      <c r="L295" s="39"/>
      <c r="M295" s="39"/>
      <c r="N295" s="39"/>
      <c r="O295" s="39"/>
      <c r="P295" s="39"/>
      <c r="Q295" s="39"/>
      <c r="R295" s="39"/>
      <c r="S295" s="39"/>
      <c r="T295" s="39"/>
      <c r="U295" s="39"/>
      <c r="V295" s="39"/>
      <c r="W295" s="39"/>
      <c r="X295" s="39"/>
      <c r="Y295" s="39"/>
      <c r="Z295" s="39"/>
      <c r="AA295" s="39"/>
      <c r="AB295" s="39"/>
      <c r="AC295" s="39"/>
      <c r="AD295" s="14"/>
      <c r="AE295" s="14"/>
      <c r="AK295" s="14"/>
      <c r="AP295" s="14"/>
    </row>
    <row r="296" spans="1:66" ht="15">
      <c r="A296" s="56" t="s">
        <v>897</v>
      </c>
      <c r="B296" s="17">
        <v>1.08</v>
      </c>
      <c r="C296" s="171">
        <f t="shared" si="84"/>
        <v>2.3809896000000002E-3</v>
      </c>
      <c r="D296" s="49"/>
      <c r="I296" s="14"/>
      <c r="J296" s="14"/>
      <c r="K296" s="14"/>
      <c r="L296" s="14"/>
      <c r="M296" s="14"/>
      <c r="X296" s="14"/>
      <c r="Y296" s="14"/>
      <c r="AP296" s="14"/>
    </row>
    <row r="297" spans="1:66" ht="15">
      <c r="A297" s="56" t="s">
        <v>898</v>
      </c>
      <c r="B297" s="17">
        <v>0.84</v>
      </c>
      <c r="C297" s="171">
        <f t="shared" si="84"/>
        <v>1.8518808E-3</v>
      </c>
      <c r="D297" s="49"/>
      <c r="H297" s="14"/>
      <c r="I297" s="14"/>
      <c r="J297" s="14"/>
      <c r="K297" s="14"/>
      <c r="L297" s="14"/>
      <c r="Q297" s="14"/>
      <c r="R297" s="14"/>
      <c r="W297" s="14"/>
      <c r="X297" s="14"/>
      <c r="AC297" s="14"/>
      <c r="AD297" s="14"/>
      <c r="AE297" s="14"/>
      <c r="AJ297" s="14"/>
      <c r="AK297" s="14"/>
    </row>
    <row r="298" spans="1:66" ht="15">
      <c r="A298" s="172" t="s">
        <v>899</v>
      </c>
      <c r="B298" s="634">
        <v>0.86</v>
      </c>
      <c r="C298" s="709">
        <f t="shared" si="84"/>
        <v>1.8959732000000001E-3</v>
      </c>
      <c r="D298" s="127"/>
      <c r="I298" s="14"/>
      <c r="J298" s="14"/>
      <c r="R298" s="14"/>
      <c r="X298" s="14"/>
      <c r="AC298" s="14"/>
      <c r="AD298" s="14"/>
      <c r="AE298" s="14"/>
      <c r="AG298" s="14"/>
      <c r="AH298" s="14"/>
      <c r="AI298" s="14"/>
      <c r="AK298" s="14"/>
      <c r="AL298" s="14"/>
      <c r="AP298" s="14"/>
      <c r="AQ298" s="14"/>
      <c r="AR298" s="14"/>
      <c r="AS298" s="14"/>
    </row>
    <row r="299" spans="1:66" ht="60">
      <c r="A299" s="173" t="s">
        <v>891</v>
      </c>
      <c r="B299" s="151" t="s">
        <v>533</v>
      </c>
      <c r="C299" s="702" t="s">
        <v>543</v>
      </c>
      <c r="D299" s="702" t="s">
        <v>522</v>
      </c>
      <c r="E299" s="152" t="s">
        <v>535</v>
      </c>
      <c r="I299" s="14"/>
      <c r="J299" s="14"/>
      <c r="L299" s="43"/>
      <c r="M299" s="43"/>
      <c r="N299" s="43"/>
      <c r="O299" s="43"/>
      <c r="P299" s="43"/>
      <c r="R299" s="14"/>
      <c r="S299" s="43"/>
      <c r="T299" s="43"/>
      <c r="U299" s="43"/>
      <c r="V299" s="43"/>
      <c r="X299" s="14"/>
      <c r="Y299" s="14"/>
      <c r="Z299" s="14"/>
      <c r="AA299" s="14"/>
      <c r="AB299" s="14"/>
      <c r="AC299" s="14"/>
      <c r="AD299" s="14"/>
      <c r="AE299" s="14"/>
      <c r="AK299" s="14"/>
      <c r="AL299" s="43"/>
      <c r="AM299" s="14"/>
      <c r="AN299" s="14"/>
      <c r="AO299" s="14"/>
      <c r="AP299" s="14"/>
      <c r="AQ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row>
    <row r="300" spans="1:66" ht="12.75">
      <c r="A300" s="63"/>
      <c r="B300" s="646">
        <f>0.401652752941303/100</f>
        <v>4.0165275294130297E-3</v>
      </c>
      <c r="C300" s="646">
        <f>3.27253312003354/100</f>
        <v>3.2725331200335404E-2</v>
      </c>
      <c r="D300" s="646">
        <f>244/1000000</f>
        <v>2.4399999999999999E-4</v>
      </c>
      <c r="E300" s="191">
        <f>D295</f>
        <v>2.0392735E-3</v>
      </c>
      <c r="I300" s="14"/>
      <c r="J300" s="14"/>
      <c r="L300" s="43"/>
      <c r="M300" s="43"/>
      <c r="N300" s="43"/>
      <c r="O300" s="43"/>
      <c r="P300" s="43"/>
      <c r="R300" s="14"/>
      <c r="S300" s="43"/>
      <c r="T300" s="43"/>
      <c r="U300" s="43"/>
      <c r="V300" s="43"/>
      <c r="X300" s="14"/>
      <c r="Y300" s="14"/>
      <c r="Z300" s="14"/>
      <c r="AA300" s="14"/>
      <c r="AB300" s="14"/>
      <c r="AC300" s="14"/>
      <c r="AD300" s="14"/>
      <c r="AE300" s="14"/>
      <c r="AK300" s="14"/>
      <c r="AL300" s="43"/>
      <c r="AM300" s="14"/>
      <c r="AN300" s="14"/>
      <c r="AO300" s="14"/>
      <c r="AP300" s="14"/>
      <c r="AQ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row>
    <row r="301" spans="1:66" ht="12.75">
      <c r="A301" s="14" t="s">
        <v>691</v>
      </c>
      <c r="B301" s="14" t="s">
        <v>570</v>
      </c>
      <c r="C301" s="14"/>
      <c r="I301" s="14"/>
      <c r="J301" s="14"/>
      <c r="L301" s="43"/>
      <c r="M301" s="43"/>
      <c r="N301" s="43"/>
      <c r="O301" s="43"/>
      <c r="P301" s="43"/>
      <c r="R301" s="14"/>
      <c r="S301" s="43"/>
      <c r="T301" s="43"/>
      <c r="U301" s="43"/>
      <c r="V301" s="43"/>
      <c r="X301" s="14"/>
      <c r="Y301" s="14"/>
      <c r="Z301" s="14"/>
      <c r="AA301" s="14"/>
      <c r="AB301" s="14"/>
      <c r="AC301" s="14"/>
      <c r="AD301" s="14"/>
      <c r="AE301" s="14"/>
      <c r="AK301" s="14"/>
      <c r="AL301" s="43"/>
      <c r="AM301" s="14"/>
      <c r="AN301" s="14"/>
      <c r="AO301" s="14"/>
      <c r="AP301" s="14"/>
      <c r="AQ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row>
    <row r="302" spans="1:66" ht="12.75">
      <c r="A302" s="14"/>
      <c r="B302" s="14" t="s">
        <v>900</v>
      </c>
      <c r="C302" s="14"/>
      <c r="I302" s="14"/>
      <c r="J302" s="14"/>
      <c r="L302" s="43"/>
      <c r="M302" s="43"/>
      <c r="N302" s="43"/>
      <c r="O302" s="43"/>
      <c r="P302" s="43"/>
      <c r="R302" s="14"/>
      <c r="S302" s="43"/>
      <c r="T302" s="43"/>
      <c r="U302" s="43"/>
      <c r="V302" s="43"/>
      <c r="X302" s="14"/>
      <c r="Y302" s="14"/>
      <c r="Z302" s="14"/>
      <c r="AA302" s="14"/>
      <c r="AB302" s="14"/>
      <c r="AC302" s="14"/>
      <c r="AD302" s="14"/>
      <c r="AE302" s="14"/>
      <c r="AK302" s="14"/>
      <c r="AL302" s="43"/>
      <c r="AM302" s="14"/>
      <c r="AN302" s="14"/>
      <c r="AO302" s="14"/>
      <c r="AP302" s="14"/>
      <c r="AQ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row>
    <row r="303" spans="1:66" ht="12.75">
      <c r="A303" s="14"/>
      <c r="B303" s="655" t="s">
        <v>656</v>
      </c>
      <c r="C303" s="14"/>
      <c r="I303" s="14"/>
      <c r="J303" s="14"/>
      <c r="L303" s="43"/>
      <c r="M303" s="43"/>
      <c r="N303" s="43"/>
      <c r="O303" s="43"/>
      <c r="P303" s="43"/>
      <c r="R303" s="14"/>
      <c r="S303" s="43"/>
      <c r="T303" s="43"/>
      <c r="U303" s="43"/>
      <c r="V303" s="43"/>
      <c r="X303" s="14"/>
      <c r="Y303" s="14"/>
      <c r="Z303" s="14"/>
      <c r="AA303" s="14"/>
      <c r="AB303" s="14"/>
      <c r="AC303" s="14"/>
      <c r="AD303" s="14"/>
      <c r="AE303" s="14"/>
      <c r="AK303" s="14"/>
      <c r="AL303" s="43"/>
      <c r="AM303" s="14"/>
      <c r="AN303" s="14"/>
      <c r="AO303" s="14"/>
      <c r="AP303" s="14"/>
      <c r="AQ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row>
    <row r="304" spans="1:66" ht="12.75">
      <c r="A304" s="14"/>
      <c r="B304" s="14"/>
      <c r="C304" s="14"/>
      <c r="I304" s="14"/>
      <c r="J304" s="14"/>
      <c r="L304" s="43"/>
      <c r="M304" s="43"/>
      <c r="N304" s="43"/>
      <c r="O304" s="43"/>
      <c r="P304" s="43"/>
      <c r="R304" s="14"/>
      <c r="S304" s="43"/>
      <c r="T304" s="43"/>
      <c r="U304" s="43"/>
      <c r="V304" s="43"/>
      <c r="X304" s="14"/>
      <c r="Y304" s="14"/>
      <c r="Z304" s="14"/>
      <c r="AA304" s="14"/>
      <c r="AB304" s="14"/>
      <c r="AC304" s="14"/>
      <c r="AD304" s="14"/>
      <c r="AE304" s="14"/>
      <c r="AK304" s="14"/>
      <c r="AL304" s="43"/>
      <c r="AM304" s="14"/>
      <c r="AN304" s="14"/>
      <c r="AO304" s="14"/>
      <c r="AP304" s="14"/>
      <c r="AQ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row>
    <row r="305" spans="1:66" ht="12.75">
      <c r="AM305" s="43"/>
      <c r="AN305" s="43"/>
      <c r="AO305" s="43"/>
      <c r="AP305" s="14"/>
      <c r="AQ305" s="14"/>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row>
    <row r="306" spans="1:66" ht="12.75">
      <c r="A306" s="14"/>
      <c r="B306" s="14"/>
      <c r="C306" s="14"/>
      <c r="I306" s="14"/>
      <c r="J306" s="14"/>
      <c r="L306" s="43"/>
      <c r="M306" s="43"/>
      <c r="N306" s="43"/>
      <c r="O306" s="43"/>
      <c r="P306" s="43"/>
      <c r="R306" s="14"/>
      <c r="S306" s="43"/>
      <c r="T306" s="43"/>
      <c r="U306" s="43"/>
      <c r="V306" s="43"/>
      <c r="W306" s="14"/>
      <c r="X306" s="14"/>
      <c r="Y306" s="14"/>
      <c r="Z306" s="14"/>
      <c r="AA306" s="14"/>
      <c r="AB306" s="14"/>
      <c r="AC306" s="14"/>
      <c r="AD306" s="14"/>
      <c r="AE306" s="14"/>
      <c r="AK306" s="14"/>
      <c r="AL306" s="43"/>
      <c r="AM306" s="43"/>
      <c r="AN306" s="43"/>
      <c r="AO306" s="43"/>
      <c r="AP306" s="14"/>
      <c r="AQ306" s="14"/>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row>
    <row r="307" spans="1:66" ht="12.75">
      <c r="C307" s="14"/>
      <c r="I307" s="14"/>
      <c r="J307" s="14"/>
      <c r="L307" s="43"/>
      <c r="M307" s="43"/>
      <c r="N307" s="43"/>
      <c r="O307" s="43"/>
      <c r="P307" s="43"/>
      <c r="R307" s="14"/>
      <c r="S307" s="43"/>
      <c r="T307" s="43"/>
      <c r="U307" s="43"/>
      <c r="V307" s="43"/>
      <c r="X307" s="14"/>
      <c r="Y307" s="14"/>
      <c r="Z307" s="14"/>
      <c r="AA307" s="14"/>
      <c r="AB307" s="14"/>
      <c r="AC307" s="14"/>
      <c r="AD307" s="14"/>
      <c r="AE307" s="14"/>
      <c r="AK307" s="14"/>
      <c r="AL307" s="43"/>
      <c r="AM307" s="14"/>
      <c r="AN307" s="14"/>
      <c r="AO307" s="14"/>
      <c r="AP307" s="14"/>
      <c r="AQ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row>
    <row r="308" spans="1:66" ht="12.75">
      <c r="A308" s="14"/>
      <c r="B308" s="14"/>
      <c r="C308" s="14"/>
      <c r="I308" s="14"/>
      <c r="J308" s="14"/>
      <c r="L308" s="43"/>
      <c r="M308" s="43"/>
      <c r="N308" s="43"/>
      <c r="O308" s="43"/>
      <c r="P308" s="43"/>
      <c r="R308" s="14"/>
      <c r="S308" s="43"/>
      <c r="T308" s="43"/>
      <c r="U308" s="43"/>
      <c r="V308" s="43"/>
      <c r="W308" s="14"/>
      <c r="X308" s="14"/>
      <c r="Y308" s="14"/>
      <c r="Z308" s="14"/>
      <c r="AA308" s="14"/>
      <c r="AB308" s="14"/>
      <c r="AC308" s="14"/>
      <c r="AD308" s="14"/>
      <c r="AE308" s="14"/>
      <c r="AK308" s="14"/>
      <c r="AL308" s="43"/>
      <c r="AM308" s="43"/>
      <c r="AN308" s="43"/>
      <c r="AO308" s="43"/>
      <c r="AP308" s="14"/>
      <c r="AQ308" s="14"/>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row>
    <row r="309" spans="1:66" ht="12.75">
      <c r="A309" s="35"/>
      <c r="B309" s="35"/>
      <c r="C309" s="35"/>
      <c r="D309" s="35"/>
      <c r="E309" s="35"/>
      <c r="F309" s="35"/>
      <c r="G309" s="35"/>
      <c r="H309" s="35"/>
      <c r="I309" s="35"/>
      <c r="J309" s="35"/>
      <c r="K309" s="35"/>
      <c r="L309" s="42"/>
      <c r="M309" s="42"/>
      <c r="N309" s="42"/>
      <c r="O309" s="42"/>
      <c r="P309" s="42"/>
      <c r="Q309" s="35"/>
      <c r="R309" s="35"/>
      <c r="S309" s="42"/>
      <c r="T309" s="42"/>
      <c r="U309" s="42"/>
      <c r="V309" s="42"/>
      <c r="W309" s="35"/>
      <c r="X309" s="35"/>
      <c r="Y309" s="35"/>
      <c r="Z309" s="35"/>
      <c r="AA309" s="35"/>
      <c r="AB309" s="35"/>
      <c r="AC309" s="35"/>
      <c r="AD309" s="35"/>
      <c r="AE309" s="35"/>
      <c r="AF309" s="35"/>
      <c r="AG309" s="35"/>
      <c r="AH309" s="35"/>
      <c r="AI309" s="35"/>
      <c r="AJ309" s="35"/>
      <c r="AK309" s="35"/>
      <c r="AL309" s="42"/>
      <c r="AM309" s="42"/>
      <c r="AN309" s="42"/>
      <c r="AO309" s="42"/>
      <c r="AP309" s="35"/>
      <c r="AQ309" s="35"/>
      <c r="AR309" s="35"/>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row>
    <row r="310" spans="1:66" ht="30" customHeight="1">
      <c r="A310" s="38" t="s">
        <v>901</v>
      </c>
      <c r="B310" s="14"/>
      <c r="C310" s="14"/>
      <c r="I310" s="14"/>
      <c r="J310" s="14"/>
      <c r="L310" s="43"/>
      <c r="M310" s="43"/>
      <c r="N310" s="43"/>
      <c r="O310" s="43"/>
      <c r="P310" s="43"/>
      <c r="R310" s="14"/>
      <c r="S310" s="43"/>
      <c r="T310" s="43"/>
      <c r="U310" s="43"/>
      <c r="V310" s="43"/>
      <c r="AD310" s="14"/>
      <c r="AE310" s="14"/>
      <c r="AK310" s="14"/>
      <c r="AL310" s="43"/>
      <c r="AM310" s="43"/>
      <c r="AN310" s="43"/>
      <c r="AO310" s="43"/>
      <c r="AP310" s="14"/>
      <c r="AQ310" s="14"/>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row>
    <row r="311" spans="1:66" ht="12.75">
      <c r="I311" s="14"/>
      <c r="J311" s="14"/>
      <c r="L311" s="43"/>
      <c r="M311" s="43"/>
      <c r="N311" s="43"/>
      <c r="O311" s="43"/>
      <c r="P311" s="43"/>
      <c r="R311" s="14"/>
      <c r="S311" s="43"/>
      <c r="T311" s="43"/>
      <c r="U311" s="43"/>
      <c r="V311" s="43"/>
      <c r="X311" s="14"/>
      <c r="AC311" s="14"/>
      <c r="AD311" s="14"/>
      <c r="AE311" s="14"/>
      <c r="AK311" s="14"/>
      <c r="AL311" s="43"/>
      <c r="AM311" s="43"/>
      <c r="AN311" s="43"/>
      <c r="AO311" s="43"/>
      <c r="AP311" s="14"/>
      <c r="AQ311" s="14"/>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row>
    <row r="312" spans="1:66" ht="25.5">
      <c r="A312" s="208" t="s">
        <v>902</v>
      </c>
      <c r="B312" s="117" t="s">
        <v>903</v>
      </c>
      <c r="C312" s="117" t="s">
        <v>894</v>
      </c>
      <c r="D312" s="209" t="s">
        <v>895</v>
      </c>
      <c r="J312" s="14"/>
      <c r="L312" s="43"/>
      <c r="M312" s="43"/>
      <c r="N312" s="43"/>
      <c r="O312" s="43"/>
      <c r="P312" s="43"/>
      <c r="R312" s="14"/>
      <c r="S312" s="43"/>
      <c r="T312" s="43"/>
      <c r="U312" s="43"/>
      <c r="V312" s="43"/>
      <c r="X312" s="14"/>
      <c r="AC312" s="14"/>
      <c r="AD312" s="14"/>
      <c r="AE312" s="14"/>
      <c r="AK312" s="14"/>
      <c r="AL312" s="43"/>
      <c r="AM312" s="43"/>
      <c r="AN312" s="43"/>
      <c r="AO312" s="43"/>
      <c r="AP312" s="14"/>
      <c r="AQ312" s="14"/>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row>
    <row r="313" spans="1:66" ht="12.75">
      <c r="A313" s="76" t="s">
        <v>904</v>
      </c>
      <c r="B313" s="17">
        <v>0.11</v>
      </c>
      <c r="C313" s="17">
        <f t="shared" ref="C313:C317" si="85">B313*0.00220462</f>
        <v>2.4250819999999999E-4</v>
      </c>
      <c r="D313" s="643">
        <f>AVERAGE(C313:C317)</f>
        <v>1.9841579999999996E-4</v>
      </c>
      <c r="J313" s="14"/>
      <c r="L313" s="43"/>
      <c r="M313" s="43"/>
      <c r="N313" s="43"/>
      <c r="O313" s="43"/>
      <c r="P313" s="43"/>
      <c r="R313" s="14"/>
      <c r="S313" s="43"/>
      <c r="T313" s="43"/>
      <c r="U313" s="43"/>
      <c r="V313" s="43"/>
      <c r="X313" s="14"/>
      <c r="AC313" s="14"/>
      <c r="AD313" s="14"/>
      <c r="AE313" s="14"/>
      <c r="AK313" s="14"/>
      <c r="AL313" s="43"/>
      <c r="AM313" s="43"/>
      <c r="AN313" s="43"/>
      <c r="AO313" s="43"/>
      <c r="AP313" s="14"/>
      <c r="AQ313" s="14"/>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row>
    <row r="314" spans="1:66" ht="12.75">
      <c r="A314" s="76" t="s">
        <v>905</v>
      </c>
      <c r="B314" s="17">
        <v>0.09</v>
      </c>
      <c r="C314" s="17">
        <f t="shared" si="85"/>
        <v>1.9841579999999999E-4</v>
      </c>
      <c r="D314" s="77"/>
      <c r="J314" s="14"/>
      <c r="L314" s="43"/>
      <c r="M314" s="43"/>
      <c r="N314" s="43"/>
      <c r="O314" s="43"/>
      <c r="P314" s="43"/>
      <c r="R314" s="14"/>
      <c r="S314" s="43"/>
      <c r="T314" s="43"/>
      <c r="U314" s="43"/>
      <c r="V314" s="43"/>
      <c r="X314" s="14"/>
      <c r="AC314" s="14"/>
      <c r="AD314" s="14"/>
      <c r="AE314" s="14"/>
      <c r="AK314" s="14"/>
      <c r="AL314" s="43"/>
      <c r="AM314" s="43"/>
      <c r="AN314" s="43"/>
      <c r="AO314" s="43"/>
      <c r="AP314" s="14"/>
      <c r="AQ314" s="14"/>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row>
    <row r="315" spans="1:66" ht="12.75">
      <c r="A315" s="76" t="s">
        <v>906</v>
      </c>
      <c r="B315" s="17">
        <v>0.12</v>
      </c>
      <c r="C315" s="17">
        <f t="shared" si="85"/>
        <v>2.6455439999999999E-4</v>
      </c>
      <c r="D315" s="77"/>
      <c r="J315" s="14"/>
      <c r="L315" s="43"/>
      <c r="M315" s="43"/>
      <c r="N315" s="43"/>
      <c r="O315" s="43"/>
      <c r="P315" s="43"/>
      <c r="R315" s="14"/>
      <c r="S315" s="43"/>
      <c r="T315" s="43"/>
      <c r="U315" s="43"/>
      <c r="V315" s="43"/>
      <c r="X315" s="14"/>
      <c r="AC315" s="14"/>
      <c r="AD315" s="14"/>
      <c r="AE315" s="14"/>
      <c r="AK315" s="14"/>
      <c r="AL315" s="43"/>
      <c r="AM315" s="43"/>
      <c r="AN315" s="43"/>
      <c r="AO315" s="43"/>
      <c r="AP315" s="14"/>
      <c r="AQ315" s="14"/>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row>
    <row r="316" spans="1:66" ht="12.75">
      <c r="A316" s="76" t="s">
        <v>907</v>
      </c>
      <c r="B316" s="17">
        <v>0.08</v>
      </c>
      <c r="C316" s="17">
        <f t="shared" si="85"/>
        <v>1.7636959999999999E-4</v>
      </c>
      <c r="D316" s="77"/>
      <c r="J316" s="14"/>
      <c r="L316" s="43"/>
      <c r="M316" s="43"/>
      <c r="N316" s="43"/>
      <c r="O316" s="43"/>
      <c r="P316" s="43"/>
      <c r="R316" s="14"/>
      <c r="S316" s="43"/>
      <c r="T316" s="43"/>
      <c r="U316" s="43"/>
      <c r="V316" s="43"/>
      <c r="X316" s="14"/>
      <c r="AC316" s="14"/>
      <c r="AD316" s="14"/>
      <c r="AE316" s="14"/>
      <c r="AK316" s="14"/>
      <c r="AL316" s="43"/>
      <c r="AM316" s="43"/>
      <c r="AN316" s="43"/>
      <c r="AO316" s="43"/>
      <c r="AP316" s="14"/>
      <c r="AQ316" s="14"/>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row>
    <row r="317" spans="1:66" ht="12.75">
      <c r="A317" s="76" t="s">
        <v>908</v>
      </c>
      <c r="B317" s="17">
        <v>0.05</v>
      </c>
      <c r="C317" s="17">
        <f t="shared" si="85"/>
        <v>1.1023100000000001E-4</v>
      </c>
      <c r="D317" s="77"/>
      <c r="I317" s="14"/>
      <c r="J317" s="14"/>
      <c r="L317" s="43"/>
      <c r="M317" s="43"/>
      <c r="N317" s="43"/>
      <c r="O317" s="43"/>
      <c r="P317" s="43"/>
      <c r="R317" s="14"/>
      <c r="S317" s="43"/>
      <c r="T317" s="43"/>
      <c r="U317" s="43"/>
      <c r="V317" s="43"/>
      <c r="X317" s="14"/>
      <c r="AC317" s="14"/>
      <c r="AD317" s="14"/>
      <c r="AE317" s="14"/>
      <c r="AK317" s="14"/>
      <c r="AL317" s="43"/>
      <c r="AM317" s="43"/>
      <c r="AN317" s="43"/>
      <c r="AO317" s="43"/>
      <c r="AP317" s="14"/>
      <c r="AQ317" s="14"/>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row>
    <row r="318" spans="1:66" ht="60">
      <c r="A318" s="61" t="s">
        <v>909</v>
      </c>
      <c r="B318" s="641" t="s">
        <v>533</v>
      </c>
      <c r="C318" s="641" t="s">
        <v>543</v>
      </c>
      <c r="D318" s="641" t="s">
        <v>522</v>
      </c>
      <c r="E318" s="48" t="s">
        <v>535</v>
      </c>
      <c r="I318" s="14"/>
      <c r="J318" s="14"/>
      <c r="L318" s="43"/>
      <c r="M318" s="43"/>
      <c r="N318" s="43"/>
      <c r="O318" s="43"/>
      <c r="P318" s="43"/>
      <c r="R318" s="14"/>
      <c r="S318" s="43"/>
      <c r="T318" s="43"/>
      <c r="U318" s="43"/>
      <c r="V318" s="43"/>
      <c r="X318" s="14"/>
      <c r="AC318" s="14"/>
      <c r="AD318" s="14"/>
      <c r="AE318" s="14"/>
      <c r="AK318" s="14"/>
      <c r="AL318" s="43"/>
      <c r="AM318" s="43"/>
      <c r="AN318" s="43"/>
      <c r="AO318" s="43"/>
      <c r="AP318" s="14"/>
      <c r="AQ318" s="14"/>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row>
    <row r="319" spans="1:66" ht="15">
      <c r="A319" s="63"/>
      <c r="B319" s="646">
        <f>0.05366080039/100</f>
        <v>5.3660800389999995E-4</v>
      </c>
      <c r="C319" s="646">
        <f>0.2892960463/100</f>
        <v>2.8929604629999999E-3</v>
      </c>
      <c r="D319" s="646">
        <f>133/1000000/0.76</f>
        <v>1.75E-4</v>
      </c>
      <c r="E319" s="191">
        <f>D313/0.76</f>
        <v>2.6107342105263152E-4</v>
      </c>
      <c r="F319" s="6"/>
      <c r="G319" s="14"/>
      <c r="H319" s="14"/>
      <c r="I319" s="14"/>
      <c r="J319" s="14"/>
      <c r="K319" s="14"/>
      <c r="L319" s="14"/>
      <c r="M319" s="81"/>
      <c r="N319" s="64"/>
      <c r="O319" s="64"/>
      <c r="P319" s="64"/>
      <c r="Q319" s="64"/>
      <c r="R319" s="14"/>
      <c r="S319" s="14"/>
      <c r="T319" s="43"/>
      <c r="U319" s="43"/>
      <c r="V319" s="43"/>
      <c r="X319" s="14"/>
      <c r="AC319" s="14"/>
      <c r="AD319" s="14"/>
      <c r="AE319" s="14"/>
      <c r="AK319" s="14"/>
      <c r="AL319" s="43"/>
      <c r="AM319" s="43"/>
      <c r="AN319" s="43"/>
      <c r="AO319" s="43"/>
      <c r="AP319" s="14"/>
      <c r="AQ319" s="14"/>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row>
    <row r="320" spans="1:66" ht="12.75">
      <c r="A320" s="14" t="s">
        <v>538</v>
      </c>
      <c r="B320" s="14" t="s">
        <v>570</v>
      </c>
      <c r="F320" s="14"/>
      <c r="I320" s="14"/>
      <c r="M320" s="14"/>
      <c r="N320" s="14"/>
      <c r="O320" s="14"/>
      <c r="P320" s="14"/>
    </row>
    <row r="321" spans="1:66" ht="12.75">
      <c r="B321" s="14" t="s">
        <v>910</v>
      </c>
      <c r="F321" s="14"/>
      <c r="G321" s="14"/>
      <c r="H321" s="14"/>
      <c r="I321" s="14"/>
      <c r="J321" s="14"/>
      <c r="K321" s="14"/>
      <c r="M321" s="14"/>
      <c r="N321" s="14"/>
      <c r="O321" s="14"/>
      <c r="P321" s="14"/>
      <c r="Q321" s="14"/>
      <c r="R321" s="14"/>
    </row>
    <row r="322" spans="1:66" ht="12.75">
      <c r="B322" s="655" t="s">
        <v>656</v>
      </c>
    </row>
    <row r="324" spans="1:66" ht="12.75">
      <c r="A324" s="14"/>
    </row>
    <row r="325" spans="1:66" ht="75">
      <c r="A325" s="52" t="s">
        <v>911</v>
      </c>
      <c r="B325" s="640" t="s">
        <v>912</v>
      </c>
      <c r="C325" s="640" t="s">
        <v>913</v>
      </c>
      <c r="D325" s="641" t="s">
        <v>533</v>
      </c>
      <c r="E325" s="641" t="s">
        <v>543</v>
      </c>
      <c r="F325" s="641" t="s">
        <v>522</v>
      </c>
      <c r="G325" s="48" t="s">
        <v>535</v>
      </c>
    </row>
    <row r="326" spans="1:66" ht="12.75">
      <c r="A326" s="62" t="s">
        <v>147</v>
      </c>
      <c r="B326" s="14">
        <v>52</v>
      </c>
      <c r="C326" s="14">
        <v>100</v>
      </c>
      <c r="D326" s="14">
        <v>5.3660800389999995E-4</v>
      </c>
      <c r="E326" s="14">
        <v>2.8929604629999999E-3</v>
      </c>
      <c r="F326" s="14">
        <v>1.75E-4</v>
      </c>
      <c r="G326" s="3">
        <v>2.6107342109999999E-4</v>
      </c>
    </row>
    <row r="327" spans="1:66" ht="12.75">
      <c r="A327" s="63" t="s">
        <v>151</v>
      </c>
      <c r="B327" s="617">
        <v>243</v>
      </c>
      <c r="C327" s="617">
        <v>100</v>
      </c>
      <c r="D327" s="646">
        <f t="shared" ref="D327:G327" si="86">D326*$B327/$B326</f>
        <v>2.5076104797634611E-3</v>
      </c>
      <c r="E327" s="646">
        <f t="shared" si="86"/>
        <v>1.3519026779019229E-2</v>
      </c>
      <c r="F327" s="646">
        <f t="shared" si="86"/>
        <v>8.1778846153846159E-4</v>
      </c>
      <c r="G327" s="191">
        <f t="shared" si="86"/>
        <v>1.2200161793711538E-3</v>
      </c>
    </row>
    <row r="328" spans="1:66" ht="15">
      <c r="A328" s="14" t="s">
        <v>538</v>
      </c>
      <c r="B328" s="655" t="s">
        <v>914</v>
      </c>
      <c r="K328" s="64"/>
      <c r="L328" s="64"/>
      <c r="M328" s="14"/>
      <c r="N328" s="14"/>
    </row>
    <row r="329" spans="1:66" ht="12.75">
      <c r="B329" s="655" t="s">
        <v>915</v>
      </c>
      <c r="K329" s="14"/>
    </row>
    <row r="330" spans="1:66" ht="12.75">
      <c r="B330" s="14" t="s">
        <v>916</v>
      </c>
      <c r="K330" s="14"/>
      <c r="L330" s="14"/>
      <c r="M330" s="14"/>
    </row>
    <row r="331" spans="1:66" ht="12.75">
      <c r="A331" s="14"/>
      <c r="B331" s="14" t="s">
        <v>663</v>
      </c>
      <c r="C331" s="14"/>
      <c r="I331" s="14"/>
      <c r="J331" s="14"/>
      <c r="L331" s="43"/>
      <c r="M331" s="43"/>
      <c r="N331" s="43"/>
      <c r="O331" s="43"/>
      <c r="P331" s="43"/>
      <c r="R331" s="14"/>
      <c r="S331" s="43"/>
      <c r="T331" s="43"/>
      <c r="U331" s="43"/>
      <c r="V331" s="43"/>
      <c r="X331" s="14"/>
      <c r="AC331" s="14"/>
      <c r="AD331" s="14"/>
      <c r="AE331" s="14"/>
      <c r="AK331" s="14"/>
      <c r="AL331" s="43"/>
      <c r="AM331" s="43"/>
      <c r="AN331" s="43"/>
      <c r="AO331" s="43"/>
      <c r="AP331" s="14"/>
      <c r="AQ331" s="14"/>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row>
    <row r="332" spans="1:66" ht="12.75">
      <c r="A332" s="14"/>
      <c r="B332" s="14"/>
      <c r="C332" s="14"/>
      <c r="I332" s="14"/>
      <c r="J332" s="14"/>
      <c r="L332" s="43"/>
      <c r="M332" s="43"/>
      <c r="N332" s="43"/>
      <c r="O332" s="43"/>
      <c r="P332" s="43"/>
      <c r="R332" s="14"/>
      <c r="S332" s="43"/>
      <c r="T332" s="43"/>
      <c r="U332" s="43"/>
      <c r="V332" s="43"/>
      <c r="X332" s="14"/>
      <c r="AC332" s="14"/>
      <c r="AD332" s="14"/>
      <c r="AE332" s="14"/>
      <c r="AK332" s="14"/>
      <c r="AL332" s="43"/>
      <c r="AM332" s="43"/>
      <c r="AN332" s="43"/>
      <c r="AO332" s="43"/>
      <c r="AP332" s="14"/>
      <c r="AQ332" s="14"/>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row>
    <row r="333" spans="1:66" ht="12.75">
      <c r="A333" s="14"/>
      <c r="I333" s="14"/>
      <c r="J333" s="14"/>
      <c r="L333" s="43"/>
      <c r="M333" s="43"/>
      <c r="N333" s="43"/>
      <c r="O333" s="43"/>
      <c r="P333" s="43"/>
      <c r="R333" s="14"/>
      <c r="S333" s="43"/>
      <c r="T333" s="43"/>
      <c r="U333" s="43"/>
      <c r="V333" s="43"/>
      <c r="X333" s="14"/>
      <c r="AC333" s="14"/>
      <c r="AD333" s="14"/>
      <c r="AE333" s="14"/>
      <c r="AK333" s="14"/>
      <c r="AL333" s="43"/>
      <c r="AM333" s="43"/>
      <c r="AN333" s="43"/>
      <c r="AO333" s="43"/>
      <c r="AP333" s="14"/>
      <c r="AQ333" s="14"/>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row>
    <row r="334" spans="1:66" ht="60">
      <c r="A334" s="61" t="s">
        <v>917</v>
      </c>
      <c r="B334" s="641" t="s">
        <v>533</v>
      </c>
      <c r="C334" s="641" t="s">
        <v>543</v>
      </c>
      <c r="D334" s="641" t="s">
        <v>522</v>
      </c>
      <c r="E334" s="48" t="s">
        <v>535</v>
      </c>
    </row>
    <row r="335" spans="1:66" ht="12.75">
      <c r="A335" s="63"/>
      <c r="B335" s="646">
        <f>0.142952055674933/100</f>
        <v>1.4295205567493299E-3</v>
      </c>
      <c r="C335" s="646">
        <f>1.34869518124474/100</f>
        <v>1.3486951812447402E-2</v>
      </c>
      <c r="D335" s="646">
        <f>502/1000000/0.94</f>
        <v>5.3404255319148934E-4</v>
      </c>
      <c r="E335" s="191">
        <f>0.1/453.592/0.94</f>
        <v>2.3453451278550826E-4</v>
      </c>
    </row>
    <row r="336" spans="1:66" ht="12.75">
      <c r="B336" s="14" t="s">
        <v>570</v>
      </c>
    </row>
    <row r="337" spans="1:9" ht="12.75">
      <c r="B337" s="14" t="s">
        <v>918</v>
      </c>
    </row>
    <row r="338" spans="1:9" ht="12.75">
      <c r="B338" s="14" t="s">
        <v>919</v>
      </c>
    </row>
    <row r="339" spans="1:9" ht="12.75">
      <c r="B339" s="14" t="s">
        <v>663</v>
      </c>
    </row>
    <row r="341" spans="1:9" ht="12.75">
      <c r="A341" s="14"/>
    </row>
    <row r="342" spans="1:9" ht="60">
      <c r="A342" s="61" t="s">
        <v>920</v>
      </c>
      <c r="B342" s="174" t="s">
        <v>921</v>
      </c>
      <c r="C342" s="641" t="s">
        <v>533</v>
      </c>
      <c r="D342" s="641" t="s">
        <v>543</v>
      </c>
      <c r="E342" s="641" t="s">
        <v>522</v>
      </c>
      <c r="F342" s="48" t="s">
        <v>535</v>
      </c>
    </row>
    <row r="343" spans="1:9" ht="12.75">
      <c r="A343" s="62" t="s">
        <v>922</v>
      </c>
      <c r="B343" s="175">
        <v>48</v>
      </c>
      <c r="C343">
        <f>0.142952055674933/100</f>
        <v>1.4295205567493299E-3</v>
      </c>
      <c r="D343">
        <f>1.34869518124474/100</f>
        <v>1.3486951812447402E-2</v>
      </c>
      <c r="E343" s="14">
        <v>5.340425532E-4</v>
      </c>
      <c r="F343" s="3">
        <v>2.345345128E-4</v>
      </c>
    </row>
    <row r="344" spans="1:9" ht="12.75">
      <c r="A344" s="63" t="s">
        <v>923</v>
      </c>
      <c r="B344" s="176">
        <v>241</v>
      </c>
      <c r="C344" s="646">
        <f t="shared" ref="C344:F344" si="87">C343*$B344/$B343</f>
        <v>7.1773844620122602E-3</v>
      </c>
      <c r="D344" s="646">
        <f t="shared" si="87"/>
        <v>6.7715737224996325E-2</v>
      </c>
      <c r="E344" s="646">
        <f t="shared" si="87"/>
        <v>2.6813386525249999E-3</v>
      </c>
      <c r="F344" s="191">
        <f t="shared" si="87"/>
        <v>1.1775586996833334E-3</v>
      </c>
    </row>
    <row r="345" spans="1:9" ht="12.75">
      <c r="B345" s="655" t="s">
        <v>924</v>
      </c>
    </row>
    <row r="346" spans="1:9" ht="12.75">
      <c r="B346" s="14" t="s">
        <v>925</v>
      </c>
    </row>
    <row r="349" spans="1:9" ht="12.75">
      <c r="A349" s="14"/>
    </row>
    <row r="350" spans="1:9" ht="26.25">
      <c r="A350" s="960" t="s">
        <v>926</v>
      </c>
      <c r="B350" s="697" t="s">
        <v>927</v>
      </c>
      <c r="C350" s="697" t="s">
        <v>928</v>
      </c>
      <c r="D350" s="177" t="s">
        <v>894</v>
      </c>
      <c r="E350" s="177" t="s">
        <v>894</v>
      </c>
      <c r="F350" s="657" t="s">
        <v>929</v>
      </c>
      <c r="G350" s="710" t="s">
        <v>930</v>
      </c>
      <c r="H350" s="64"/>
      <c r="I350" s="14"/>
    </row>
    <row r="351" spans="1:9" ht="12.75">
      <c r="A351" s="56" t="s">
        <v>931</v>
      </c>
      <c r="B351" s="17">
        <v>3308</v>
      </c>
      <c r="C351" s="17">
        <f>7995*1000</f>
        <v>7995000</v>
      </c>
      <c r="D351" s="77">
        <f t="shared" ref="D351:D352" si="88">B351/C351</f>
        <v>4.1375859912445276E-4</v>
      </c>
      <c r="E351" s="77"/>
      <c r="F351" s="17">
        <f>D351*0.099</f>
        <v>4.0962101313320823E-5</v>
      </c>
      <c r="G351" s="178"/>
    </row>
    <row r="352" spans="1:9" ht="12.75">
      <c r="A352" s="172" t="s">
        <v>932</v>
      </c>
      <c r="B352" s="634">
        <v>3572</v>
      </c>
      <c r="C352" s="634">
        <f>6661*1000</f>
        <v>6661000</v>
      </c>
      <c r="D352" s="126">
        <f t="shared" si="88"/>
        <v>5.362558174448281E-4</v>
      </c>
      <c r="E352" s="126">
        <f>(0.45*2.4)/1000</f>
        <v>1.08E-3</v>
      </c>
      <c r="F352" s="634">
        <f>0.901*(AVERAGE(E352,D352))</f>
        <v>7.2812324575889501E-4</v>
      </c>
      <c r="G352" s="711">
        <f>SUM(F351:F352)</f>
        <v>7.6908534707221588E-4</v>
      </c>
      <c r="I352" s="14"/>
    </row>
    <row r="353" spans="1:66" ht="51.75">
      <c r="A353" s="52" t="s">
        <v>933</v>
      </c>
      <c r="B353" s="685" t="s">
        <v>533</v>
      </c>
      <c r="C353" s="685" t="s">
        <v>543</v>
      </c>
      <c r="D353" s="685" t="s">
        <v>522</v>
      </c>
      <c r="E353" s="291" t="s">
        <v>535</v>
      </c>
      <c r="F353" s="14"/>
      <c r="H353" s="14"/>
      <c r="I353" s="14"/>
    </row>
    <row r="354" spans="1:66" ht="12.75">
      <c r="A354" s="63" t="s">
        <v>934</v>
      </c>
      <c r="B354" s="617">
        <f>0.426410790690147/100</f>
        <v>4.2641079069014702E-3</v>
      </c>
      <c r="C354" s="617">
        <f>3.01726080075918/100</f>
        <v>3.0172608007591802E-2</v>
      </c>
      <c r="D354" s="617">
        <f>283/1000000/0.75</f>
        <v>3.7733333333333331E-4</v>
      </c>
      <c r="E354" s="5">
        <f>G352/0.75</f>
        <v>1.0254471294296212E-3</v>
      </c>
      <c r="F354" s="14"/>
      <c r="H354" s="14"/>
      <c r="I354" s="14"/>
    </row>
    <row r="355" spans="1:66" ht="12.75">
      <c r="A355" s="14" t="s">
        <v>935</v>
      </c>
      <c r="B355" s="14" t="s">
        <v>570</v>
      </c>
      <c r="D355" s="14"/>
      <c r="E355" s="14"/>
      <c r="F355" s="14"/>
      <c r="H355" s="14"/>
      <c r="I355" s="14"/>
    </row>
    <row r="356" spans="1:66" ht="12.75">
      <c r="A356" s="14"/>
      <c r="B356" s="14" t="s">
        <v>936</v>
      </c>
      <c r="D356" s="14"/>
      <c r="E356" s="14"/>
      <c r="F356" s="81"/>
      <c r="G356" s="6"/>
      <c r="H356" s="14"/>
      <c r="I356" s="14"/>
    </row>
    <row r="357" spans="1:66" ht="12.75">
      <c r="B357" s="14" t="s">
        <v>937</v>
      </c>
      <c r="H357" s="14"/>
      <c r="I357" s="14"/>
    </row>
    <row r="358" spans="1:66" ht="12.75">
      <c r="B358" s="14" t="s">
        <v>938</v>
      </c>
      <c r="G358" s="148"/>
      <c r="H358" s="14"/>
      <c r="I358" s="14"/>
    </row>
    <row r="359" spans="1:66" ht="12.75">
      <c r="A359" s="14"/>
      <c r="B359" s="14" t="s">
        <v>663</v>
      </c>
      <c r="C359" s="14"/>
      <c r="I359" s="14"/>
      <c r="J359" s="14"/>
      <c r="L359" s="43"/>
      <c r="M359" s="43"/>
      <c r="N359" s="43"/>
      <c r="O359" s="43"/>
      <c r="P359" s="43"/>
      <c r="R359" s="14"/>
      <c r="S359" s="43"/>
      <c r="T359" s="43"/>
      <c r="U359" s="43"/>
      <c r="V359" s="43"/>
      <c r="X359" s="14"/>
      <c r="AC359" s="14"/>
      <c r="AD359" s="14"/>
      <c r="AE359" s="14"/>
      <c r="AK359" s="14"/>
      <c r="AL359" s="43"/>
      <c r="AM359" s="43"/>
      <c r="AN359" s="43"/>
      <c r="AO359" s="43"/>
      <c r="AP359" s="14"/>
      <c r="AQ359" s="14"/>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row>
    <row r="360" spans="1:66" ht="12.75">
      <c r="A360" s="14"/>
      <c r="B360" s="14"/>
      <c r="C360" s="14"/>
      <c r="I360" s="14"/>
      <c r="J360" s="14"/>
      <c r="L360" s="43"/>
      <c r="M360" s="43"/>
      <c r="N360" s="43"/>
      <c r="O360" s="43"/>
      <c r="P360" s="43"/>
      <c r="R360" s="14"/>
      <c r="S360" s="43"/>
      <c r="T360" s="43"/>
      <c r="U360" s="43"/>
      <c r="V360" s="43"/>
      <c r="X360" s="14"/>
      <c r="AC360" s="14"/>
      <c r="AD360" s="14"/>
      <c r="AE360" s="14"/>
      <c r="AK360" s="14"/>
      <c r="AL360" s="43"/>
      <c r="AM360" s="43"/>
      <c r="AN360" s="43"/>
      <c r="AO360" s="43"/>
      <c r="AP360" s="14"/>
      <c r="AQ360" s="14"/>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row>
    <row r="361" spans="1:66" ht="12.75">
      <c r="A361" s="14"/>
    </row>
    <row r="362" spans="1:66" ht="51.75">
      <c r="A362" s="52" t="s">
        <v>939</v>
      </c>
      <c r="B362" s="685" t="s">
        <v>533</v>
      </c>
      <c r="C362" s="685" t="s">
        <v>543</v>
      </c>
      <c r="D362" s="685" t="s">
        <v>522</v>
      </c>
      <c r="E362" s="291" t="s">
        <v>535</v>
      </c>
    </row>
    <row r="363" spans="1:66" ht="12.75">
      <c r="A363" s="63"/>
      <c r="B363" s="646">
        <f>0.0602232142857143/100</f>
        <v>6.0223214285714296E-4</v>
      </c>
      <c r="C363" s="646">
        <f>0.620016871028607/100</f>
        <v>6.2001687102860702E-3</v>
      </c>
      <c r="D363" s="646">
        <f>97/1000000/0.68</f>
        <v>1.4264705882352941E-4</v>
      </c>
      <c r="E363" s="191">
        <f>0.12/453.592/0.68</f>
        <v>3.8905136826772536E-4</v>
      </c>
    </row>
    <row r="364" spans="1:66" ht="12.75">
      <c r="A364" s="14" t="s">
        <v>691</v>
      </c>
      <c r="B364" s="14" t="s">
        <v>570</v>
      </c>
    </row>
    <row r="365" spans="1:66" ht="12.75">
      <c r="B365" s="14" t="s">
        <v>940</v>
      </c>
    </row>
    <row r="366" spans="1:66" ht="12.75">
      <c r="B366" s="14" t="s">
        <v>941</v>
      </c>
    </row>
    <row r="367" spans="1:66" ht="12.75">
      <c r="B367" s="14" t="s">
        <v>663</v>
      </c>
    </row>
    <row r="370" spans="1:66" ht="51.75">
      <c r="A370" s="52" t="s">
        <v>942</v>
      </c>
      <c r="B370" s="685" t="s">
        <v>533</v>
      </c>
      <c r="C370" s="685" t="s">
        <v>543</v>
      </c>
      <c r="D370" s="685" t="s">
        <v>522</v>
      </c>
      <c r="E370" s="291" t="s">
        <v>535</v>
      </c>
      <c r="F370" s="14"/>
    </row>
    <row r="371" spans="1:66" ht="12.75">
      <c r="A371" s="63"/>
      <c r="B371" s="646">
        <f>0.209071980963712/100</f>
        <v>2.0907198096371199E-3</v>
      </c>
      <c r="C371" s="646">
        <f>1.70246407213751/100</f>
        <v>1.7024640721375099E-2</v>
      </c>
      <c r="D371" s="646">
        <f>334/1000000/0.92</f>
        <v>3.6304347826086956E-4</v>
      </c>
      <c r="E371" s="191">
        <f>0.38/453.592/0.92</f>
        <v>9.106057387715603E-4</v>
      </c>
    </row>
    <row r="372" spans="1:66" ht="12.75">
      <c r="A372" s="14" t="s">
        <v>538</v>
      </c>
      <c r="B372" s="14" t="s">
        <v>570</v>
      </c>
    </row>
    <row r="373" spans="1:66" ht="12.75">
      <c r="B373" s="14" t="s">
        <v>943</v>
      </c>
    </row>
    <row r="374" spans="1:66" ht="12.75">
      <c r="B374" s="14" t="s">
        <v>944</v>
      </c>
    </row>
    <row r="375" spans="1:66" ht="12.75">
      <c r="A375" s="14"/>
      <c r="B375" s="14" t="s">
        <v>663</v>
      </c>
      <c r="C375" s="14"/>
      <c r="I375" s="14"/>
      <c r="J375" s="14"/>
      <c r="L375" s="43"/>
      <c r="M375" s="43"/>
      <c r="N375" s="43"/>
      <c r="O375" s="43"/>
      <c r="P375" s="43"/>
      <c r="R375" s="14"/>
      <c r="S375" s="43"/>
      <c r="T375" s="43"/>
      <c r="U375" s="43"/>
      <c r="V375" s="43"/>
      <c r="X375" s="14"/>
      <c r="AC375" s="14"/>
      <c r="AD375" s="14"/>
      <c r="AE375" s="14"/>
      <c r="AK375" s="14"/>
      <c r="AL375" s="43"/>
      <c r="AM375" s="43"/>
      <c r="AN375" s="43"/>
      <c r="AO375" s="43"/>
      <c r="AP375" s="14"/>
      <c r="AQ375" s="14"/>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row>
    <row r="376" spans="1:66" ht="12.75">
      <c r="A376" s="14"/>
      <c r="B376" s="14"/>
      <c r="C376" s="14"/>
      <c r="I376" s="14"/>
      <c r="J376" s="14"/>
      <c r="L376" s="43"/>
      <c r="M376" s="43"/>
      <c r="N376" s="43"/>
      <c r="O376" s="43"/>
      <c r="P376" s="43"/>
      <c r="R376" s="14"/>
      <c r="S376" s="43"/>
      <c r="T376" s="43"/>
      <c r="U376" s="43"/>
      <c r="V376" s="43"/>
      <c r="X376" s="14"/>
      <c r="AC376" s="14"/>
      <c r="AD376" s="14"/>
      <c r="AE376" s="14"/>
      <c r="AK376" s="14"/>
      <c r="AL376" s="43"/>
      <c r="AM376" s="43"/>
      <c r="AN376" s="43"/>
      <c r="AO376" s="43"/>
      <c r="AP376" s="14"/>
      <c r="AQ376" s="14"/>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row>
    <row r="377" spans="1:66" ht="12.75">
      <c r="A377" s="14"/>
    </row>
    <row r="378" spans="1:66" ht="38.25">
      <c r="A378" s="78" t="s">
        <v>945</v>
      </c>
      <c r="B378" s="657" t="s">
        <v>946</v>
      </c>
      <c r="C378" s="657" t="s">
        <v>947</v>
      </c>
      <c r="D378" s="657" t="s">
        <v>948</v>
      </c>
      <c r="E378" s="758" t="s">
        <v>949</v>
      </c>
      <c r="F378" s="14"/>
      <c r="H378" s="14"/>
      <c r="I378" s="14"/>
      <c r="K378" s="14"/>
    </row>
    <row r="379" spans="1:66" ht="12.75">
      <c r="A379" s="645">
        <v>1995</v>
      </c>
      <c r="B379" s="17">
        <f>25.4*0.404686/(1/10000)</f>
        <v>102790.24399999999</v>
      </c>
      <c r="C379" s="17">
        <f>379*0.4</f>
        <v>151.6</v>
      </c>
      <c r="D379" s="17">
        <f t="shared" ref="D379:D382" si="89">C379/B379</f>
        <v>1.4748481383116477E-3</v>
      </c>
      <c r="E379" s="49"/>
    </row>
    <row r="380" spans="1:66" ht="12.75">
      <c r="A380" s="645">
        <v>1996</v>
      </c>
      <c r="B380" s="17">
        <f>47.7*0.404686/(1/10000)</f>
        <v>193035.22199999998</v>
      </c>
      <c r="C380" s="17">
        <f>700*0.4</f>
        <v>280</v>
      </c>
      <c r="D380" s="17">
        <f t="shared" si="89"/>
        <v>1.450512487301411E-3</v>
      </c>
      <c r="E380" s="49"/>
    </row>
    <row r="381" spans="1:66" ht="12.75">
      <c r="A381" s="645">
        <v>1997</v>
      </c>
      <c r="B381" s="17">
        <f>4.5*0.404686/(1/10000)</f>
        <v>18210.87</v>
      </c>
      <c r="C381" s="17">
        <f>297*0.4</f>
        <v>118.80000000000001</v>
      </c>
      <c r="D381" s="17">
        <f t="shared" si="89"/>
        <v>6.5235763036032889E-3</v>
      </c>
      <c r="E381" s="49"/>
    </row>
    <row r="382" spans="1:66" ht="12.75">
      <c r="A382" s="645">
        <v>1998</v>
      </c>
      <c r="B382" s="17">
        <f>30.3*0.404686/(1/10000)</f>
        <v>122619.85799999999</v>
      </c>
      <c r="C382" s="17">
        <f>406*0.4</f>
        <v>162.4</v>
      </c>
      <c r="D382" s="17">
        <f t="shared" si="89"/>
        <v>1.3244184314746149E-3</v>
      </c>
      <c r="E382" s="663">
        <f>(SUM(D379:D382))/4</f>
        <v>2.6933388401727408E-3</v>
      </c>
    </row>
    <row r="383" spans="1:66" ht="12.75">
      <c r="A383" s="82" t="s">
        <v>950</v>
      </c>
      <c r="B383" s="634"/>
      <c r="C383" s="634"/>
      <c r="D383" s="634"/>
      <c r="E383" s="127">
        <f>25*(1/10000)</f>
        <v>2.5000000000000001E-3</v>
      </c>
    </row>
    <row r="384" spans="1:66" ht="51.75">
      <c r="A384" s="52" t="s">
        <v>951</v>
      </c>
      <c r="B384" s="685" t="s">
        <v>533</v>
      </c>
      <c r="C384" s="685" t="s">
        <v>543</v>
      </c>
      <c r="D384" s="685" t="s">
        <v>522</v>
      </c>
      <c r="E384" s="291" t="s">
        <v>535</v>
      </c>
    </row>
    <row r="385" spans="1:66" ht="12.75">
      <c r="A385" s="63"/>
      <c r="B385" s="646">
        <f>0.58970014450867/100</f>
        <v>5.8970014450866999E-3</v>
      </c>
      <c r="C385" s="646">
        <f>9.29471740526653/100</f>
        <v>9.2947174052665296E-2</v>
      </c>
      <c r="D385" s="646">
        <f>E382/100/0.5</f>
        <v>5.3866776803454815E-5</v>
      </c>
      <c r="E385" s="191">
        <f>0.06/453.592/0.5</f>
        <v>2.6455493042205327E-4</v>
      </c>
    </row>
    <row r="386" spans="1:66" ht="12.75">
      <c r="A386" s="14" t="s">
        <v>935</v>
      </c>
      <c r="B386" s="14" t="s">
        <v>570</v>
      </c>
    </row>
    <row r="387" spans="1:66" ht="12.75">
      <c r="B387" s="66" t="s">
        <v>952</v>
      </c>
    </row>
    <row r="388" spans="1:66" ht="12.75">
      <c r="B388" s="14" t="s">
        <v>953</v>
      </c>
    </row>
    <row r="389" spans="1:66" ht="12.75">
      <c r="A389" s="14"/>
      <c r="B389" s="14" t="s">
        <v>663</v>
      </c>
      <c r="C389" s="14"/>
      <c r="I389" s="14"/>
      <c r="J389" s="14"/>
      <c r="L389" s="43"/>
      <c r="M389" s="43"/>
      <c r="N389" s="43"/>
      <c r="O389" s="43"/>
      <c r="P389" s="43"/>
      <c r="R389" s="14"/>
      <c r="S389" s="43"/>
      <c r="T389" s="43"/>
      <c r="U389" s="43"/>
      <c r="V389" s="43"/>
      <c r="X389" s="14"/>
      <c r="AC389" s="14"/>
      <c r="AD389" s="14"/>
      <c r="AE389" s="14"/>
      <c r="AK389" s="14"/>
      <c r="AL389" s="43"/>
      <c r="AM389" s="43"/>
      <c r="AN389" s="43"/>
      <c r="AO389" s="43"/>
      <c r="AP389" s="14"/>
      <c r="AQ389" s="14"/>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row>
    <row r="392" spans="1:66" s="92" customFormat="1" ht="75">
      <c r="A392" s="180" t="s">
        <v>954</v>
      </c>
      <c r="B392" s="657" t="s">
        <v>623</v>
      </c>
      <c r="C392" s="657" t="s">
        <v>624</v>
      </c>
      <c r="D392" s="682" t="s">
        <v>625</v>
      </c>
      <c r="E392" s="657" t="s">
        <v>626</v>
      </c>
      <c r="F392" s="657" t="s">
        <v>624</v>
      </c>
      <c r="G392" s="682" t="s">
        <v>534</v>
      </c>
      <c r="H392" s="657" t="s">
        <v>955</v>
      </c>
      <c r="I392" s="657" t="s">
        <v>624</v>
      </c>
      <c r="J392" s="682" t="s">
        <v>956</v>
      </c>
      <c r="K392" s="657" t="s">
        <v>957</v>
      </c>
      <c r="L392" s="657" t="s">
        <v>624</v>
      </c>
      <c r="M392" s="80" t="s">
        <v>722</v>
      </c>
      <c r="N392" s="971"/>
      <c r="O392" s="971"/>
      <c r="P392" s="971"/>
      <c r="R392" s="81"/>
      <c r="S392" s="971"/>
      <c r="T392" s="971"/>
      <c r="U392" s="971"/>
      <c r="V392" s="971"/>
      <c r="X392" s="81"/>
      <c r="AC392" s="81"/>
      <c r="AD392" s="81"/>
      <c r="AE392" s="81"/>
      <c r="AK392" s="81"/>
      <c r="AL392" s="971"/>
      <c r="AM392" s="971"/>
      <c r="AN392" s="971"/>
      <c r="AO392" s="971"/>
      <c r="AP392" s="81"/>
      <c r="AQ392" s="81"/>
      <c r="AS392" s="971"/>
      <c r="AT392" s="971"/>
      <c r="AU392" s="971"/>
      <c r="AV392" s="971"/>
      <c r="AW392" s="971"/>
      <c r="AX392" s="971"/>
      <c r="AY392" s="971"/>
      <c r="AZ392" s="971"/>
      <c r="BA392" s="971"/>
      <c r="BB392" s="971"/>
      <c r="BC392" s="971"/>
      <c r="BD392" s="971"/>
      <c r="BE392" s="971"/>
      <c r="BF392" s="971"/>
      <c r="BG392" s="971"/>
      <c r="BH392" s="971"/>
      <c r="BI392" s="971"/>
      <c r="BJ392" s="971"/>
      <c r="BK392" s="971"/>
      <c r="BL392" s="971"/>
      <c r="BM392" s="971"/>
      <c r="BN392" s="971"/>
    </row>
    <row r="393" spans="1:66" ht="12.75">
      <c r="A393" s="181"/>
      <c r="B393" s="634">
        <f>13700/1490000</f>
        <v>9.1946308724832216E-3</v>
      </c>
      <c r="C393" s="634" t="s">
        <v>628</v>
      </c>
      <c r="D393" s="679">
        <f>B393*4046.86/100*0.2204621</f>
        <v>8.2032589126726174E-2</v>
      </c>
      <c r="E393" s="634">
        <f>40</f>
        <v>40</v>
      </c>
      <c r="F393" s="634" t="s">
        <v>629</v>
      </c>
      <c r="G393" s="679">
        <f>E393/0.002204621*13700/1490000/100*0.2204621</f>
        <v>0.36778523489932879</v>
      </c>
      <c r="H393" s="634" t="s">
        <v>958</v>
      </c>
      <c r="I393" s="634" t="s">
        <v>959</v>
      </c>
      <c r="J393" s="679">
        <f>108/10000</f>
        <v>1.0800000000000001E-2</v>
      </c>
      <c r="K393" s="634">
        <v>1.4179999999999999</v>
      </c>
      <c r="L393" s="634" t="s">
        <v>960</v>
      </c>
      <c r="M393" s="681">
        <f>1.418/10</f>
        <v>0.14179999999999998</v>
      </c>
      <c r="N393" s="43"/>
      <c r="O393" s="43"/>
      <c r="P393" s="43"/>
      <c r="R393" s="14"/>
      <c r="S393" s="43"/>
      <c r="T393" s="43"/>
      <c r="U393" s="43"/>
      <c r="V393" s="43"/>
      <c r="X393" s="14"/>
      <c r="AC393" s="14"/>
      <c r="AD393" s="14"/>
      <c r="AE393" s="14"/>
      <c r="AK393" s="14"/>
      <c r="AL393" s="43"/>
      <c r="AM393" s="43"/>
      <c r="AN393" s="43"/>
      <c r="AO393" s="43"/>
      <c r="AP393" s="14"/>
      <c r="AQ393" s="14"/>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row>
    <row r="394" spans="1:66" s="92" customFormat="1" ht="60">
      <c r="A394" s="970"/>
      <c r="B394" s="641" t="s">
        <v>533</v>
      </c>
      <c r="C394" s="641" t="s">
        <v>543</v>
      </c>
      <c r="D394" s="641" t="s">
        <v>603</v>
      </c>
      <c r="E394" s="48" t="s">
        <v>535</v>
      </c>
      <c r="I394" s="81"/>
      <c r="J394" s="81"/>
      <c r="L394" s="971"/>
      <c r="M394" s="971"/>
      <c r="N394" s="971"/>
      <c r="O394" s="971"/>
      <c r="P394" s="971"/>
      <c r="R394" s="81"/>
      <c r="S394" s="971"/>
      <c r="T394" s="971"/>
      <c r="U394" s="971"/>
      <c r="V394" s="971"/>
      <c r="X394" s="81"/>
      <c r="AC394" s="81"/>
      <c r="AD394" s="81"/>
      <c r="AE394" s="81"/>
      <c r="AK394" s="81"/>
      <c r="AL394" s="971"/>
      <c r="AM394" s="971"/>
      <c r="AN394" s="971"/>
      <c r="AO394" s="971"/>
      <c r="AP394" s="81"/>
      <c r="AQ394" s="81"/>
      <c r="AS394" s="971"/>
      <c r="AT394" s="971"/>
      <c r="AU394" s="971"/>
      <c r="AV394" s="971"/>
      <c r="AW394" s="971"/>
      <c r="AX394" s="971"/>
      <c r="AY394" s="971"/>
      <c r="AZ394" s="971"/>
      <c r="BA394" s="971"/>
      <c r="BB394" s="971"/>
      <c r="BC394" s="971"/>
      <c r="BD394" s="971"/>
      <c r="BE394" s="971"/>
      <c r="BF394" s="971"/>
      <c r="BG394" s="971"/>
      <c r="BH394" s="971"/>
      <c r="BI394" s="971"/>
      <c r="BJ394" s="971"/>
      <c r="BK394" s="971"/>
      <c r="BL394" s="971"/>
      <c r="BM394" s="971"/>
      <c r="BN394" s="971"/>
    </row>
    <row r="395" spans="1:66" ht="12.75">
      <c r="A395" s="63"/>
      <c r="B395" s="617">
        <f>D393/100</f>
        <v>8.2032589126726171E-4</v>
      </c>
      <c r="C395" s="617">
        <f>G393/100</f>
        <v>3.6778523489932879E-3</v>
      </c>
      <c r="D395" s="617">
        <f>J393/100</f>
        <v>1.0800000000000001E-4</v>
      </c>
      <c r="E395" s="5">
        <f>M393/100</f>
        <v>1.4179999999999998E-3</v>
      </c>
      <c r="I395" s="14"/>
      <c r="J395" s="14"/>
      <c r="L395" s="43"/>
      <c r="M395" s="43"/>
      <c r="N395" s="43"/>
      <c r="O395" s="43"/>
      <c r="P395" s="43"/>
      <c r="R395" s="14"/>
      <c r="S395" s="43"/>
      <c r="T395" s="43"/>
      <c r="U395" s="43"/>
      <c r="V395" s="43"/>
      <c r="X395" s="14"/>
      <c r="AC395" s="14"/>
      <c r="AD395" s="14"/>
      <c r="AE395" s="14"/>
      <c r="AK395" s="14"/>
      <c r="AL395" s="43"/>
      <c r="AM395" s="43"/>
      <c r="AN395" s="43"/>
      <c r="AO395" s="43"/>
      <c r="AP395" s="14"/>
      <c r="AQ395" s="14"/>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row>
    <row r="396" spans="1:66" ht="12.75">
      <c r="A396" s="14" t="s">
        <v>560</v>
      </c>
      <c r="B396" s="66" t="s">
        <v>641</v>
      </c>
      <c r="C396" s="14"/>
      <c r="I396" s="14"/>
      <c r="J396" s="14"/>
      <c r="L396" s="43"/>
      <c r="M396" s="43"/>
      <c r="N396" s="43"/>
      <c r="O396" s="43"/>
      <c r="P396" s="43"/>
      <c r="R396" s="14"/>
      <c r="S396" s="43"/>
      <c r="T396" s="43"/>
      <c r="U396" s="43"/>
      <c r="V396" s="43"/>
      <c r="X396" s="14"/>
      <c r="AC396" s="14"/>
      <c r="AD396" s="14"/>
      <c r="AE396" s="14"/>
      <c r="AK396" s="14"/>
      <c r="AL396" s="43"/>
      <c r="AM396" s="43"/>
      <c r="AN396" s="43"/>
      <c r="AO396" s="43"/>
      <c r="AP396" s="14"/>
      <c r="AQ396" s="14"/>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row>
    <row r="397" spans="1:66" ht="12.75">
      <c r="B397" s="14" t="s">
        <v>642</v>
      </c>
      <c r="C397" s="14"/>
      <c r="I397" s="14"/>
      <c r="J397" s="14"/>
      <c r="L397" s="43"/>
      <c r="M397" s="43"/>
      <c r="N397" s="43"/>
      <c r="O397" s="43"/>
      <c r="P397" s="43"/>
      <c r="R397" s="14"/>
      <c r="S397" s="43"/>
      <c r="T397" s="43"/>
      <c r="U397" s="43"/>
      <c r="V397" s="43"/>
      <c r="X397" s="14"/>
      <c r="AC397" s="14"/>
      <c r="AD397" s="14"/>
      <c r="AE397" s="14"/>
      <c r="AK397" s="14"/>
      <c r="AL397" s="43"/>
      <c r="AM397" s="43"/>
      <c r="AN397" s="43"/>
      <c r="AO397" s="43"/>
      <c r="AP397" s="14"/>
      <c r="AQ397" s="14"/>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row>
    <row r="398" spans="1:66" ht="12.75">
      <c r="B398" s="14" t="s">
        <v>645</v>
      </c>
      <c r="C398" s="14"/>
      <c r="I398" s="14"/>
      <c r="J398" s="14"/>
      <c r="L398" s="43"/>
      <c r="M398" s="43"/>
      <c r="N398" s="43"/>
      <c r="O398" s="43"/>
      <c r="P398" s="43"/>
      <c r="R398" s="14"/>
      <c r="S398" s="43"/>
      <c r="T398" s="43"/>
      <c r="U398" s="43"/>
      <c r="V398" s="43"/>
      <c r="X398" s="14"/>
      <c r="AC398" s="14"/>
      <c r="AD398" s="14"/>
      <c r="AE398" s="14"/>
      <c r="AK398" s="14"/>
      <c r="AL398" s="43"/>
      <c r="AM398" s="43"/>
      <c r="AN398" s="43"/>
      <c r="AO398" s="43"/>
      <c r="AP398" s="14"/>
      <c r="AQ398" s="14"/>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row>
    <row r="399" spans="1:66" ht="12.75">
      <c r="B399" s="14"/>
      <c r="C399" s="14"/>
      <c r="I399" s="14"/>
      <c r="J399" s="14"/>
      <c r="L399" s="43"/>
      <c r="M399" s="43"/>
      <c r="N399" s="43"/>
      <c r="O399" s="43"/>
      <c r="P399" s="43"/>
      <c r="R399" s="14"/>
      <c r="S399" s="43"/>
      <c r="T399" s="43"/>
      <c r="U399" s="43"/>
      <c r="V399" s="43"/>
      <c r="X399" s="14"/>
      <c r="AC399" s="14"/>
      <c r="AD399" s="14"/>
      <c r="AE399" s="14"/>
      <c r="AK399" s="14"/>
      <c r="AL399" s="43"/>
      <c r="AM399" s="43"/>
      <c r="AN399" s="43"/>
      <c r="AO399" s="43"/>
      <c r="AP399" s="14"/>
      <c r="AQ399" s="14"/>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row>
    <row r="400" spans="1:66" ht="12.75">
      <c r="B400" s="14"/>
      <c r="C400" s="14"/>
      <c r="I400" s="14"/>
      <c r="J400" s="14"/>
      <c r="L400" s="43"/>
      <c r="M400" s="43"/>
      <c r="N400" s="43"/>
      <c r="O400" s="43"/>
      <c r="P400" s="43"/>
      <c r="R400" s="14"/>
      <c r="S400" s="43"/>
      <c r="T400" s="43"/>
      <c r="U400" s="43"/>
      <c r="V400" s="43"/>
      <c r="X400" s="14"/>
      <c r="AC400" s="14"/>
      <c r="AD400" s="14"/>
      <c r="AE400" s="14"/>
      <c r="AK400" s="14"/>
      <c r="AL400" s="43"/>
      <c r="AM400" s="43"/>
      <c r="AN400" s="43"/>
      <c r="AO400" s="43"/>
      <c r="AP400" s="14"/>
      <c r="AQ400" s="14"/>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row>
    <row r="401" spans="1:66" s="92" customFormat="1" ht="75">
      <c r="A401" s="182" t="s">
        <v>961</v>
      </c>
      <c r="B401" s="657" t="s">
        <v>636</v>
      </c>
      <c r="C401" s="664" t="s">
        <v>532</v>
      </c>
      <c r="D401" s="641" t="s">
        <v>533</v>
      </c>
      <c r="E401" s="641" t="s">
        <v>543</v>
      </c>
      <c r="F401" s="641" t="s">
        <v>603</v>
      </c>
      <c r="G401" s="48" t="s">
        <v>535</v>
      </c>
      <c r="H401" s="81"/>
      <c r="I401" s="81"/>
      <c r="J401" s="81"/>
      <c r="L401" s="971"/>
      <c r="M401" s="971"/>
      <c r="N401" s="971"/>
      <c r="O401" s="971"/>
      <c r="P401" s="971"/>
      <c r="R401" s="81"/>
      <c r="S401" s="971"/>
      <c r="T401" s="971"/>
      <c r="U401" s="971"/>
      <c r="V401" s="971"/>
      <c r="X401" s="81"/>
      <c r="AC401" s="81"/>
      <c r="AD401" s="81"/>
      <c r="AE401" s="81"/>
      <c r="AK401" s="81"/>
      <c r="AL401" s="971"/>
      <c r="AM401" s="971"/>
      <c r="AN401" s="971"/>
      <c r="AO401" s="971"/>
      <c r="AP401" s="81"/>
      <c r="AQ401" s="81"/>
      <c r="AS401" s="971"/>
      <c r="AT401" s="971"/>
      <c r="AU401" s="971"/>
      <c r="AV401" s="971"/>
      <c r="AW401" s="971"/>
      <c r="AX401" s="971"/>
      <c r="AY401" s="971"/>
      <c r="AZ401" s="971"/>
      <c r="BA401" s="971"/>
      <c r="BB401" s="971"/>
      <c r="BC401" s="971"/>
      <c r="BD401" s="971"/>
      <c r="BE401" s="971"/>
      <c r="BF401" s="971"/>
      <c r="BG401" s="971"/>
      <c r="BH401" s="971"/>
      <c r="BI401" s="971"/>
      <c r="BJ401" s="971"/>
      <c r="BK401" s="971"/>
      <c r="BL401" s="971"/>
      <c r="BM401" s="971"/>
      <c r="BN401" s="971"/>
    </row>
    <row r="402" spans="1:66" ht="12.75">
      <c r="A402" s="181" t="s">
        <v>627</v>
      </c>
      <c r="B402" s="17">
        <v>3.6</v>
      </c>
      <c r="C402" s="86"/>
      <c r="D402" s="14">
        <v>8.2032589126726171E-4</v>
      </c>
      <c r="E402">
        <v>3.6778523489932879E-3</v>
      </c>
      <c r="F402">
        <v>1.08E-4</v>
      </c>
      <c r="G402" s="3">
        <v>1.418E-3</v>
      </c>
      <c r="H402" s="14"/>
      <c r="J402" s="14"/>
      <c r="L402" s="43"/>
      <c r="M402" s="43"/>
      <c r="N402" s="43"/>
      <c r="O402" s="43"/>
      <c r="P402" s="43"/>
      <c r="R402" s="14"/>
      <c r="S402" s="43"/>
      <c r="T402" s="43"/>
      <c r="U402" s="43"/>
      <c r="V402" s="43"/>
      <c r="X402" s="14"/>
      <c r="AC402" s="14"/>
      <c r="AD402" s="14"/>
      <c r="AE402" s="14"/>
      <c r="AK402" s="14"/>
      <c r="AL402" s="43"/>
      <c r="AM402" s="43"/>
      <c r="AN402" s="43"/>
      <c r="AO402" s="43"/>
      <c r="AP402" s="14"/>
      <c r="AQ402" s="14"/>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row>
    <row r="403" spans="1:66" ht="12.75">
      <c r="A403" s="63" t="s">
        <v>640</v>
      </c>
      <c r="B403" s="671">
        <v>5.3</v>
      </c>
      <c r="C403" s="183">
        <f>B403/B402</f>
        <v>1.4722222222222221</v>
      </c>
      <c r="D403" s="617">
        <f t="shared" ref="D403:G403" si="90">D402*$C403</f>
        <v>1.2077020065879129E-3</v>
      </c>
      <c r="E403" s="617">
        <f t="shared" si="90"/>
        <v>5.4146159582401177E-3</v>
      </c>
      <c r="F403" s="617">
        <f t="shared" si="90"/>
        <v>1.5899999999999999E-4</v>
      </c>
      <c r="G403" s="5">
        <f t="shared" si="90"/>
        <v>2.0876111111111108E-3</v>
      </c>
      <c r="J403" s="14"/>
      <c r="L403" s="43"/>
      <c r="M403" s="43"/>
      <c r="N403" s="43"/>
      <c r="O403" s="43"/>
      <c r="P403" s="43"/>
      <c r="R403" s="14"/>
      <c r="S403" s="43"/>
      <c r="T403" s="43"/>
      <c r="U403" s="43"/>
      <c r="V403" s="43"/>
      <c r="X403" s="14"/>
      <c r="AC403" s="14"/>
      <c r="AD403" s="14"/>
      <c r="AE403" s="14"/>
      <c r="AK403" s="14"/>
      <c r="AL403" s="43"/>
      <c r="AM403" s="43"/>
      <c r="AN403" s="43"/>
      <c r="AO403" s="43"/>
      <c r="AP403" s="14"/>
      <c r="AQ403" s="14"/>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row>
    <row r="404" spans="1:66" ht="12.75">
      <c r="A404" s="14" t="s">
        <v>538</v>
      </c>
      <c r="B404" s="655" t="s">
        <v>647</v>
      </c>
      <c r="C404" s="92"/>
      <c r="D404" s="14"/>
      <c r="H404" s="92"/>
      <c r="I404" s="92"/>
      <c r="J404" s="14"/>
      <c r="L404" s="43"/>
      <c r="M404" s="43"/>
      <c r="N404" s="43"/>
      <c r="O404" s="43"/>
      <c r="P404" s="43"/>
      <c r="R404" s="14"/>
      <c r="S404" s="43"/>
      <c r="T404" s="43"/>
      <c r="U404" s="43"/>
      <c r="V404" s="43"/>
      <c r="X404" s="14"/>
      <c r="AC404" s="14"/>
      <c r="AD404" s="14"/>
      <c r="AE404" s="14"/>
      <c r="AK404" s="14"/>
      <c r="AL404" s="43"/>
      <c r="AM404" s="43"/>
      <c r="AN404" s="43"/>
      <c r="AO404" s="43"/>
      <c r="AP404" s="14"/>
      <c r="AQ404" s="14"/>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row>
    <row r="405" spans="1:66" ht="12.75">
      <c r="A405" s="14"/>
      <c r="B405" s="14"/>
      <c r="C405" s="14"/>
      <c r="I405" s="14"/>
      <c r="J405" s="14"/>
      <c r="L405" s="43"/>
      <c r="M405" s="43"/>
      <c r="N405" s="43"/>
      <c r="O405" s="43"/>
      <c r="P405" s="43"/>
      <c r="R405" s="14"/>
      <c r="S405" s="43"/>
      <c r="T405" s="43"/>
      <c r="U405" s="43"/>
      <c r="V405" s="43"/>
      <c r="X405" s="14"/>
      <c r="AC405" s="14"/>
      <c r="AD405" s="14"/>
      <c r="AE405" s="14"/>
      <c r="AK405" s="14"/>
      <c r="AL405" s="43"/>
      <c r="AM405" s="43"/>
      <c r="AN405" s="43"/>
      <c r="AO405" s="43"/>
      <c r="AP405" s="14"/>
      <c r="AQ405" s="14"/>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row>
    <row r="406" spans="1:66" ht="12.75">
      <c r="I406" s="14"/>
      <c r="J406" s="14"/>
      <c r="L406" s="43"/>
      <c r="M406" s="43"/>
      <c r="N406" s="43"/>
      <c r="O406" s="43"/>
      <c r="P406" s="43"/>
      <c r="R406" s="14"/>
      <c r="S406" s="43"/>
      <c r="T406" s="43"/>
      <c r="U406" s="43"/>
      <c r="V406" s="43"/>
      <c r="X406" s="14"/>
      <c r="AC406" s="14"/>
      <c r="AD406" s="14"/>
      <c r="AE406" s="14"/>
      <c r="AK406" s="14"/>
      <c r="AL406" s="43"/>
      <c r="AM406" s="43"/>
      <c r="AN406" s="43"/>
      <c r="AO406" s="43"/>
      <c r="AP406" s="14"/>
      <c r="AQ406" s="14"/>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row>
    <row r="407" spans="1:66" s="92" customFormat="1" ht="60">
      <c r="A407" s="972" t="s">
        <v>962</v>
      </c>
      <c r="B407" s="973" t="s">
        <v>963</v>
      </c>
      <c r="C407" s="974" t="s">
        <v>964</v>
      </c>
      <c r="D407" s="184" t="s">
        <v>965</v>
      </c>
      <c r="E407" s="975" t="s">
        <v>966</v>
      </c>
      <c r="F407" s="976" t="s">
        <v>967</v>
      </c>
      <c r="G407" s="975" t="s">
        <v>968</v>
      </c>
      <c r="H407" s="976" t="s">
        <v>969</v>
      </c>
      <c r="I407" s="657" t="s">
        <v>970</v>
      </c>
      <c r="J407" s="185" t="s">
        <v>971</v>
      </c>
      <c r="K407" s="641" t="s">
        <v>533</v>
      </c>
      <c r="L407" s="641" t="s">
        <v>543</v>
      </c>
      <c r="M407" s="641" t="s">
        <v>522</v>
      </c>
      <c r="N407" s="48" t="s">
        <v>650</v>
      </c>
      <c r="O407" s="971"/>
      <c r="P407" s="971"/>
      <c r="R407" s="81"/>
      <c r="S407" s="971"/>
      <c r="T407" s="971"/>
      <c r="U407" s="971"/>
      <c r="V407" s="971"/>
      <c r="AD407" s="81"/>
      <c r="AE407" s="81"/>
      <c r="AK407" s="81"/>
      <c r="AL407" s="971"/>
      <c r="AM407" s="971"/>
      <c r="AN407" s="971"/>
      <c r="AO407" s="971"/>
      <c r="AP407" s="81"/>
      <c r="AQ407" s="81"/>
      <c r="AS407" s="971"/>
      <c r="AT407" s="971"/>
      <c r="AU407" s="971"/>
      <c r="AV407" s="971"/>
      <c r="AW407" s="971"/>
      <c r="AX407" s="971"/>
      <c r="AY407" s="971"/>
      <c r="AZ407" s="971"/>
      <c r="BA407" s="971"/>
      <c r="BB407" s="971"/>
      <c r="BC407" s="971"/>
      <c r="BD407" s="971"/>
      <c r="BE407" s="971"/>
      <c r="BF407" s="971"/>
      <c r="BG407" s="971"/>
      <c r="BH407" s="971"/>
      <c r="BI407" s="971"/>
      <c r="BJ407" s="971"/>
      <c r="BK407" s="971"/>
      <c r="BL407" s="971"/>
      <c r="BM407" s="971"/>
      <c r="BN407" s="971"/>
    </row>
    <row r="408" spans="1:66" ht="15">
      <c r="A408" s="186"/>
      <c r="B408" s="33" t="s">
        <v>972</v>
      </c>
      <c r="C408" s="17">
        <v>0.38</v>
      </c>
      <c r="D408" s="187">
        <f t="shared" ref="D408:D420" si="91">C408*0.00220462</f>
        <v>8.3775560000000002E-4</v>
      </c>
      <c r="E408" s="188">
        <f>AVERAGE(D408:D411)</f>
        <v>3.637623E-4</v>
      </c>
      <c r="F408" s="189">
        <f>AVERAGE(D408,D413:D414)</f>
        <v>5.8054993333333334E-4</v>
      </c>
      <c r="G408" s="188">
        <f>AVERAGE(D408,D415,D419)</f>
        <v>5.1441133333333326E-4</v>
      </c>
      <c r="H408" s="189">
        <f>AVERAGE(D408,D416:D418,D419)</f>
        <v>3.9683160000000004E-4</v>
      </c>
      <c r="I408" s="17">
        <f>D420</f>
        <v>3.0864680000000004E-4</v>
      </c>
      <c r="J408" s="190"/>
      <c r="K408" s="646">
        <f>0.1109195941/100</f>
        <v>1.109195941E-3</v>
      </c>
      <c r="L408" s="646">
        <f>0.5481571245/100</f>
        <v>5.4815712449999996E-3</v>
      </c>
      <c r="M408" s="646">
        <f>97/1000000/0.94</f>
        <v>1.0319148936170213E-4</v>
      </c>
      <c r="N408" s="191">
        <f>E408/0.94</f>
        <v>3.8698117021276597E-4</v>
      </c>
      <c r="O408" s="43"/>
      <c r="P408" s="43"/>
      <c r="R408" s="14"/>
      <c r="S408" s="43"/>
      <c r="T408" s="43"/>
      <c r="U408" s="43"/>
      <c r="V408" s="43"/>
      <c r="X408" s="14"/>
      <c r="AC408" s="14"/>
      <c r="AD408" s="14"/>
      <c r="AE408" s="14"/>
      <c r="AK408" s="14"/>
      <c r="AL408" s="43"/>
      <c r="AM408" s="43"/>
      <c r="AN408" s="43"/>
      <c r="AO408" s="43"/>
      <c r="AP408" s="14"/>
      <c r="AQ408" s="14"/>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row>
    <row r="409" spans="1:66" ht="15">
      <c r="A409" s="192"/>
      <c r="B409" s="193" t="s">
        <v>973</v>
      </c>
      <c r="C409" s="194">
        <v>0.09</v>
      </c>
      <c r="D409" s="195">
        <f t="shared" si="91"/>
        <v>1.9841579999999999E-4</v>
      </c>
      <c r="E409" s="17"/>
      <c r="F409" s="17"/>
      <c r="G409" s="17"/>
      <c r="H409" s="17"/>
      <c r="I409" s="17"/>
      <c r="J409" s="17"/>
      <c r="K409" s="17"/>
      <c r="L409" s="156"/>
      <c r="M409" s="156"/>
      <c r="N409" s="196"/>
      <c r="O409" s="43"/>
      <c r="P409" s="43"/>
      <c r="R409" s="14"/>
      <c r="S409" s="43"/>
      <c r="T409" s="43"/>
      <c r="U409" s="43"/>
      <c r="V409" s="43"/>
      <c r="X409" s="14"/>
      <c r="AC409" s="14"/>
      <c r="AD409" s="14"/>
      <c r="AE409" s="14"/>
      <c r="AK409" s="14"/>
      <c r="AL409" s="43"/>
      <c r="AM409" s="43"/>
      <c r="AN409" s="43"/>
      <c r="AO409" s="43"/>
      <c r="AP409" s="14"/>
      <c r="AQ409" s="14"/>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row>
    <row r="410" spans="1:66" ht="15">
      <c r="A410" s="56"/>
      <c r="B410" s="188" t="s">
        <v>974</v>
      </c>
      <c r="C410" s="188">
        <v>0.11</v>
      </c>
      <c r="D410" s="195">
        <f t="shared" si="91"/>
        <v>2.4250819999999999E-4</v>
      </c>
      <c r="E410" s="17"/>
      <c r="F410" s="17"/>
      <c r="G410" s="17"/>
      <c r="H410" s="17"/>
      <c r="I410" s="17"/>
      <c r="J410" s="17"/>
      <c r="K410" s="17"/>
      <c r="L410" s="156"/>
      <c r="M410" s="156"/>
      <c r="N410" s="196"/>
      <c r="O410" s="43"/>
      <c r="P410" s="43"/>
      <c r="S410" s="43"/>
      <c r="T410" s="43"/>
      <c r="U410" s="43"/>
      <c r="V410" s="43"/>
      <c r="X410" s="14"/>
      <c r="AC410" s="14"/>
      <c r="AD410" s="14"/>
      <c r="AE410" s="14"/>
      <c r="AL410" s="43"/>
      <c r="AM410" s="43"/>
      <c r="AN410" s="43"/>
      <c r="AO410" s="43"/>
      <c r="AP410" s="14"/>
      <c r="AQ410" s="14"/>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row>
    <row r="411" spans="1:66" ht="15">
      <c r="A411" s="56"/>
      <c r="B411" s="188" t="s">
        <v>975</v>
      </c>
      <c r="C411" s="188">
        <v>0.08</v>
      </c>
      <c r="D411" s="195">
        <f t="shared" si="91"/>
        <v>1.7636959999999999E-4</v>
      </c>
      <c r="E411" s="17"/>
      <c r="F411" s="17"/>
      <c r="G411" s="17"/>
      <c r="H411" s="17"/>
      <c r="I411" s="17"/>
      <c r="J411" s="17"/>
      <c r="K411" s="17"/>
      <c r="L411" s="156"/>
      <c r="M411" s="156"/>
      <c r="N411" s="196"/>
      <c r="O411" s="43"/>
      <c r="P411" s="43"/>
      <c r="R411" s="14"/>
      <c r="S411" s="43"/>
      <c r="T411" s="43"/>
      <c r="U411" s="43"/>
      <c r="V411" s="43"/>
      <c r="X411" s="14"/>
      <c r="AC411" s="14"/>
      <c r="AD411" s="14"/>
      <c r="AE411" s="14"/>
      <c r="AK411" s="14"/>
      <c r="AL411" s="43"/>
      <c r="AM411" s="43"/>
      <c r="AN411" s="43"/>
      <c r="AO411" s="43"/>
      <c r="AP411" s="14"/>
      <c r="AQ411" s="14"/>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row>
    <row r="412" spans="1:66" ht="60">
      <c r="A412" s="56"/>
      <c r="B412" s="17" t="s">
        <v>976</v>
      </c>
      <c r="C412" s="17">
        <v>0.03</v>
      </c>
      <c r="D412" s="187">
        <f t="shared" si="91"/>
        <v>6.6138599999999997E-5</v>
      </c>
      <c r="E412" s="17"/>
      <c r="F412" s="17"/>
      <c r="G412" s="17"/>
      <c r="H412" s="17"/>
      <c r="I412" s="17"/>
      <c r="J412" s="185" t="s">
        <v>977</v>
      </c>
      <c r="K412" s="641" t="s">
        <v>533</v>
      </c>
      <c r="L412" s="641" t="s">
        <v>543</v>
      </c>
      <c r="M412" s="641" t="s">
        <v>522</v>
      </c>
      <c r="N412" s="48" t="s">
        <v>650</v>
      </c>
      <c r="O412" s="43"/>
      <c r="P412" s="43"/>
      <c r="R412" s="14"/>
      <c r="S412" s="43"/>
      <c r="T412" s="43"/>
      <c r="U412" s="43"/>
      <c r="V412" s="43"/>
      <c r="X412" s="14"/>
      <c r="AC412" s="14"/>
      <c r="AD412" s="14"/>
      <c r="AE412" s="14"/>
      <c r="AK412" s="14"/>
      <c r="AL412" s="43"/>
      <c r="AM412" s="43"/>
      <c r="AN412" s="43"/>
      <c r="AO412" s="43"/>
      <c r="AP412" s="14"/>
      <c r="AQ412" s="14"/>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row>
    <row r="413" spans="1:66" ht="15">
      <c r="A413" s="56"/>
      <c r="B413" s="189" t="s">
        <v>978</v>
      </c>
      <c r="C413" s="189">
        <v>0.09</v>
      </c>
      <c r="D413" s="197">
        <f t="shared" si="91"/>
        <v>1.9841579999999999E-4</v>
      </c>
      <c r="E413" s="17"/>
      <c r="F413" s="17"/>
      <c r="G413" s="17"/>
      <c r="H413" s="17"/>
      <c r="I413" s="17"/>
      <c r="J413" s="190"/>
      <c r="K413" s="646">
        <f>0.1109195941/100</f>
        <v>1.109195941E-3</v>
      </c>
      <c r="L413" s="646">
        <v>5.4815712449999996E-3</v>
      </c>
      <c r="M413" s="646">
        <f>97/1000000/0.94</f>
        <v>1.0319148936170213E-4</v>
      </c>
      <c r="N413" s="191">
        <f>F408/0.94</f>
        <v>6.1760631205673758E-4</v>
      </c>
      <c r="O413" s="43"/>
      <c r="P413" s="43"/>
      <c r="R413" s="14"/>
      <c r="S413" s="43"/>
      <c r="T413" s="43"/>
      <c r="U413" s="43"/>
      <c r="V413" s="43"/>
      <c r="X413" s="14"/>
      <c r="AC413" s="14"/>
      <c r="AD413" s="14"/>
      <c r="AE413" s="14"/>
      <c r="AK413" s="14"/>
      <c r="AL413" s="43"/>
      <c r="AM413" s="43"/>
      <c r="AN413" s="43"/>
      <c r="AO413" s="43"/>
      <c r="AP413" s="14"/>
      <c r="AQ413" s="14"/>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row>
    <row r="414" spans="1:66" ht="15">
      <c r="A414" s="56"/>
      <c r="B414" s="189" t="s">
        <v>979</v>
      </c>
      <c r="C414" s="189">
        <v>0.32</v>
      </c>
      <c r="D414" s="197">
        <f t="shared" si="91"/>
        <v>7.0547839999999997E-4</v>
      </c>
      <c r="E414" s="17"/>
      <c r="F414" s="17"/>
      <c r="G414" s="17"/>
      <c r="H414" s="17"/>
      <c r="I414" s="17"/>
      <c r="J414" s="17"/>
      <c r="K414" s="17"/>
      <c r="L414" s="156"/>
      <c r="M414" s="156"/>
      <c r="N414" s="196"/>
      <c r="O414" s="43"/>
      <c r="P414" s="43"/>
      <c r="R414" s="14"/>
      <c r="S414" s="43"/>
      <c r="T414" s="43"/>
      <c r="U414" s="43"/>
      <c r="V414" s="43"/>
      <c r="X414" s="14"/>
      <c r="AC414" s="14"/>
      <c r="AD414" s="14"/>
      <c r="AE414" s="14"/>
      <c r="AK414" s="14"/>
      <c r="AL414" s="43"/>
      <c r="AM414" s="43"/>
      <c r="AN414" s="43"/>
      <c r="AO414" s="43"/>
      <c r="AP414" s="14"/>
      <c r="AQ414" s="14"/>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row>
    <row r="415" spans="1:66" ht="15">
      <c r="A415" s="56"/>
      <c r="B415" s="188" t="s">
        <v>980</v>
      </c>
      <c r="C415" s="188">
        <v>0.1</v>
      </c>
      <c r="D415" s="195">
        <f t="shared" si="91"/>
        <v>2.2046200000000002E-4</v>
      </c>
      <c r="E415" s="17"/>
      <c r="F415" s="17"/>
      <c r="G415" s="17"/>
      <c r="H415" s="17"/>
      <c r="I415" s="17"/>
      <c r="J415" s="17"/>
      <c r="K415" s="17"/>
      <c r="L415" s="156"/>
      <c r="M415" s="156"/>
      <c r="N415" s="196"/>
      <c r="O415" s="43"/>
      <c r="P415" s="43"/>
      <c r="R415" s="14"/>
      <c r="S415" s="43"/>
      <c r="T415" s="43"/>
      <c r="U415" s="43"/>
      <c r="V415" s="43"/>
      <c r="X415" s="14"/>
      <c r="AC415" s="14"/>
      <c r="AD415" s="14"/>
      <c r="AE415" s="14"/>
      <c r="AK415" s="14"/>
      <c r="AL415" s="43"/>
      <c r="AM415" s="43"/>
      <c r="AN415" s="43"/>
      <c r="AO415" s="43"/>
      <c r="AP415" s="14"/>
      <c r="AQ415" s="14"/>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row>
    <row r="416" spans="1:66" ht="60">
      <c r="A416" s="56"/>
      <c r="B416" s="189" t="s">
        <v>981</v>
      </c>
      <c r="C416" s="189">
        <v>0.12</v>
      </c>
      <c r="D416" s="197">
        <f t="shared" si="91"/>
        <v>2.6455439999999999E-4</v>
      </c>
      <c r="E416" s="17"/>
      <c r="F416" s="17"/>
      <c r="G416" s="17"/>
      <c r="H416" s="17"/>
      <c r="I416" s="17"/>
      <c r="J416" s="185" t="s">
        <v>982</v>
      </c>
      <c r="K416" s="641" t="s">
        <v>533</v>
      </c>
      <c r="L416" s="641" t="s">
        <v>543</v>
      </c>
      <c r="M416" s="641" t="s">
        <v>522</v>
      </c>
      <c r="N416" s="48" t="s">
        <v>650</v>
      </c>
      <c r="O416" s="43"/>
      <c r="P416" s="43"/>
      <c r="R416" s="14"/>
      <c r="S416" s="43"/>
      <c r="T416" s="43"/>
      <c r="U416" s="43"/>
      <c r="V416" s="43"/>
      <c r="X416" s="14"/>
      <c r="AC416" s="14"/>
      <c r="AD416" s="14"/>
      <c r="AE416" s="14"/>
      <c r="AK416" s="14"/>
      <c r="AL416" s="43"/>
      <c r="AM416" s="43"/>
      <c r="AN416" s="43"/>
      <c r="AO416" s="43"/>
      <c r="AP416" s="14"/>
      <c r="AQ416" s="14"/>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row>
    <row r="417" spans="1:66" ht="15">
      <c r="A417" s="56"/>
      <c r="B417" s="189" t="s">
        <v>983</v>
      </c>
      <c r="C417" s="189">
        <v>0.11</v>
      </c>
      <c r="D417" s="197">
        <f t="shared" si="91"/>
        <v>2.4250819999999999E-4</v>
      </c>
      <c r="E417" s="17"/>
      <c r="F417" s="17"/>
      <c r="G417" s="17"/>
      <c r="H417" s="17"/>
      <c r="I417" s="17"/>
      <c r="J417" s="190"/>
      <c r="K417" s="646">
        <f>0.1109195941/100</f>
        <v>1.109195941E-3</v>
      </c>
      <c r="L417" s="646">
        <v>5.4815712449999996E-3</v>
      </c>
      <c r="M417" s="646">
        <f>97/1000000/0.94</f>
        <v>1.0319148936170213E-4</v>
      </c>
      <c r="N417" s="191">
        <f>E408/0.94</f>
        <v>3.8698117021276597E-4</v>
      </c>
      <c r="O417" s="43"/>
      <c r="P417" s="43"/>
      <c r="R417" s="14"/>
      <c r="S417" s="43"/>
      <c r="T417" s="43"/>
      <c r="U417" s="43"/>
      <c r="V417" s="43"/>
      <c r="X417" s="14"/>
      <c r="AC417" s="14"/>
      <c r="AD417" s="14"/>
      <c r="AE417" s="14"/>
      <c r="AK417" s="14"/>
      <c r="AL417" s="43"/>
      <c r="AM417" s="43"/>
      <c r="AN417" s="43"/>
      <c r="AO417" s="43"/>
      <c r="AP417" s="14"/>
      <c r="AQ417" s="14"/>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row>
    <row r="418" spans="1:66" ht="15">
      <c r="A418" s="56"/>
      <c r="B418" s="189" t="s">
        <v>984</v>
      </c>
      <c r="C418" s="189">
        <v>7.0000000000000007E-2</v>
      </c>
      <c r="D418" s="197">
        <f t="shared" si="91"/>
        <v>1.5432340000000002E-4</v>
      </c>
      <c r="E418" s="17"/>
      <c r="F418" s="17"/>
      <c r="G418" s="17"/>
      <c r="H418" s="17"/>
      <c r="I418" s="17"/>
      <c r="J418" s="17"/>
      <c r="K418" s="17"/>
      <c r="L418" s="156"/>
      <c r="M418" s="156"/>
      <c r="N418" s="196"/>
      <c r="O418" s="43"/>
      <c r="P418" s="43"/>
      <c r="R418" s="14"/>
      <c r="S418" s="43"/>
      <c r="T418" s="43"/>
      <c r="U418" s="43"/>
      <c r="V418" s="43"/>
      <c r="X418" s="14"/>
      <c r="AC418" s="14"/>
      <c r="AD418" s="14"/>
      <c r="AE418" s="14"/>
      <c r="AK418" s="14"/>
      <c r="AL418" s="43"/>
      <c r="AM418" s="43"/>
      <c r="AN418" s="43"/>
      <c r="AO418" s="43"/>
      <c r="AP418" s="14"/>
      <c r="AQ418" s="14"/>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row>
    <row r="419" spans="1:66" ht="60">
      <c r="A419" s="56"/>
      <c r="B419" s="17" t="s">
        <v>985</v>
      </c>
      <c r="C419" s="17">
        <v>0.22</v>
      </c>
      <c r="D419" s="187">
        <f t="shared" si="91"/>
        <v>4.8501639999999998E-4</v>
      </c>
      <c r="E419" s="17"/>
      <c r="F419" s="17"/>
      <c r="G419" s="17"/>
      <c r="H419" s="17"/>
      <c r="I419" s="17"/>
      <c r="J419" s="185" t="s">
        <v>986</v>
      </c>
      <c r="K419" s="641" t="s">
        <v>533</v>
      </c>
      <c r="L419" s="641" t="s">
        <v>543</v>
      </c>
      <c r="M419" s="641" t="s">
        <v>522</v>
      </c>
      <c r="N419" s="48" t="s">
        <v>650</v>
      </c>
      <c r="O419" s="43"/>
      <c r="P419" s="43"/>
      <c r="R419" s="14"/>
      <c r="S419" s="43"/>
      <c r="T419" s="43"/>
      <c r="U419" s="43"/>
      <c r="V419" s="43"/>
      <c r="X419" s="14"/>
      <c r="AC419" s="14"/>
      <c r="AD419" s="14"/>
      <c r="AE419" s="14"/>
      <c r="AK419" s="14"/>
      <c r="AL419" s="43"/>
      <c r="AM419" s="43"/>
      <c r="AN419" s="43"/>
      <c r="AO419" s="43"/>
      <c r="AP419" s="14"/>
      <c r="AQ419" s="14"/>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row>
    <row r="420" spans="1:66" ht="15">
      <c r="A420" s="172"/>
      <c r="B420" s="634" t="s">
        <v>987</v>
      </c>
      <c r="C420" s="634">
        <v>0.14000000000000001</v>
      </c>
      <c r="D420" s="198">
        <f t="shared" si="91"/>
        <v>3.0864680000000004E-4</v>
      </c>
      <c r="E420" s="634"/>
      <c r="F420" s="634"/>
      <c r="G420" s="634"/>
      <c r="H420" s="634"/>
      <c r="I420" s="634"/>
      <c r="J420" s="190"/>
      <c r="K420" s="646">
        <f>0.1109195941/100</f>
        <v>1.109195941E-3</v>
      </c>
      <c r="L420" s="646">
        <v>5.4815712449999996E-3</v>
      </c>
      <c r="M420" s="646">
        <f>97/1000000/0.94</f>
        <v>1.0319148936170213E-4</v>
      </c>
      <c r="N420" s="191">
        <f>AVERAGE(N413,N417)</f>
        <v>5.0229374113475178E-4</v>
      </c>
      <c r="O420" s="43"/>
      <c r="P420" s="43"/>
      <c r="R420" s="14"/>
      <c r="S420" s="43"/>
      <c r="T420" s="43"/>
      <c r="U420" s="43"/>
      <c r="V420" s="43"/>
      <c r="X420" s="14"/>
      <c r="AC420" s="14"/>
      <c r="AD420" s="14"/>
      <c r="AE420" s="14"/>
      <c r="AK420" s="14"/>
      <c r="AL420" s="43"/>
      <c r="AM420" s="43"/>
      <c r="AN420" s="43"/>
      <c r="AO420" s="43"/>
      <c r="AP420" s="14"/>
      <c r="AQ420" s="14"/>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row>
    <row r="421" spans="1:66" ht="12.75">
      <c r="A421" s="14" t="s">
        <v>691</v>
      </c>
      <c r="B421" s="655" t="s">
        <v>656</v>
      </c>
      <c r="C421" s="14"/>
      <c r="I421" s="14"/>
      <c r="J421" s="14"/>
      <c r="L421" s="43"/>
      <c r="M421" s="43"/>
      <c r="N421" s="43"/>
      <c r="O421" s="43"/>
      <c r="P421" s="43"/>
      <c r="R421" s="14"/>
      <c r="S421" s="43"/>
      <c r="T421" s="43"/>
      <c r="U421" s="43"/>
      <c r="V421" s="43"/>
      <c r="X421" s="14"/>
      <c r="AC421" s="14"/>
      <c r="AD421" s="14"/>
      <c r="AE421" s="14"/>
      <c r="AK421" s="14"/>
      <c r="AL421" s="43"/>
      <c r="AM421" s="43"/>
      <c r="AN421" s="43"/>
      <c r="AO421" s="43"/>
      <c r="AP421" s="14"/>
      <c r="AQ421" s="14"/>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row>
    <row r="422" spans="1:66" ht="12.75">
      <c r="A422" s="14"/>
      <c r="B422" s="14" t="s">
        <v>570</v>
      </c>
      <c r="C422" s="14"/>
      <c r="I422" s="14"/>
      <c r="J422" s="14"/>
      <c r="L422" s="43"/>
      <c r="M422" s="43"/>
      <c r="N422" s="43"/>
      <c r="O422" s="43"/>
      <c r="P422" s="43"/>
      <c r="R422" s="14"/>
      <c r="S422" s="43"/>
      <c r="T422" s="43"/>
      <c r="U422" s="43"/>
      <c r="V422" s="43"/>
      <c r="X422" s="14"/>
      <c r="AC422" s="14"/>
      <c r="AD422" s="14"/>
      <c r="AE422" s="14"/>
      <c r="AK422" s="14"/>
      <c r="AL422" s="43"/>
      <c r="AM422" s="43"/>
      <c r="AN422" s="43"/>
      <c r="AO422" s="43"/>
      <c r="AP422" s="14"/>
      <c r="AQ422" s="14"/>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row>
    <row r="423" spans="1:66" ht="12.75">
      <c r="A423" s="14"/>
      <c r="B423" s="14" t="s">
        <v>657</v>
      </c>
      <c r="C423" s="14"/>
      <c r="I423" s="14"/>
      <c r="J423" s="14"/>
      <c r="L423" s="43"/>
      <c r="M423" s="43"/>
      <c r="N423" s="43"/>
      <c r="O423" s="43"/>
      <c r="P423" s="43"/>
      <c r="R423" s="14"/>
      <c r="S423" s="43"/>
      <c r="T423" s="43"/>
      <c r="U423" s="43"/>
      <c r="V423" s="43"/>
      <c r="X423" s="14"/>
      <c r="AC423" s="14"/>
      <c r="AD423" s="14"/>
      <c r="AE423" s="14"/>
      <c r="AK423" s="14"/>
      <c r="AL423" s="43"/>
      <c r="AM423" s="43"/>
      <c r="AN423" s="43"/>
      <c r="AO423" s="43"/>
      <c r="AP423" s="14"/>
      <c r="AQ423" s="14"/>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row>
    <row r="424" spans="1:66" ht="12.75">
      <c r="B424" s="14" t="s">
        <v>663</v>
      </c>
    </row>
    <row r="427" spans="1:66" s="92" customFormat="1" ht="51.75">
      <c r="A427" s="52" t="s">
        <v>988</v>
      </c>
      <c r="B427" s="673" t="s">
        <v>732</v>
      </c>
      <c r="C427" s="648" t="s">
        <v>533</v>
      </c>
      <c r="D427" s="648" t="s">
        <v>543</v>
      </c>
      <c r="E427" s="648" t="s">
        <v>522</v>
      </c>
      <c r="F427" s="54" t="s">
        <v>535</v>
      </c>
      <c r="G427" s="977"/>
      <c r="H427" s="64"/>
      <c r="I427" s="64"/>
      <c r="J427" s="40"/>
      <c r="K427" s="64"/>
      <c r="L427" s="6"/>
      <c r="M427" s="6"/>
      <c r="N427" s="971"/>
      <c r="O427" s="971"/>
      <c r="P427" s="971"/>
      <c r="R427" s="81"/>
      <c r="S427" s="971"/>
      <c r="T427" s="971"/>
      <c r="U427" s="971"/>
      <c r="V427" s="971"/>
      <c r="X427" s="81"/>
      <c r="AC427" s="81"/>
      <c r="AD427" s="81"/>
      <c r="AE427" s="81"/>
      <c r="AK427" s="81"/>
      <c r="AL427" s="971"/>
      <c r="AM427" s="971"/>
      <c r="AN427" s="971"/>
      <c r="AO427" s="971"/>
      <c r="AP427" s="81"/>
      <c r="AQ427" s="81"/>
      <c r="AS427" s="971"/>
      <c r="AT427" s="971"/>
      <c r="AU427" s="971"/>
      <c r="AV427" s="971"/>
      <c r="AW427" s="971"/>
      <c r="AX427" s="971"/>
      <c r="AY427" s="971"/>
      <c r="AZ427" s="971"/>
      <c r="BA427" s="971"/>
      <c r="BB427" s="971"/>
      <c r="BC427" s="971"/>
      <c r="BD427" s="971"/>
      <c r="BE427" s="971"/>
      <c r="BF427" s="971"/>
      <c r="BG427" s="971"/>
      <c r="BH427" s="971"/>
      <c r="BI427" s="971"/>
      <c r="BJ427" s="971"/>
      <c r="BK427" s="971"/>
      <c r="BL427" s="971"/>
      <c r="BM427" s="971"/>
      <c r="BN427" s="971"/>
    </row>
    <row r="428" spans="1:66" ht="12.75">
      <c r="A428" s="62" t="s">
        <v>989</v>
      </c>
      <c r="B428" s="97">
        <v>69</v>
      </c>
      <c r="C428" s="14">
        <v>1.109195941E-3</v>
      </c>
      <c r="D428" s="14">
        <v>5.4815712449999996E-3</v>
      </c>
      <c r="E428">
        <f>0.000097/0.94</f>
        <v>1.0319148936170213E-4</v>
      </c>
      <c r="F428" s="3">
        <f>0.0003086468/0.97</f>
        <v>3.1819257731958761E-4</v>
      </c>
      <c r="H428" s="220"/>
      <c r="I428" s="220"/>
      <c r="J428" s="499"/>
      <c r="K428" s="220"/>
      <c r="L428" s="220"/>
      <c r="M428" s="220"/>
      <c r="N428" s="43"/>
      <c r="O428" s="43"/>
      <c r="P428" s="43"/>
      <c r="R428" s="14"/>
      <c r="S428" s="43"/>
      <c r="T428" s="43"/>
      <c r="U428" s="43"/>
      <c r="V428" s="43"/>
      <c r="X428" s="14"/>
      <c r="AC428" s="14"/>
      <c r="AD428" s="14"/>
      <c r="AE428" s="14"/>
      <c r="AK428" s="14"/>
      <c r="AL428" s="43"/>
      <c r="AM428" s="43"/>
      <c r="AN428" s="43"/>
      <c r="AO428" s="43"/>
      <c r="AP428" s="14"/>
      <c r="AQ428" s="14"/>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row>
    <row r="429" spans="1:66" ht="12.75">
      <c r="A429" s="63" t="s">
        <v>990</v>
      </c>
      <c r="B429" s="98">
        <v>299</v>
      </c>
      <c r="C429" s="617">
        <f t="shared" ref="C429:F429" si="92">C428*$B429/$B428</f>
        <v>4.8065157443333336E-3</v>
      </c>
      <c r="D429" s="617">
        <f t="shared" si="92"/>
        <v>2.3753475394999998E-2</v>
      </c>
      <c r="E429" s="617">
        <f t="shared" si="92"/>
        <v>4.4716312056737589E-4</v>
      </c>
      <c r="F429" s="5">
        <f t="shared" si="92"/>
        <v>1.378834501718213E-3</v>
      </c>
      <c r="G429" s="14" t="s">
        <v>991</v>
      </c>
      <c r="H429" s="220"/>
      <c r="I429" s="220"/>
      <c r="J429" s="499"/>
      <c r="K429" s="220"/>
      <c r="L429" s="148"/>
      <c r="M429" s="148"/>
      <c r="N429" s="43"/>
      <c r="O429" s="43"/>
      <c r="P429" s="43"/>
      <c r="R429" s="14"/>
      <c r="S429" s="43"/>
      <c r="T429" s="43"/>
      <c r="U429" s="43"/>
      <c r="V429" s="43"/>
      <c r="X429" s="14"/>
      <c r="AC429" s="14"/>
      <c r="AD429" s="14"/>
      <c r="AE429" s="14"/>
      <c r="AK429" s="14"/>
      <c r="AL429" s="43"/>
      <c r="AM429" s="43"/>
      <c r="AN429" s="43"/>
      <c r="AO429" s="43"/>
      <c r="AP429" s="14"/>
      <c r="AQ429" s="14"/>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row>
    <row r="430" spans="1:66" ht="12.75">
      <c r="A430" s="14" t="s">
        <v>691</v>
      </c>
      <c r="B430" s="14" t="s">
        <v>992</v>
      </c>
      <c r="C430" s="14"/>
      <c r="J430" s="39"/>
      <c r="N430" s="43"/>
      <c r="O430" s="43"/>
      <c r="P430" s="43"/>
      <c r="R430" s="14"/>
      <c r="S430" s="43"/>
      <c r="T430" s="43"/>
      <c r="U430" s="43"/>
      <c r="V430" s="43"/>
      <c r="X430" s="14"/>
      <c r="AC430" s="14"/>
      <c r="AD430" s="14"/>
      <c r="AE430" s="14"/>
      <c r="AK430" s="14"/>
      <c r="AL430" s="43"/>
      <c r="AM430" s="43"/>
      <c r="AN430" s="43"/>
      <c r="AO430" s="43"/>
      <c r="AP430" s="14"/>
      <c r="AQ430" s="14"/>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row>
    <row r="431" spans="1:66" ht="12.75">
      <c r="A431" s="14"/>
      <c r="B431" s="14" t="s">
        <v>993</v>
      </c>
      <c r="C431" s="14"/>
      <c r="I431" s="14"/>
      <c r="J431" s="14"/>
      <c r="L431" s="43"/>
      <c r="M431" s="43"/>
      <c r="N431" s="43"/>
      <c r="O431" s="43"/>
      <c r="P431" s="43"/>
      <c r="R431" s="14"/>
      <c r="S431" s="43"/>
      <c r="T431" s="43"/>
      <c r="U431" s="43"/>
      <c r="V431" s="43"/>
      <c r="X431" s="14"/>
      <c r="AC431" s="14"/>
      <c r="AD431" s="14"/>
      <c r="AE431" s="14"/>
      <c r="AK431" s="14"/>
      <c r="AL431" s="43"/>
      <c r="AM431" s="43"/>
      <c r="AN431" s="43"/>
      <c r="AO431" s="43"/>
      <c r="AP431" s="14"/>
      <c r="AQ431" s="14"/>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row>
    <row r="432" spans="1:66" ht="12.75">
      <c r="A432" s="14"/>
      <c r="B432" s="655" t="s">
        <v>994</v>
      </c>
      <c r="C432" s="14"/>
      <c r="I432" s="14"/>
      <c r="J432" s="14"/>
      <c r="L432" s="43"/>
      <c r="M432" s="43"/>
      <c r="N432" s="43"/>
      <c r="O432" s="43"/>
      <c r="P432" s="43"/>
      <c r="R432" s="14"/>
      <c r="S432" s="43"/>
      <c r="T432" s="43"/>
      <c r="U432" s="43"/>
      <c r="V432" s="43"/>
      <c r="X432" s="14"/>
      <c r="AC432" s="14"/>
      <c r="AD432" s="14"/>
      <c r="AE432" s="14"/>
      <c r="AK432" s="14"/>
      <c r="AL432" s="43"/>
      <c r="AM432" s="43"/>
      <c r="AN432" s="43"/>
      <c r="AO432" s="43"/>
      <c r="AP432" s="14"/>
      <c r="AQ432" s="14"/>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row>
    <row r="433" spans="1:66" ht="12.75">
      <c r="C433" s="14"/>
      <c r="I433" s="14"/>
      <c r="J433" s="14"/>
      <c r="L433" s="43"/>
      <c r="M433" s="43"/>
      <c r="N433" s="43"/>
      <c r="O433" s="43"/>
      <c r="P433" s="43"/>
      <c r="R433" s="14"/>
      <c r="S433" s="43"/>
      <c r="T433" s="43"/>
      <c r="U433" s="43"/>
      <c r="V433" s="43"/>
      <c r="X433" s="14"/>
      <c r="AC433" s="14"/>
      <c r="AD433" s="14"/>
      <c r="AE433" s="14"/>
      <c r="AK433" s="14"/>
      <c r="AL433" s="43"/>
      <c r="AM433" s="43"/>
      <c r="AN433" s="43"/>
      <c r="AO433" s="43"/>
      <c r="AP433" s="14"/>
      <c r="AQ433" s="14"/>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row>
    <row r="434" spans="1:66" ht="12.75">
      <c r="A434" s="14"/>
      <c r="B434" s="14"/>
      <c r="C434" s="14"/>
      <c r="I434" s="14"/>
      <c r="J434" s="14"/>
      <c r="L434" s="43"/>
      <c r="M434" s="43"/>
      <c r="N434" s="43"/>
      <c r="O434" s="43"/>
      <c r="P434" s="43"/>
      <c r="R434" s="14"/>
      <c r="S434" s="43"/>
      <c r="T434" s="43"/>
      <c r="U434" s="43"/>
      <c r="V434" s="43"/>
      <c r="X434" s="14"/>
      <c r="AC434" s="14"/>
      <c r="AD434" s="14"/>
      <c r="AE434" s="14"/>
      <c r="AK434" s="14"/>
      <c r="AL434" s="43"/>
      <c r="AM434" s="43"/>
      <c r="AN434" s="43"/>
      <c r="AO434" s="43"/>
      <c r="AP434" s="14"/>
      <c r="AQ434" s="14"/>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row>
    <row r="437" spans="1:66" s="92" customFormat="1" ht="60">
      <c r="A437" s="52" t="s">
        <v>995</v>
      </c>
      <c r="B437" s="641" t="s">
        <v>533</v>
      </c>
      <c r="C437" s="641" t="s">
        <v>543</v>
      </c>
      <c r="D437" s="641" t="s">
        <v>522</v>
      </c>
      <c r="E437" s="48" t="s">
        <v>535</v>
      </c>
    </row>
    <row r="438" spans="1:66" ht="12.75">
      <c r="A438" s="63" t="s">
        <v>660</v>
      </c>
      <c r="B438" s="617">
        <f>0.108830216354969/100</f>
        <v>1.08830216354969E-3</v>
      </c>
      <c r="C438" s="617">
        <f>1.58293607138492/100</f>
        <v>1.5829360713849203E-2</v>
      </c>
      <c r="D438" s="617">
        <f>85/1000000/0.47</f>
        <v>1.8085106382978726E-4</v>
      </c>
      <c r="E438" s="5">
        <f>AVERAGE(0.0002939499227,0.0004739942503)/0.47</f>
        <v>8.1696188617021279E-4</v>
      </c>
      <c r="F438" s="14" t="s">
        <v>996</v>
      </c>
    </row>
    <row r="439" spans="1:66" ht="12.75">
      <c r="A439" s="14" t="s">
        <v>538</v>
      </c>
      <c r="B439" s="14" t="s">
        <v>570</v>
      </c>
      <c r="C439" s="712"/>
      <c r="D439" s="712"/>
      <c r="E439" s="712"/>
      <c r="F439" s="148"/>
    </row>
    <row r="440" spans="1:66" ht="12.75">
      <c r="B440" s="14" t="s">
        <v>662</v>
      </c>
    </row>
    <row r="441" spans="1:66" ht="12.75">
      <c r="B441" s="655" t="s">
        <v>656</v>
      </c>
    </row>
    <row r="442" spans="1:66" ht="12.75">
      <c r="B442" s="655" t="s">
        <v>997</v>
      </c>
    </row>
    <row r="445" spans="1:66" s="92" customFormat="1" ht="38.25">
      <c r="A445" s="208" t="s">
        <v>998</v>
      </c>
      <c r="B445" s="202" t="s">
        <v>999</v>
      </c>
      <c r="C445" s="202" t="s">
        <v>1000</v>
      </c>
      <c r="D445" s="202" t="s">
        <v>1001</v>
      </c>
      <c r="E445" s="202" t="s">
        <v>1002</v>
      </c>
      <c r="F445" s="202" t="s">
        <v>1003</v>
      </c>
      <c r="G445" s="208" t="s">
        <v>600</v>
      </c>
      <c r="H445" s="978" t="s">
        <v>1004</v>
      </c>
      <c r="I445" s="979" t="s">
        <v>1005</v>
      </c>
    </row>
    <row r="446" spans="1:66" ht="12.75">
      <c r="A446" s="76"/>
      <c r="B446" s="17" t="s">
        <v>903</v>
      </c>
      <c r="C446" s="17">
        <v>0.08</v>
      </c>
      <c r="D446" s="17">
        <v>0.06</v>
      </c>
      <c r="E446" s="17">
        <v>0.06</v>
      </c>
      <c r="F446" s="17">
        <v>0.66</v>
      </c>
      <c r="G446" s="76">
        <f>AVERAGE(C446:F446)</f>
        <v>0.21500000000000002</v>
      </c>
      <c r="H446" s="199"/>
      <c r="I446" s="713"/>
    </row>
    <row r="447" spans="1:66" ht="12.75">
      <c r="A447" s="76"/>
      <c r="B447" s="17" t="s">
        <v>894</v>
      </c>
      <c r="C447" s="17">
        <f t="shared" ref="C447:G447" si="93">C446/453.592</f>
        <v>1.7636995361470221E-4</v>
      </c>
      <c r="D447" s="17">
        <f t="shared" si="93"/>
        <v>1.3227746521102664E-4</v>
      </c>
      <c r="E447" s="17">
        <f t="shared" si="93"/>
        <v>1.3227746521102664E-4</v>
      </c>
      <c r="F447" s="71">
        <f t="shared" si="93"/>
        <v>1.4550521173212932E-3</v>
      </c>
      <c r="G447" s="714">
        <f t="shared" si="93"/>
        <v>4.7399425033951224E-4</v>
      </c>
      <c r="H447" s="715">
        <f>0.04/453.592</f>
        <v>8.8184976807351105E-5</v>
      </c>
      <c r="I447" s="200">
        <f>AVERAGE(G447:H447)</f>
        <v>2.8108961357343169E-4</v>
      </c>
      <c r="J447" s="14"/>
    </row>
    <row r="448" spans="1:66" s="92" customFormat="1" ht="60">
      <c r="A448" s="52" t="s">
        <v>1006</v>
      </c>
      <c r="B448" s="641" t="s">
        <v>533</v>
      </c>
      <c r="C448" s="641" t="s">
        <v>543</v>
      </c>
      <c r="D448" s="641" t="s">
        <v>522</v>
      </c>
      <c r="E448" s="48" t="s">
        <v>535</v>
      </c>
    </row>
    <row r="449" spans="1:5" ht="12.75">
      <c r="A449" s="201"/>
      <c r="B449" s="617">
        <f>0.0965306472933168/100</f>
        <v>9.6530647293316797E-4</v>
      </c>
      <c r="C449" s="617">
        <f>1.96240168475979/100</f>
        <v>1.9624016847597899E-2</v>
      </c>
      <c r="D449" s="617">
        <f>110/1000000/0.7</f>
        <v>1.5714285714285716E-4</v>
      </c>
      <c r="E449" s="5">
        <f>G447/0.7</f>
        <v>6.7713464334216039E-4</v>
      </c>
    </row>
    <row r="450" spans="1:5" ht="12.75">
      <c r="A450" s="14" t="s">
        <v>538</v>
      </c>
      <c r="B450" s="655" t="s">
        <v>656</v>
      </c>
    </row>
    <row r="451" spans="1:5" ht="12.75">
      <c r="B451" s="14" t="s">
        <v>570</v>
      </c>
    </row>
    <row r="452" spans="1:5" ht="12.75">
      <c r="B452" s="14" t="s">
        <v>1007</v>
      </c>
    </row>
    <row r="453" spans="1:5" ht="12.75">
      <c r="B453" s="14" t="s">
        <v>663</v>
      </c>
    </row>
    <row r="455" spans="1:5" ht="12.75">
      <c r="A455" s="14"/>
    </row>
    <row r="456" spans="1:5" s="92" customFormat="1" ht="51.75">
      <c r="A456" s="52" t="s">
        <v>1008</v>
      </c>
      <c r="B456" s="685" t="s">
        <v>533</v>
      </c>
      <c r="C456" s="685" t="s">
        <v>543</v>
      </c>
      <c r="D456" s="685" t="s">
        <v>522</v>
      </c>
      <c r="E456" s="291" t="s">
        <v>535</v>
      </c>
    </row>
    <row r="457" spans="1:5" ht="12.75">
      <c r="A457" s="63"/>
      <c r="B457" s="646">
        <f>0.1132822817554/100</f>
        <v>1.1328228175540001E-3</v>
      </c>
      <c r="C457" s="646">
        <f>1.11966673343613/100</f>
        <v>1.1196667334361301E-2</v>
      </c>
      <c r="D457" s="646">
        <f>188/1000000/0.76</f>
        <v>2.4736842105263154E-4</v>
      </c>
      <c r="E457" s="191">
        <f>0.1/453.592</f>
        <v>2.2046244201837776E-4</v>
      </c>
    </row>
    <row r="458" spans="1:5" ht="12.75">
      <c r="A458" s="14" t="s">
        <v>538</v>
      </c>
      <c r="B458" s="14" t="s">
        <v>570</v>
      </c>
    </row>
    <row r="459" spans="1:5" ht="12.75">
      <c r="B459" s="14" t="s">
        <v>1009</v>
      </c>
    </row>
    <row r="460" spans="1:5" ht="12.75">
      <c r="B460" s="14" t="s">
        <v>1010</v>
      </c>
    </row>
    <row r="461" spans="1:5" ht="12.75">
      <c r="B461" s="14" t="s">
        <v>663</v>
      </c>
    </row>
    <row r="463" spans="1:5" ht="12.75">
      <c r="A463" s="980"/>
      <c r="B463" s="980"/>
      <c r="C463" s="980"/>
    </row>
    <row r="464" spans="1:5" s="92" customFormat="1" ht="60">
      <c r="A464" s="981" t="s">
        <v>1011</v>
      </c>
      <c r="B464" s="982" t="s">
        <v>533</v>
      </c>
      <c r="C464" s="982" t="s">
        <v>543</v>
      </c>
      <c r="D464" s="641" t="s">
        <v>522</v>
      </c>
      <c r="E464" s="48" t="s">
        <v>535</v>
      </c>
    </row>
    <row r="465" spans="1:7" ht="12.75">
      <c r="A465" s="63"/>
      <c r="B465" s="646">
        <f>0.0523397362320434/100</f>
        <v>5.2339736232043406E-4</v>
      </c>
      <c r="C465" s="646">
        <f>0.484986436545991/100</f>
        <v>4.8498643654599103E-3</v>
      </c>
      <c r="D465" s="646">
        <f>94/1000000/0.78</f>
        <v>1.205128205128205E-4</v>
      </c>
      <c r="E465" s="191">
        <f>0.15/453.592/0.78</f>
        <v>4.2396623465072643E-4</v>
      </c>
    </row>
    <row r="466" spans="1:7" ht="12.75">
      <c r="B466" s="14" t="s">
        <v>570</v>
      </c>
    </row>
    <row r="467" spans="1:7" ht="12.75">
      <c r="B467" s="14" t="s">
        <v>1012</v>
      </c>
    </row>
    <row r="468" spans="1:7" ht="12.75">
      <c r="B468" s="14" t="s">
        <v>1013</v>
      </c>
    </row>
    <row r="469" spans="1:7" ht="12.75">
      <c r="B469" s="14" t="s">
        <v>663</v>
      </c>
    </row>
    <row r="471" spans="1:7" ht="12.75">
      <c r="A471" s="14"/>
    </row>
    <row r="472" spans="1:7" s="92" customFormat="1" ht="60">
      <c r="A472" s="52" t="s">
        <v>1014</v>
      </c>
      <c r="B472" s="221" t="s">
        <v>732</v>
      </c>
      <c r="C472" s="641" t="s">
        <v>533</v>
      </c>
      <c r="D472" s="641" t="s">
        <v>543</v>
      </c>
      <c r="E472" s="641" t="s">
        <v>522</v>
      </c>
      <c r="F472" s="48" t="s">
        <v>535</v>
      </c>
    </row>
    <row r="473" spans="1:7" ht="12.75">
      <c r="A473" s="62" t="s">
        <v>1015</v>
      </c>
      <c r="B473" s="175">
        <v>57</v>
      </c>
      <c r="C473">
        <v>5.2339736232043406E-4</v>
      </c>
      <c r="D473">
        <v>4.8498643654599103E-3</v>
      </c>
      <c r="E473">
        <v>1.205128205128205E-4</v>
      </c>
      <c r="F473" s="3">
        <v>4.2396623465072643E-4</v>
      </c>
    </row>
    <row r="474" spans="1:7" ht="12.75">
      <c r="A474" s="63" t="s">
        <v>1016</v>
      </c>
      <c r="B474" s="176">
        <v>262</v>
      </c>
      <c r="C474" s="646">
        <f t="shared" ref="C474:F474" si="94">C473*$B474/$B473</f>
        <v>2.4057913847009425E-3</v>
      </c>
      <c r="D474" s="646">
        <f t="shared" si="94"/>
        <v>2.2292359013166604E-2</v>
      </c>
      <c r="E474" s="646">
        <f t="shared" si="94"/>
        <v>5.5393612235717495E-4</v>
      </c>
      <c r="F474" s="191">
        <f t="shared" si="94"/>
        <v>1.9487570785700057E-3</v>
      </c>
    </row>
    <row r="475" spans="1:7" ht="12.75">
      <c r="B475" s="14" t="s">
        <v>1017</v>
      </c>
    </row>
    <row r="476" spans="1:7" ht="12.75">
      <c r="B476" s="14" t="s">
        <v>1018</v>
      </c>
    </row>
    <row r="478" spans="1:7" ht="12.75">
      <c r="A478" s="14"/>
    </row>
    <row r="479" spans="1:7" s="92" customFormat="1" ht="63.75">
      <c r="A479" s="208" t="s">
        <v>1019</v>
      </c>
      <c r="B479" s="202" t="s">
        <v>1020</v>
      </c>
      <c r="C479" s="202" t="s">
        <v>1021</v>
      </c>
      <c r="D479" s="202" t="s">
        <v>1022</v>
      </c>
      <c r="E479" s="202" t="s">
        <v>1023</v>
      </c>
      <c r="F479" s="202" t="s">
        <v>1024</v>
      </c>
      <c r="G479" s="716" t="s">
        <v>1025</v>
      </c>
    </row>
    <row r="480" spans="1:7" ht="12.75">
      <c r="A480" s="76" t="s">
        <v>1026</v>
      </c>
      <c r="B480" s="17">
        <v>0.8</v>
      </c>
      <c r="C480" s="17"/>
      <c r="D480" s="17">
        <f>6248/130500</f>
        <v>4.7877394636015327E-2</v>
      </c>
      <c r="E480" s="17">
        <f>D480*0.0001/0.0001</f>
        <v>4.7877394636015327E-2</v>
      </c>
      <c r="F480" s="17">
        <f t="shared" ref="F480:F481" si="95">E480*B480</f>
        <v>3.8301915708812265E-2</v>
      </c>
      <c r="G480" s="77"/>
    </row>
    <row r="481" spans="1:14" ht="12.75">
      <c r="A481" s="203" t="s">
        <v>669</v>
      </c>
      <c r="B481" s="71">
        <f>1-B480</f>
        <v>0.19999999999999996</v>
      </c>
      <c r="C481" s="71">
        <f>18700/135000</f>
        <v>0.13851851851851851</v>
      </c>
      <c r="D481" s="71"/>
      <c r="E481" s="71">
        <f>C481*0.000110231*4046.86</f>
        <v>6.179164623068148E-2</v>
      </c>
      <c r="F481" s="71">
        <f t="shared" si="95"/>
        <v>1.2358329246136293E-2</v>
      </c>
      <c r="G481" s="688">
        <f>SUM(F480:F481)</f>
        <v>5.0660244954948558E-2</v>
      </c>
    </row>
    <row r="482" spans="1:14" s="92" customFormat="1" ht="38.25">
      <c r="A482" s="717" t="s">
        <v>1027</v>
      </c>
      <c r="B482" s="74" t="s">
        <v>1028</v>
      </c>
      <c r="C482" s="74" t="s">
        <v>1029</v>
      </c>
      <c r="D482" s="74" t="s">
        <v>1030</v>
      </c>
      <c r="E482" s="74" t="s">
        <v>1031</v>
      </c>
      <c r="F482" s="74" t="s">
        <v>1032</v>
      </c>
      <c r="G482" s="75" t="s">
        <v>529</v>
      </c>
    </row>
    <row r="483" spans="1:14" ht="15">
      <c r="A483" s="76" t="s">
        <v>1033</v>
      </c>
      <c r="B483" s="17"/>
      <c r="C483" s="17"/>
      <c r="D483" s="17"/>
      <c r="E483" s="123">
        <f>215*1000/10000</f>
        <v>21.5</v>
      </c>
      <c r="F483" s="123">
        <f>E483*G481</f>
        <v>1.089195266531394</v>
      </c>
      <c r="G483" s="77">
        <f t="shared" ref="G483:G485" si="96">F483/100</f>
        <v>1.0891952665313939E-2</v>
      </c>
      <c r="H483" s="81"/>
      <c r="I483" s="64"/>
      <c r="J483" s="64"/>
      <c r="K483" s="64"/>
      <c r="L483" s="64"/>
      <c r="M483" s="14"/>
      <c r="N483" s="6"/>
    </row>
    <row r="484" spans="1:14" ht="15">
      <c r="A484" s="76" t="s">
        <v>1034</v>
      </c>
      <c r="B484" s="17"/>
      <c r="C484" s="17"/>
      <c r="D484" s="17"/>
      <c r="E484" s="123">
        <f>133*1000/10000</f>
        <v>13.3</v>
      </c>
      <c r="F484" s="123">
        <f>E484*G481</f>
        <v>0.67378125790081589</v>
      </c>
      <c r="G484" s="77">
        <f t="shared" si="96"/>
        <v>6.7378125790081593E-3</v>
      </c>
      <c r="H484" s="81"/>
      <c r="I484" s="64"/>
      <c r="J484" s="64"/>
      <c r="K484" s="64"/>
      <c r="L484" s="64"/>
      <c r="M484" s="14"/>
      <c r="N484" s="6"/>
    </row>
    <row r="485" spans="1:14" ht="15">
      <c r="A485" s="76" t="s">
        <v>1035</v>
      </c>
      <c r="B485" s="17">
        <f>(AVERAGE(0.5, 1))*453.592*4</f>
        <v>1360.7759999999998</v>
      </c>
      <c r="C485" s="17">
        <v>0.1</v>
      </c>
      <c r="D485" s="17">
        <f>AVERAGE(201,145)</f>
        <v>173</v>
      </c>
      <c r="E485" s="17">
        <f>B485*C485*D485/4046.86</f>
        <v>5.817207612815861</v>
      </c>
      <c r="F485" s="17">
        <f>E485*G481</f>
        <v>0.29470116261904306</v>
      </c>
      <c r="G485" s="77">
        <f t="shared" si="96"/>
        <v>2.9470116261904305E-3</v>
      </c>
      <c r="H485" s="81"/>
      <c r="I485" s="64"/>
      <c r="J485" s="64"/>
      <c r="K485" s="64"/>
      <c r="L485" s="64"/>
      <c r="M485" s="14"/>
      <c r="N485" s="6"/>
    </row>
    <row r="486" spans="1:14" ht="15">
      <c r="A486" s="674" t="s">
        <v>600</v>
      </c>
      <c r="B486" s="123"/>
      <c r="C486" s="17"/>
      <c r="D486" s="17"/>
      <c r="E486" s="17"/>
      <c r="F486" s="71"/>
      <c r="G486" s="688">
        <f>AVERAGE(G483:G485)</f>
        <v>6.8589256235041763E-3</v>
      </c>
      <c r="H486" s="81"/>
      <c r="I486" s="64"/>
      <c r="J486" s="64"/>
      <c r="K486" s="64"/>
      <c r="L486" s="64"/>
      <c r="M486" s="14"/>
      <c r="N486" s="6"/>
    </row>
    <row r="487" spans="1:14" s="92" customFormat="1" ht="60">
      <c r="A487" s="52" t="s">
        <v>1036</v>
      </c>
      <c r="B487" s="641" t="s">
        <v>533</v>
      </c>
      <c r="C487" s="641" t="s">
        <v>543</v>
      </c>
      <c r="D487" s="641" t="s">
        <v>522</v>
      </c>
      <c r="E487" s="48" t="s">
        <v>535</v>
      </c>
      <c r="F487" s="81"/>
      <c r="G487" s="81"/>
      <c r="H487" s="81"/>
      <c r="I487" s="64"/>
      <c r="J487" s="64"/>
      <c r="K487" s="64"/>
      <c r="L487" s="64"/>
      <c r="M487" s="81"/>
      <c r="N487" s="6"/>
    </row>
    <row r="488" spans="1:14" ht="15">
      <c r="A488" s="63"/>
      <c r="B488" s="646">
        <f>G481/100</f>
        <v>5.0660244954948562E-4</v>
      </c>
      <c r="C488" s="646">
        <f>G486</f>
        <v>6.8589256235041763E-3</v>
      </c>
      <c r="D488" s="646">
        <f>188/1000000/0.85</f>
        <v>2.2117647058823527E-4</v>
      </c>
      <c r="E488" s="191">
        <f>0.1/453.592/0.85</f>
        <v>2.5936757884515029E-4</v>
      </c>
      <c r="F488" s="14"/>
      <c r="G488" s="14"/>
      <c r="H488" s="81"/>
      <c r="I488" s="64"/>
      <c r="J488" s="64"/>
      <c r="K488" s="64"/>
      <c r="L488" s="64"/>
      <c r="M488" s="14"/>
      <c r="N488" s="6"/>
    </row>
    <row r="489" spans="1:14" ht="15">
      <c r="A489" s="81" t="s">
        <v>935</v>
      </c>
      <c r="B489" s="655" t="s">
        <v>1037</v>
      </c>
      <c r="C489" s="14"/>
      <c r="D489" s="14"/>
      <c r="E489" s="14"/>
      <c r="F489" s="14"/>
      <c r="G489" s="14"/>
      <c r="H489" s="81"/>
      <c r="I489" s="64"/>
      <c r="J489" s="64"/>
      <c r="K489" s="64"/>
      <c r="L489" s="64"/>
      <c r="M489" s="14"/>
      <c r="N489" s="6"/>
    </row>
    <row r="490" spans="1:14" ht="15">
      <c r="B490" s="655" t="s">
        <v>1038</v>
      </c>
      <c r="F490" s="14"/>
      <c r="G490" s="14"/>
      <c r="H490" s="81"/>
      <c r="I490" s="64"/>
      <c r="J490" s="64"/>
      <c r="K490" s="64"/>
      <c r="L490" s="64"/>
      <c r="M490" s="14"/>
      <c r="N490" s="6"/>
    </row>
    <row r="491" spans="1:14" ht="15">
      <c r="B491" s="14" t="s">
        <v>1039</v>
      </c>
      <c r="F491" s="14"/>
      <c r="G491" s="14"/>
      <c r="H491" s="81"/>
      <c r="I491" s="64"/>
      <c r="J491" s="64"/>
      <c r="K491" s="64"/>
      <c r="L491" s="64"/>
      <c r="M491" s="14"/>
      <c r="N491" s="6"/>
    </row>
    <row r="492" spans="1:14" ht="15">
      <c r="B492" s="655" t="s">
        <v>1040</v>
      </c>
      <c r="F492" s="14"/>
      <c r="G492" s="14"/>
      <c r="H492" s="81"/>
      <c r="I492" s="64"/>
      <c r="J492" s="64"/>
      <c r="K492" s="64"/>
      <c r="L492" s="64"/>
      <c r="M492" s="14"/>
      <c r="N492" s="6"/>
    </row>
    <row r="493" spans="1:14" ht="15">
      <c r="B493" s="14" t="s">
        <v>1041</v>
      </c>
      <c r="F493" s="14"/>
      <c r="G493" s="14"/>
      <c r="H493" s="81"/>
      <c r="I493" s="64"/>
      <c r="J493" s="64"/>
      <c r="K493" s="64"/>
      <c r="L493" s="64"/>
      <c r="M493" s="14"/>
      <c r="N493" s="6"/>
    </row>
    <row r="494" spans="1:14" ht="15">
      <c r="B494" s="14" t="s">
        <v>1042</v>
      </c>
      <c r="F494" s="14"/>
      <c r="G494" s="14"/>
      <c r="H494" s="81"/>
      <c r="I494" s="64"/>
      <c r="J494" s="64"/>
      <c r="K494" s="64"/>
      <c r="L494" s="64"/>
      <c r="M494" s="14"/>
      <c r="N494" s="6"/>
    </row>
    <row r="495" spans="1:14" ht="15">
      <c r="B495" s="14" t="s">
        <v>1043</v>
      </c>
      <c r="F495" s="14"/>
      <c r="G495" s="14"/>
      <c r="H495" s="81"/>
      <c r="I495" s="64"/>
      <c r="J495" s="64"/>
      <c r="K495" s="64"/>
      <c r="L495" s="64"/>
      <c r="M495" s="14"/>
      <c r="N495" s="6"/>
    </row>
    <row r="496" spans="1:14" ht="15">
      <c r="B496" s="14" t="s">
        <v>663</v>
      </c>
      <c r="F496" s="14"/>
      <c r="G496" s="14"/>
      <c r="H496" s="81"/>
      <c r="I496" s="64"/>
      <c r="J496" s="64"/>
      <c r="K496" s="64"/>
      <c r="L496" s="64"/>
      <c r="M496" s="14"/>
      <c r="N496" s="6"/>
    </row>
    <row r="498" spans="1:14" ht="12.75">
      <c r="A498" s="14"/>
    </row>
    <row r="499" spans="1:14" s="92" customFormat="1" ht="51.75">
      <c r="A499" s="52" t="s">
        <v>1044</v>
      </c>
      <c r="B499" s="132" t="s">
        <v>732</v>
      </c>
      <c r="C499" s="685" t="s">
        <v>533</v>
      </c>
      <c r="D499" s="685" t="s">
        <v>543</v>
      </c>
      <c r="E499" s="685" t="s">
        <v>522</v>
      </c>
      <c r="F499" s="291" t="s">
        <v>535</v>
      </c>
      <c r="G499" s="81"/>
      <c r="H499" s="81"/>
      <c r="I499" s="64"/>
      <c r="J499" s="64"/>
      <c r="K499" s="64"/>
      <c r="L499" s="64"/>
      <c r="M499" s="81"/>
      <c r="N499" s="6"/>
    </row>
    <row r="500" spans="1:14" ht="15">
      <c r="A500" s="62" t="s">
        <v>1045</v>
      </c>
      <c r="B500" s="97">
        <v>46</v>
      </c>
      <c r="C500">
        <v>5.0660244954948562E-4</v>
      </c>
      <c r="D500">
        <v>6.8589256235041763E-3</v>
      </c>
      <c r="E500">
        <v>2.2117647058823527E-4</v>
      </c>
      <c r="F500" s="3">
        <v>2.5936757884515029E-4</v>
      </c>
      <c r="G500" s="14"/>
      <c r="H500" s="81"/>
      <c r="I500" s="64"/>
      <c r="J500" s="64"/>
      <c r="K500" s="64"/>
      <c r="L500" s="64"/>
      <c r="M500" s="14"/>
      <c r="N500" s="6"/>
    </row>
    <row r="501" spans="1:14" ht="15">
      <c r="A501" s="718" t="s">
        <v>733</v>
      </c>
      <c r="B501" s="97">
        <v>240</v>
      </c>
      <c r="C501" s="148">
        <f t="shared" ref="C501:E501" si="97">C500*$B501/$B500</f>
        <v>2.6431432150407948E-3</v>
      </c>
      <c r="D501" s="148">
        <f t="shared" si="97"/>
        <v>3.578569890523918E-2</v>
      </c>
      <c r="E501" s="148">
        <f t="shared" si="97"/>
        <v>1.1539641943734014E-3</v>
      </c>
      <c r="F501" s="357">
        <f>0.23/453.592</f>
        <v>5.0706361664226891E-4</v>
      </c>
      <c r="H501" s="81"/>
      <c r="I501" s="64"/>
      <c r="J501" s="64"/>
      <c r="K501" s="64"/>
      <c r="L501" s="64"/>
      <c r="M501" s="14"/>
      <c r="N501" s="6"/>
    </row>
    <row r="502" spans="1:14" ht="15">
      <c r="A502" s="686" t="s">
        <v>1046</v>
      </c>
      <c r="B502" s="98">
        <v>105</v>
      </c>
      <c r="C502" s="646">
        <f t="shared" ref="C502:F502" si="98">C500*$B502/$B500</f>
        <v>1.1563751565803477E-3</v>
      </c>
      <c r="D502" s="646">
        <f t="shared" si="98"/>
        <v>1.5656243271042144E-2</v>
      </c>
      <c r="E502" s="646">
        <f t="shared" si="98"/>
        <v>5.0485933503836313E-4</v>
      </c>
      <c r="F502" s="191">
        <f t="shared" si="98"/>
        <v>5.9203469084219082E-4</v>
      </c>
      <c r="H502" s="81"/>
      <c r="I502" s="64"/>
      <c r="J502" s="64"/>
      <c r="K502" s="64"/>
      <c r="L502" s="64"/>
      <c r="M502" s="14"/>
      <c r="N502" s="6"/>
    </row>
    <row r="503" spans="1:14" ht="15">
      <c r="A503" s="81" t="s">
        <v>935</v>
      </c>
      <c r="B503" s="14" t="s">
        <v>1047</v>
      </c>
      <c r="C503" s="14"/>
      <c r="D503" s="14"/>
      <c r="E503" s="14"/>
      <c r="F503" s="14"/>
      <c r="G503" s="14"/>
      <c r="H503" s="81"/>
      <c r="I503" s="64"/>
      <c r="J503" s="64"/>
      <c r="K503" s="64"/>
      <c r="L503" s="64"/>
      <c r="M503" s="14"/>
      <c r="N503" s="6"/>
    </row>
    <row r="504" spans="1:14" ht="15">
      <c r="A504" s="6"/>
      <c r="B504" s="14" t="s">
        <v>1048</v>
      </c>
      <c r="C504" s="14"/>
      <c r="D504" s="14"/>
      <c r="E504" s="14"/>
      <c r="F504" s="14"/>
      <c r="G504" s="14"/>
      <c r="H504" s="81"/>
      <c r="I504" s="64"/>
      <c r="J504" s="64"/>
      <c r="K504" s="64"/>
      <c r="L504" s="64"/>
      <c r="M504" s="14"/>
      <c r="N504" s="6"/>
    </row>
    <row r="505" spans="1:14" ht="12.75">
      <c r="B505" s="14" t="s">
        <v>1049</v>
      </c>
      <c r="I505" s="14"/>
      <c r="J505" s="14"/>
      <c r="L505" s="14"/>
    </row>
    <row r="506" spans="1:14" ht="12.75">
      <c r="A506" s="14"/>
      <c r="B506" s="14" t="s">
        <v>1050</v>
      </c>
      <c r="C506" s="14"/>
      <c r="D506" s="14"/>
      <c r="E506" s="14"/>
      <c r="F506" s="14"/>
      <c r="H506" s="14"/>
      <c r="I506" s="14"/>
      <c r="J506" s="14"/>
      <c r="K506" s="14"/>
      <c r="L506" s="14"/>
    </row>
    <row r="508" spans="1:14" ht="12.75">
      <c r="A508" s="14"/>
    </row>
    <row r="509" spans="1:14" s="92" customFormat="1" ht="51.75">
      <c r="A509" s="52" t="s">
        <v>1051</v>
      </c>
      <c r="B509" s="685" t="s">
        <v>533</v>
      </c>
      <c r="C509" s="685" t="s">
        <v>543</v>
      </c>
      <c r="D509" s="685" t="s">
        <v>522</v>
      </c>
      <c r="E509" s="291" t="s">
        <v>535</v>
      </c>
      <c r="F509" s="81"/>
      <c r="G509" s="64"/>
      <c r="H509" s="81"/>
      <c r="I509" s="81"/>
      <c r="J509" s="64"/>
      <c r="K509" s="81"/>
      <c r="L509" s="81"/>
      <c r="M509" s="64"/>
    </row>
    <row r="510" spans="1:14" ht="15">
      <c r="A510" s="63"/>
      <c r="B510" s="646">
        <f>0.246638411036317/100</f>
        <v>2.4663841103631703E-3</v>
      </c>
      <c r="C510" s="646">
        <f>2.03606748109366/100</f>
        <v>2.0360674810936601E-2</v>
      </c>
      <c r="D510" s="646">
        <f>53/1000000/0.97</f>
        <v>5.4639175257731962E-5</v>
      </c>
      <c r="E510" s="191">
        <f>0.12/453.592/0.97</f>
        <v>2.7273704167221988E-4</v>
      </c>
      <c r="F510" s="81"/>
      <c r="G510" s="64"/>
      <c r="H510" s="81"/>
      <c r="I510" s="81"/>
      <c r="J510" s="64"/>
      <c r="K510" s="81"/>
      <c r="L510" s="81"/>
      <c r="M510" s="64"/>
    </row>
    <row r="511" spans="1:14" ht="15">
      <c r="A511" s="81" t="s">
        <v>538</v>
      </c>
      <c r="B511" s="14" t="s">
        <v>570</v>
      </c>
      <c r="C511" s="81"/>
      <c r="D511" s="64"/>
      <c r="E511" s="81"/>
      <c r="F511" s="81"/>
      <c r="G511" s="64"/>
      <c r="H511" s="81"/>
      <c r="I511" s="81"/>
      <c r="J511" s="64"/>
      <c r="K511" s="81"/>
      <c r="L511" s="81"/>
      <c r="M511" s="64"/>
    </row>
    <row r="512" spans="1:14" ht="15">
      <c r="A512" s="6"/>
      <c r="B512" s="14" t="s">
        <v>1052</v>
      </c>
      <c r="C512" s="81"/>
      <c r="D512" s="64"/>
      <c r="E512" s="81"/>
      <c r="F512" s="81"/>
      <c r="G512" s="64"/>
      <c r="H512" s="81"/>
      <c r="I512" s="81"/>
      <c r="J512" s="64"/>
      <c r="K512" s="81"/>
      <c r="L512" s="81"/>
      <c r="M512" s="64"/>
    </row>
    <row r="513" spans="1:13" ht="15">
      <c r="A513" s="6"/>
      <c r="B513" s="14" t="s">
        <v>1053</v>
      </c>
      <c r="C513" s="81"/>
      <c r="D513" s="64"/>
      <c r="E513" s="81"/>
      <c r="F513" s="81"/>
      <c r="G513" s="64"/>
      <c r="H513" s="81"/>
      <c r="I513" s="81"/>
      <c r="J513" s="64"/>
      <c r="K513" s="81"/>
      <c r="L513" s="81"/>
      <c r="M513" s="64"/>
    </row>
    <row r="514" spans="1:13" ht="15">
      <c r="A514" s="6"/>
      <c r="B514" s="655" t="s">
        <v>997</v>
      </c>
      <c r="C514" s="81"/>
      <c r="D514" s="64"/>
      <c r="E514" s="81"/>
      <c r="F514" s="81"/>
      <c r="G514" s="64"/>
      <c r="H514" s="81"/>
      <c r="I514" s="81"/>
      <c r="J514" s="64"/>
      <c r="K514" s="81"/>
      <c r="L514" s="81"/>
      <c r="M514" s="64"/>
    </row>
    <row r="515" spans="1:13" ht="12.75">
      <c r="A515" s="14"/>
      <c r="B515" s="29"/>
      <c r="C515" s="29"/>
      <c r="D515" s="204"/>
      <c r="E515" s="29"/>
      <c r="F515" s="29"/>
      <c r="G515" s="148"/>
      <c r="H515" s="29"/>
      <c r="I515" s="29"/>
      <c r="J515" s="148"/>
      <c r="K515" s="29"/>
      <c r="L515" s="29"/>
      <c r="M515" s="148"/>
    </row>
    <row r="516" spans="1:13" ht="12.75">
      <c r="A516" s="14"/>
      <c r="D516" s="205"/>
      <c r="E516" s="205"/>
      <c r="F516" s="205"/>
      <c r="G516" s="205"/>
      <c r="H516" s="29"/>
      <c r="I516" s="29"/>
      <c r="J516" s="206"/>
      <c r="K516" s="29"/>
      <c r="L516" s="29"/>
      <c r="M516" s="205"/>
    </row>
    <row r="517" spans="1:13" s="92" customFormat="1" ht="51.75">
      <c r="A517" s="52" t="s">
        <v>1054</v>
      </c>
      <c r="B517" s="685" t="s">
        <v>533</v>
      </c>
      <c r="C517" s="685" t="s">
        <v>543</v>
      </c>
      <c r="D517" s="685" t="s">
        <v>522</v>
      </c>
      <c r="E517" s="291" t="s">
        <v>535</v>
      </c>
    </row>
    <row r="518" spans="1:13" ht="12.75">
      <c r="A518" s="63"/>
      <c r="B518" s="646">
        <f>0.0418475450981867/100</f>
        <v>4.18475450981867E-4</v>
      </c>
      <c r="C518" s="646">
        <f>0.864832344729693/100</f>
        <v>8.6483234472969298E-3</v>
      </c>
      <c r="D518" s="646">
        <f>109/1000000/0.87</f>
        <v>1.2528735632183908E-4</v>
      </c>
      <c r="E518" s="191">
        <f>0.12/453.592/0.87</f>
        <v>3.0408612692190031E-4</v>
      </c>
    </row>
    <row r="519" spans="1:13" ht="12.75">
      <c r="A519" s="14" t="s">
        <v>538</v>
      </c>
      <c r="B519" s="14" t="s">
        <v>570</v>
      </c>
    </row>
    <row r="520" spans="1:13" ht="12.75">
      <c r="B520" s="14" t="s">
        <v>1055</v>
      </c>
    </row>
    <row r="521" spans="1:13" ht="12.75">
      <c r="B521" s="14" t="s">
        <v>1056</v>
      </c>
    </row>
    <row r="522" spans="1:13" ht="12.75">
      <c r="B522" s="655" t="s">
        <v>997</v>
      </c>
    </row>
    <row r="524" spans="1:13" ht="12.75">
      <c r="A524" s="14"/>
    </row>
    <row r="525" spans="1:13" s="92" customFormat="1" ht="60">
      <c r="A525" s="52" t="s">
        <v>1057</v>
      </c>
      <c r="B525" s="641" t="s">
        <v>533</v>
      </c>
      <c r="C525" s="641" t="s">
        <v>543</v>
      </c>
      <c r="D525" s="641" t="s">
        <v>522</v>
      </c>
      <c r="E525" s="48" t="s">
        <v>535</v>
      </c>
    </row>
    <row r="526" spans="1:13" ht="12.75">
      <c r="A526" s="201"/>
      <c r="B526" s="617">
        <f>0.11000494215433/100</f>
        <v>1.1000494215432999E-3</v>
      </c>
      <c r="C526" s="617">
        <f>1.50735707065034/100</f>
        <v>1.5073570706503401E-2</v>
      </c>
      <c r="D526" s="617">
        <f>25/1000000/0.46</f>
        <v>5.4347826086956524E-5</v>
      </c>
      <c r="E526" s="5">
        <f>0.06/453.592/0.46</f>
        <v>2.8755970698049265E-4</v>
      </c>
    </row>
    <row r="527" spans="1:13" ht="12.75">
      <c r="A527" s="14" t="s">
        <v>538</v>
      </c>
      <c r="B527" s="14" t="s">
        <v>570</v>
      </c>
    </row>
    <row r="528" spans="1:13" ht="12.75">
      <c r="B528" s="14" t="s">
        <v>1058</v>
      </c>
    </row>
    <row r="529" spans="1:66" ht="12.75">
      <c r="B529" s="655" t="s">
        <v>1059</v>
      </c>
    </row>
    <row r="530" spans="1:66" ht="12.75">
      <c r="B530" s="14" t="s">
        <v>663</v>
      </c>
    </row>
    <row r="533" spans="1:66" ht="12.75">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row>
    <row r="534" spans="1:66" ht="29.25" customHeight="1">
      <c r="A534" s="38" t="s">
        <v>1060</v>
      </c>
    </row>
    <row r="536" spans="1:66" s="92" customFormat="1" ht="75">
      <c r="A536" s="52" t="s">
        <v>1061</v>
      </c>
      <c r="B536" s="644" t="s">
        <v>732</v>
      </c>
      <c r="C536" s="644" t="s">
        <v>532</v>
      </c>
      <c r="D536" s="641" t="s">
        <v>533</v>
      </c>
      <c r="E536" s="641" t="s">
        <v>543</v>
      </c>
      <c r="F536" s="641" t="s">
        <v>522</v>
      </c>
      <c r="G536" s="48" t="s">
        <v>535</v>
      </c>
    </row>
    <row r="537" spans="1:66" ht="12.75">
      <c r="A537" s="62" t="s">
        <v>1062</v>
      </c>
      <c r="B537" s="220">
        <v>354</v>
      </c>
      <c r="C537" s="220"/>
      <c r="D537" s="220">
        <f>0.511935384156809/100</f>
        <v>5.1193538415680896E-3</v>
      </c>
      <c r="E537" s="220">
        <f>9.92907209421835/100</f>
        <v>9.9290720942183497E-2</v>
      </c>
      <c r="F537">
        <f>79/1000000</f>
        <v>7.8999999999999996E-5</v>
      </c>
      <c r="G537" s="719">
        <f>0.14/453.592</f>
        <v>3.0864741882572887E-4</v>
      </c>
    </row>
    <row r="538" spans="1:66" ht="12.75">
      <c r="A538" s="62" t="s">
        <v>1063</v>
      </c>
      <c r="B538" s="14">
        <v>123</v>
      </c>
      <c r="C538" s="14">
        <f>B538/B537</f>
        <v>0.34745762711864409</v>
      </c>
      <c r="D538" s="14">
        <f t="shared" ref="D538:G538" si="99">D537*$C538</f>
        <v>1.7787585381719634E-3</v>
      </c>
      <c r="E538" s="14">
        <f t="shared" si="99"/>
        <v>3.4499318293470541E-2</v>
      </c>
      <c r="F538" s="14">
        <f t="shared" si="99"/>
        <v>2.7449152542372882E-5</v>
      </c>
      <c r="G538" s="3">
        <f t="shared" si="99"/>
        <v>1.0724189976148208E-4</v>
      </c>
    </row>
    <row r="539" spans="1:66" ht="12.75">
      <c r="A539" s="63" t="s">
        <v>1064</v>
      </c>
      <c r="B539" s="646"/>
      <c r="C539" s="617">
        <f>1/0.8</f>
        <v>1.25</v>
      </c>
      <c r="D539" s="617">
        <f t="shared" ref="D539:G539" si="100">D537*$C539</f>
        <v>6.399192301960112E-3</v>
      </c>
      <c r="E539" s="617">
        <f t="shared" si="100"/>
        <v>0.12411340117772937</v>
      </c>
      <c r="F539" s="617">
        <f t="shared" si="100"/>
        <v>9.8749999999999988E-5</v>
      </c>
      <c r="G539" s="5">
        <f t="shared" si="100"/>
        <v>3.8580927353216109E-4</v>
      </c>
    </row>
    <row r="540" spans="1:66" ht="12.75">
      <c r="A540" s="24" t="s">
        <v>538</v>
      </c>
      <c r="B540" s="14" t="s">
        <v>570</v>
      </c>
    </row>
    <row r="541" spans="1:66" ht="12.75">
      <c r="A541" s="24"/>
      <c r="B541" s="14" t="s">
        <v>1065</v>
      </c>
    </row>
    <row r="542" spans="1:66" ht="12.75">
      <c r="A542" s="24"/>
      <c r="B542" s="14" t="s">
        <v>1066</v>
      </c>
    </row>
    <row r="543" spans="1:66" ht="12.75">
      <c r="A543" s="24"/>
      <c r="B543" s="655" t="s">
        <v>1067</v>
      </c>
    </row>
    <row r="544" spans="1:66" ht="12.75">
      <c r="A544" s="24"/>
      <c r="B544" s="14" t="s">
        <v>1068</v>
      </c>
    </row>
    <row r="545" spans="1:15" ht="12.75">
      <c r="A545" s="24"/>
    </row>
    <row r="546" spans="1:15" ht="12.75">
      <c r="A546" s="24"/>
    </row>
    <row r="547" spans="1:15" s="92" customFormat="1" ht="60">
      <c r="A547" s="207" t="s">
        <v>1069</v>
      </c>
      <c r="B547" s="641" t="s">
        <v>533</v>
      </c>
      <c r="C547" s="641" t="s">
        <v>543</v>
      </c>
      <c r="D547" s="641" t="s">
        <v>522</v>
      </c>
      <c r="E547" s="48" t="s">
        <v>535</v>
      </c>
      <c r="F547" s="6"/>
    </row>
    <row r="548" spans="1:15" ht="12.75">
      <c r="A548" s="4" t="s">
        <v>1070</v>
      </c>
      <c r="B548" s="617">
        <v>5.0851930036188197E-3</v>
      </c>
      <c r="C548" s="617">
        <v>5.9995417730640897E-2</v>
      </c>
      <c r="D548" s="617">
        <v>3.4699999999999998E-4</v>
      </c>
      <c r="E548" s="5">
        <v>2.9762429672480995E-4</v>
      </c>
      <c r="F548" s="220"/>
    </row>
    <row r="549" spans="1:15" ht="12.75">
      <c r="A549" s="14" t="s">
        <v>538</v>
      </c>
      <c r="B549" s="14" t="s">
        <v>570</v>
      </c>
      <c r="C549" s="220"/>
      <c r="E549" s="14"/>
    </row>
    <row r="550" spans="1:15" ht="12.75">
      <c r="B550" s="14" t="s">
        <v>642</v>
      </c>
      <c r="F550" s="148"/>
    </row>
    <row r="551" spans="1:15" ht="12.75">
      <c r="B551" s="14" t="s">
        <v>867</v>
      </c>
      <c r="C551" s="148"/>
      <c r="D551" s="148"/>
      <c r="E551" s="148"/>
    </row>
    <row r="558" spans="1:15" s="92" customFormat="1" ht="38.25">
      <c r="A558" s="208" t="s">
        <v>1071</v>
      </c>
      <c r="B558" s="202" t="s">
        <v>1072</v>
      </c>
      <c r="C558" s="202" t="s">
        <v>894</v>
      </c>
      <c r="D558" s="202" t="s">
        <v>1073</v>
      </c>
      <c r="E558" s="209" t="s">
        <v>1074</v>
      </c>
      <c r="F558" s="210" t="s">
        <v>1075</v>
      </c>
      <c r="G558" s="202" t="s">
        <v>1076</v>
      </c>
      <c r="H558" s="202" t="s">
        <v>1077</v>
      </c>
      <c r="I558" s="202" t="s">
        <v>1078</v>
      </c>
      <c r="J558" s="202" t="s">
        <v>1079</v>
      </c>
      <c r="K558" s="720" t="s">
        <v>1080</v>
      </c>
      <c r="L558" s="721" t="s">
        <v>1081</v>
      </c>
      <c r="M558" s="202" t="s">
        <v>1082</v>
      </c>
      <c r="N558" s="202" t="s">
        <v>1083</v>
      </c>
      <c r="O558" s="983"/>
    </row>
    <row r="559" spans="1:15" ht="15">
      <c r="A559" s="76" t="s">
        <v>1084</v>
      </c>
      <c r="B559" s="17">
        <v>0.27</v>
      </c>
      <c r="C559" s="17">
        <f t="shared" ref="C559:C560" si="101">B559/453.592</f>
        <v>5.9524859344962E-4</v>
      </c>
      <c r="D559" s="17"/>
      <c r="E559" s="77">
        <f>C559*0.997</f>
        <v>5.9346284766927115E-4</v>
      </c>
      <c r="F559" s="157" t="s">
        <v>1085</v>
      </c>
      <c r="G559" s="17">
        <f>MEDIAN(18,28)</f>
        <v>23</v>
      </c>
      <c r="H559" s="17"/>
      <c r="I559" s="17"/>
      <c r="J559" s="17"/>
      <c r="K559" s="211"/>
      <c r="L559" s="46" t="s">
        <v>1086</v>
      </c>
      <c r="M559" s="17">
        <v>10.91</v>
      </c>
      <c r="N559" s="17">
        <f>0.16/ 453.592</f>
        <v>3.5273990722940442E-4</v>
      </c>
      <c r="O559" s="722"/>
    </row>
    <row r="560" spans="1:15" ht="12.75">
      <c r="A560" s="76" t="s">
        <v>1087</v>
      </c>
      <c r="B560" s="17">
        <v>0.2</v>
      </c>
      <c r="C560" s="17">
        <f t="shared" si="101"/>
        <v>4.4092488403675551E-4</v>
      </c>
      <c r="D560" s="17"/>
      <c r="E560" s="77">
        <f>C560*0.003</f>
        <v>1.3227746521102666E-6</v>
      </c>
      <c r="F560" s="157" t="s">
        <v>1088</v>
      </c>
      <c r="G560" s="17">
        <f>MEDIAN(20,25)</f>
        <v>22.5</v>
      </c>
      <c r="H560" s="17"/>
      <c r="I560" s="17"/>
      <c r="J560" s="17"/>
      <c r="K560" s="212"/>
      <c r="L560" s="72" t="s">
        <v>1073</v>
      </c>
      <c r="M560" s="71">
        <v>76.05</v>
      </c>
      <c r="N560" s="688">
        <f>N559*M559/M560</f>
        <v>5.0603450202140727E-5</v>
      </c>
      <c r="O560" s="213"/>
    </row>
    <row r="561" spans="1:26" ht="15">
      <c r="A561" s="76" t="s">
        <v>1089</v>
      </c>
      <c r="B561" s="17"/>
      <c r="C561" s="17"/>
      <c r="D561" s="17"/>
      <c r="E561" s="643">
        <f>SUM(E559:E560)</f>
        <v>5.947856223213814E-4</v>
      </c>
      <c r="F561" s="157" t="s">
        <v>600</v>
      </c>
      <c r="G561" s="17">
        <f>AVERAGE(G559:G560)</f>
        <v>22.75</v>
      </c>
      <c r="H561" s="71">
        <f>G561*27154</f>
        <v>617753.5</v>
      </c>
      <c r="I561" s="71">
        <f>H561*0.00378541</f>
        <v>2338.450276435</v>
      </c>
      <c r="J561" s="71">
        <f>I561/4046.86</f>
        <v>0.57784313676158794</v>
      </c>
      <c r="K561" s="688">
        <f>J561*E563</f>
        <v>1.1079180583843809E-2</v>
      </c>
      <c r="L561" s="59"/>
      <c r="M561" s="214"/>
      <c r="N561" s="59"/>
      <c r="O561" s="148"/>
      <c r="Q561" s="148"/>
    </row>
    <row r="562" spans="1:26" s="92" customFormat="1" ht="60">
      <c r="A562" s="984" t="s">
        <v>1090</v>
      </c>
      <c r="B562" s="221"/>
      <c r="C562" s="644" t="s">
        <v>1091</v>
      </c>
      <c r="D562" s="215" t="s">
        <v>1092</v>
      </c>
      <c r="E562" s="641" t="s">
        <v>533</v>
      </c>
      <c r="F562" s="641" t="s">
        <v>543</v>
      </c>
      <c r="G562" s="641" t="s">
        <v>522</v>
      </c>
      <c r="H562" s="48" t="s">
        <v>535</v>
      </c>
      <c r="L562" s="317"/>
      <c r="M562" s="985"/>
      <c r="N562" s="317"/>
      <c r="O562" s="985"/>
      <c r="P562" s="317"/>
      <c r="Q562" s="985"/>
      <c r="R562" s="317"/>
    </row>
    <row r="563" spans="1:26" ht="12.75">
      <c r="A563" s="216" t="s">
        <v>1093</v>
      </c>
      <c r="B563" s="175"/>
      <c r="D563" s="175"/>
      <c r="E563">
        <f>1.91733359436178/100</f>
        <v>1.9173335943617798E-2</v>
      </c>
      <c r="F563">
        <f>31.3690942312712/100</f>
        <v>0.313690942312712</v>
      </c>
      <c r="G563">
        <f>K561</f>
        <v>1.1079180583843809E-2</v>
      </c>
      <c r="H563" s="164">
        <f>N560</f>
        <v>5.0603450202140727E-5</v>
      </c>
      <c r="Q563" s="148"/>
    </row>
    <row r="564" spans="1:26" ht="60">
      <c r="A564" s="216" t="s">
        <v>1094</v>
      </c>
      <c r="B564" s="175" t="s">
        <v>1095</v>
      </c>
      <c r="C564" s="14">
        <v>1</v>
      </c>
      <c r="D564" s="175">
        <v>361</v>
      </c>
      <c r="E564">
        <f>0.261188378181544/100</f>
        <v>2.6118837818154398E-3</v>
      </c>
      <c r="F564">
        <f>14.0322918843931/100</f>
        <v>0.140322918843931</v>
      </c>
      <c r="G564">
        <f>81/1000000</f>
        <v>8.1000000000000004E-5</v>
      </c>
      <c r="H564" s="3">
        <f>0.27/453.592</f>
        <v>5.9524859344962E-4</v>
      </c>
      <c r="Q564" s="148"/>
      <c r="T564" s="217"/>
      <c r="U564" s="640" t="s">
        <v>1096</v>
      </c>
      <c r="V564" s="174" t="s">
        <v>1097</v>
      </c>
      <c r="W564" s="641" t="s">
        <v>533</v>
      </c>
      <c r="X564" s="641" t="s">
        <v>543</v>
      </c>
      <c r="Y564" s="641" t="s">
        <v>522</v>
      </c>
      <c r="Z564" s="48" t="s">
        <v>535</v>
      </c>
    </row>
    <row r="565" spans="1:26" ht="12.75">
      <c r="A565" s="216"/>
      <c r="B565" s="175" t="s">
        <v>222</v>
      </c>
      <c r="C565" s="14">
        <v>0.83</v>
      </c>
      <c r="D565" s="175"/>
      <c r="E565">
        <f t="shared" ref="E565:H565" si="102">E564/$C565</f>
        <v>3.1468479298981202E-3</v>
      </c>
      <c r="F565">
        <f t="shared" si="102"/>
        <v>0.16906375764329037</v>
      </c>
      <c r="G565">
        <f t="shared" si="102"/>
        <v>9.759036144578314E-5</v>
      </c>
      <c r="H565" s="3">
        <f t="shared" si="102"/>
        <v>7.171669800597832E-4</v>
      </c>
      <c r="T565" s="62" t="s">
        <v>1098</v>
      </c>
      <c r="V565" s="175"/>
      <c r="W565">
        <v>2.6118837818154398E-3</v>
      </c>
      <c r="X565">
        <v>0.140322918843931</v>
      </c>
      <c r="Y565" s="14">
        <v>8.1000000000000004E-5</v>
      </c>
      <c r="Z565" s="3">
        <v>5.947856223213814E-4</v>
      </c>
    </row>
    <row r="566" spans="1:26" ht="12.75">
      <c r="A566" s="216"/>
      <c r="B566" s="175" t="s">
        <v>1099</v>
      </c>
      <c r="C566" s="14">
        <v>0.73399999999999999</v>
      </c>
      <c r="D566" s="175"/>
      <c r="E566">
        <f>0.2505536722/100</f>
        <v>2.5055367220000002E-3</v>
      </c>
      <c r="F566">
        <f>3.84598414141811/100</f>
        <v>3.8459841414181101E-2</v>
      </c>
      <c r="G566">
        <f t="shared" ref="G566:H566" si="103">G564/$C566</f>
        <v>1.1035422343324251E-4</v>
      </c>
      <c r="H566" s="3">
        <f t="shared" si="103"/>
        <v>8.109653861711444E-4</v>
      </c>
      <c r="T566" s="62" t="s">
        <v>321</v>
      </c>
      <c r="U566" s="14" t="s">
        <v>1100</v>
      </c>
      <c r="V566" s="175">
        <f>94/5</f>
        <v>18.8</v>
      </c>
      <c r="W566">
        <f t="shared" ref="W566:Z566" si="104">W565*$V566</f>
        <v>4.9103415098130272E-2</v>
      </c>
      <c r="X566">
        <f t="shared" si="104"/>
        <v>2.6380708742659027</v>
      </c>
      <c r="Y566">
        <f t="shared" si="104"/>
        <v>1.5228000000000002E-3</v>
      </c>
      <c r="Z566" s="3">
        <f t="shared" si="104"/>
        <v>1.1181969699641971E-2</v>
      </c>
    </row>
    <row r="567" spans="1:26" ht="12.75">
      <c r="A567" s="216"/>
      <c r="B567" s="175" t="s">
        <v>232</v>
      </c>
      <c r="C567" s="14">
        <v>0.83</v>
      </c>
      <c r="D567" s="175"/>
      <c r="E567">
        <f t="shared" ref="E567:H567" si="105">E564/$C567</f>
        <v>3.1468479298981202E-3</v>
      </c>
      <c r="F567">
        <f t="shared" si="105"/>
        <v>0.16906375764329037</v>
      </c>
      <c r="G567">
        <f t="shared" si="105"/>
        <v>9.759036144578314E-5</v>
      </c>
      <c r="H567" s="3">
        <f t="shared" si="105"/>
        <v>7.171669800597832E-4</v>
      </c>
      <c r="T567" s="62"/>
      <c r="U567" s="14" t="s">
        <v>1101</v>
      </c>
      <c r="V567" s="175">
        <f>94/3.86</f>
        <v>24.352331606217618</v>
      </c>
      <c r="W567">
        <f t="shared" ref="W567:Z567" si="106">W565*$V567</f>
        <v>6.360545997167133E-2</v>
      </c>
      <c r="X567">
        <f t="shared" si="106"/>
        <v>3.4171902516397705</v>
      </c>
      <c r="Y567">
        <f t="shared" si="106"/>
        <v>1.972538860103627E-3</v>
      </c>
      <c r="Z567" s="3">
        <f t="shared" si="106"/>
        <v>1.4484416709380792E-2</v>
      </c>
    </row>
    <row r="568" spans="1:26" ht="12.75">
      <c r="A568" s="216" t="s">
        <v>1102</v>
      </c>
      <c r="B568" s="175" t="s">
        <v>1103</v>
      </c>
      <c r="C568" s="14"/>
      <c r="D568" s="175">
        <v>538</v>
      </c>
      <c r="E568">
        <f t="shared" ref="E568:H568" si="107">E564*$D564/$D568</f>
        <v>1.752583727203297E-3</v>
      </c>
      <c r="F568">
        <f t="shared" si="107"/>
        <v>9.4157200190816151E-2</v>
      </c>
      <c r="G568">
        <f t="shared" si="107"/>
        <v>5.4351301115241636E-5</v>
      </c>
      <c r="H568" s="3">
        <f t="shared" si="107"/>
        <v>3.99414019024745E-4</v>
      </c>
      <c r="T568" s="62"/>
      <c r="U568" s="14" t="s">
        <v>1104</v>
      </c>
      <c r="V568" s="175"/>
      <c r="Z568" s="3">
        <f>0.12/453.592</f>
        <v>2.6455493042205327E-4</v>
      </c>
    </row>
    <row r="569" spans="1:26" ht="12.75">
      <c r="A569" s="218"/>
      <c r="B569" s="176" t="s">
        <v>220</v>
      </c>
      <c r="C569" s="617">
        <v>0.05</v>
      </c>
      <c r="D569" s="176"/>
      <c r="E569" s="617">
        <f t="shared" ref="E569:H569" si="108">E564*$C569</f>
        <v>1.30594189090772E-4</v>
      </c>
      <c r="F569" s="617">
        <f t="shared" si="108"/>
        <v>7.0161459421965505E-3</v>
      </c>
      <c r="G569" s="617">
        <f t="shared" si="108"/>
        <v>4.0500000000000002E-6</v>
      </c>
      <c r="H569" s="5">
        <f t="shared" si="108"/>
        <v>2.9762429672481003E-5</v>
      </c>
      <c r="I569" s="10"/>
      <c r="T569" s="62"/>
      <c r="U569" s="14"/>
      <c r="V569" s="175"/>
      <c r="Z569" s="3"/>
    </row>
    <row r="570" spans="1:26" ht="12.75">
      <c r="A570" s="14" t="s">
        <v>538</v>
      </c>
      <c r="B570" s="14" t="s">
        <v>570</v>
      </c>
      <c r="I570" s="10"/>
      <c r="T570" s="63"/>
      <c r="U570" s="617" t="s">
        <v>1105</v>
      </c>
      <c r="V570" s="176"/>
      <c r="W570" s="617"/>
      <c r="X570" s="617"/>
      <c r="Y570" s="617">
        <f>171/1000000</f>
        <v>1.7100000000000001E-4</v>
      </c>
      <c r="Z570" s="5"/>
    </row>
    <row r="571" spans="1:26" ht="12.75">
      <c r="B571" s="14" t="s">
        <v>642</v>
      </c>
      <c r="I571" s="14"/>
    </row>
    <row r="572" spans="1:26" ht="12.75">
      <c r="B572" s="14" t="s">
        <v>867</v>
      </c>
      <c r="I572" s="14"/>
    </row>
    <row r="573" spans="1:26" ht="12.75">
      <c r="B573" s="14" t="s">
        <v>1106</v>
      </c>
      <c r="I573" s="14"/>
    </row>
    <row r="574" spans="1:26" ht="12.75">
      <c r="B574" s="14" t="s">
        <v>1107</v>
      </c>
      <c r="I574" s="14"/>
    </row>
    <row r="575" spans="1:26" ht="12.75">
      <c r="B575" s="655" t="s">
        <v>1108</v>
      </c>
      <c r="I575" s="14"/>
    </row>
    <row r="576" spans="1:26" ht="12.75">
      <c r="B576" s="66" t="s">
        <v>1109</v>
      </c>
      <c r="I576" s="14"/>
    </row>
    <row r="577" spans="1:9" ht="12.75">
      <c r="B577" s="14" t="s">
        <v>1110</v>
      </c>
    </row>
    <row r="580" spans="1:9" s="92" customFormat="1" ht="75">
      <c r="A580" s="52" t="s">
        <v>1111</v>
      </c>
      <c r="B580" s="644" t="s">
        <v>681</v>
      </c>
      <c r="C580" s="644" t="s">
        <v>532</v>
      </c>
      <c r="D580" s="641" t="s">
        <v>533</v>
      </c>
      <c r="E580" s="641" t="s">
        <v>543</v>
      </c>
      <c r="F580" s="641" t="s">
        <v>720</v>
      </c>
      <c r="G580" s="219" t="s">
        <v>535</v>
      </c>
    </row>
    <row r="581" spans="1:9" ht="12.75">
      <c r="A581" s="62" t="s">
        <v>1112</v>
      </c>
      <c r="B581" s="14">
        <v>379</v>
      </c>
      <c r="C581" s="14"/>
      <c r="D581">
        <f>0.76594132480303/100</f>
        <v>7.6594132480302998E-3</v>
      </c>
      <c r="E581">
        <f>25.4521590720248/100</f>
        <v>0.25452159072024799</v>
      </c>
      <c r="F581">
        <f>245/1000000</f>
        <v>2.4499999999999999E-4</v>
      </c>
      <c r="G581" s="164">
        <f>0.14/453.592</f>
        <v>3.0864741882572887E-4</v>
      </c>
    </row>
    <row r="582" spans="1:9" ht="12.75">
      <c r="A582" s="62" t="s">
        <v>250</v>
      </c>
      <c r="B582" s="14">
        <v>71</v>
      </c>
      <c r="C582" s="14">
        <f>B582/B581</f>
        <v>0.18733509234828497</v>
      </c>
      <c r="D582" s="14">
        <f t="shared" ref="D582:G582" si="109">D581*$C582</f>
        <v>1.4348768881534335E-3</v>
      </c>
      <c r="E582" s="14">
        <f t="shared" si="109"/>
        <v>4.768082570221005E-2</v>
      </c>
      <c r="F582" s="14">
        <f t="shared" si="109"/>
        <v>4.5897097625329815E-5</v>
      </c>
      <c r="G582" s="3">
        <f t="shared" si="109"/>
        <v>5.7820492708777707E-5</v>
      </c>
    </row>
    <row r="583" spans="1:9" ht="12.75">
      <c r="A583" s="62" t="s">
        <v>1113</v>
      </c>
      <c r="B583" s="14"/>
      <c r="C583" s="14">
        <v>0.05</v>
      </c>
      <c r="D583" s="14">
        <f t="shared" ref="D583:G583" si="110">D581*$C583</f>
        <v>3.8297066240151499E-4</v>
      </c>
      <c r="E583" s="14">
        <f t="shared" si="110"/>
        <v>1.2726079536012401E-2</v>
      </c>
      <c r="F583" s="14">
        <f t="shared" si="110"/>
        <v>1.225E-5</v>
      </c>
      <c r="G583" s="3">
        <f t="shared" si="110"/>
        <v>1.5432370941286443E-5</v>
      </c>
    </row>
    <row r="584" spans="1:9" ht="12.75">
      <c r="A584" s="63" t="s">
        <v>1114</v>
      </c>
      <c r="B584" s="617"/>
      <c r="C584" s="617">
        <v>0.05</v>
      </c>
      <c r="D584" s="617">
        <f t="shared" ref="D584:G584" si="111">D581*$C584</f>
        <v>3.8297066240151499E-4</v>
      </c>
      <c r="E584" s="617">
        <f t="shared" si="111"/>
        <v>1.2726079536012401E-2</v>
      </c>
      <c r="F584" s="617">
        <f t="shared" si="111"/>
        <v>1.225E-5</v>
      </c>
      <c r="G584" s="5">
        <f t="shared" si="111"/>
        <v>1.5432370941286443E-5</v>
      </c>
    </row>
    <row r="585" spans="1:9" ht="12.75">
      <c r="A585" s="14" t="s">
        <v>538</v>
      </c>
      <c r="B585" s="14" t="s">
        <v>570</v>
      </c>
    </row>
    <row r="586" spans="1:9" ht="12.75">
      <c r="B586" s="14" t="s">
        <v>1115</v>
      </c>
    </row>
    <row r="587" spans="1:9" ht="12.75">
      <c r="B587" s="655" t="s">
        <v>1116</v>
      </c>
    </row>
    <row r="588" spans="1:9" ht="12.75">
      <c r="B588" s="655" t="s">
        <v>1117</v>
      </c>
    </row>
    <row r="589" spans="1:9" ht="12.75">
      <c r="B589" s="655" t="s">
        <v>1118</v>
      </c>
    </row>
    <row r="590" spans="1:9" ht="12.75">
      <c r="B590" s="14"/>
      <c r="G590" s="148"/>
      <c r="H590" s="220"/>
      <c r="I590" s="14"/>
    </row>
    <row r="591" spans="1:9" ht="12.75">
      <c r="B591" s="14"/>
      <c r="G591" s="88"/>
      <c r="H591" s="107"/>
    </row>
    <row r="592" spans="1:9" s="92" customFormat="1" ht="51.75">
      <c r="A592" s="52" t="s">
        <v>1119</v>
      </c>
      <c r="B592" s="644" t="s">
        <v>732</v>
      </c>
      <c r="C592" s="986" t="s">
        <v>667</v>
      </c>
      <c r="D592" s="221" t="s">
        <v>1120</v>
      </c>
      <c r="E592" s="685" t="s">
        <v>533</v>
      </c>
      <c r="F592" s="685" t="s">
        <v>543</v>
      </c>
      <c r="G592" s="685" t="s">
        <v>522</v>
      </c>
      <c r="H592" s="291" t="s">
        <v>535</v>
      </c>
    </row>
    <row r="593" spans="1:19" ht="12.75">
      <c r="A593" s="62" t="s">
        <v>1121</v>
      </c>
      <c r="C593" s="14">
        <v>1</v>
      </c>
      <c r="D593" s="175"/>
      <c r="E593">
        <f>E594*C594/C593</f>
        <v>1.6724167644131568E-3</v>
      </c>
      <c r="F593">
        <f>F594*C594/C593</f>
        <v>0.11334899568240431</v>
      </c>
      <c r="G593">
        <f>341/1000000</f>
        <v>3.4099999999999999E-4</v>
      </c>
      <c r="H593" s="3">
        <f>0.69/453.592</f>
        <v>1.5211908499268064E-3</v>
      </c>
    </row>
    <row r="594" spans="1:19" ht="12.75">
      <c r="A594" s="62" t="s">
        <v>1122</v>
      </c>
      <c r="B594" s="14">
        <v>365</v>
      </c>
      <c r="C594" s="14">
        <v>0.7</v>
      </c>
      <c r="D594" s="175"/>
      <c r="E594" s="220">
        <f>0.238916680630451/100</f>
        <v>2.38916680630451E-3</v>
      </c>
      <c r="F594" s="220">
        <f>16.1927136689149/100</f>
        <v>0.16192713668914901</v>
      </c>
      <c r="G594" s="220">
        <f>G593*C593/C594</f>
        <v>4.8714285714285716E-4</v>
      </c>
      <c r="H594" s="3">
        <f>1.07/453.592</f>
        <v>2.358948129596642E-3</v>
      </c>
    </row>
    <row r="595" spans="1:19" ht="12.75">
      <c r="A595" s="62" t="s">
        <v>1123</v>
      </c>
      <c r="B595" s="14">
        <v>68.44</v>
      </c>
      <c r="D595" s="175">
        <f>B594/B595</f>
        <v>5.3331385154880193</v>
      </c>
      <c r="E595" s="14">
        <f t="shared" ref="E595:H595" si="112">E594/$D595</f>
        <v>4.4798514033830313E-4</v>
      </c>
      <c r="F595" s="14">
        <f t="shared" si="112"/>
        <v>3.0362447219192758E-2</v>
      </c>
      <c r="G595" s="14">
        <f t="shared" si="112"/>
        <v>9.1342622309197643E-5</v>
      </c>
      <c r="H595" s="3">
        <f t="shared" si="112"/>
        <v>4.4231893147834018E-4</v>
      </c>
    </row>
    <row r="596" spans="1:19" ht="12.75">
      <c r="A596" s="62" t="s">
        <v>1124</v>
      </c>
      <c r="B596" s="14">
        <v>366</v>
      </c>
      <c r="C596" s="14">
        <v>0.7</v>
      </c>
      <c r="D596" s="175"/>
      <c r="E596">
        <f t="shared" ref="E596:H596" si="113">E594</f>
        <v>2.38916680630451E-3</v>
      </c>
      <c r="F596">
        <f t="shared" si="113"/>
        <v>0.16192713668914901</v>
      </c>
      <c r="G596">
        <f t="shared" si="113"/>
        <v>4.8714285714285716E-4</v>
      </c>
      <c r="H596" s="3">
        <f t="shared" si="113"/>
        <v>2.358948129596642E-3</v>
      </c>
      <c r="I596" s="148"/>
    </row>
    <row r="597" spans="1:19" ht="12.75">
      <c r="A597" s="62" t="s">
        <v>1125</v>
      </c>
      <c r="B597" s="14">
        <v>402</v>
      </c>
      <c r="D597" s="175">
        <f>B594/B597</f>
        <v>0.90796019900497515</v>
      </c>
      <c r="E597">
        <f t="shared" ref="E597:H597" si="114">E594*$B597/$B594</f>
        <v>2.6313563181764739E-3</v>
      </c>
      <c r="F597">
        <f t="shared" si="114"/>
        <v>0.17834166835352852</v>
      </c>
      <c r="G597">
        <f t="shared" si="114"/>
        <v>5.365244618395303E-4</v>
      </c>
      <c r="H597" s="3">
        <f t="shared" si="114"/>
        <v>2.5980743783502744E-3</v>
      </c>
    </row>
    <row r="598" spans="1:19" ht="12.75">
      <c r="A598" s="62" t="s">
        <v>1126</v>
      </c>
      <c r="B598" s="14">
        <v>367</v>
      </c>
      <c r="C598" s="14">
        <v>0.8</v>
      </c>
      <c r="D598" s="175"/>
      <c r="E598">
        <f t="shared" ref="E598:G598" si="115">E593*$C593/$C598</f>
        <v>2.0905209555164457E-3</v>
      </c>
      <c r="F598">
        <f t="shared" si="115"/>
        <v>0.14168624460300538</v>
      </c>
      <c r="G598">
        <f t="shared" si="115"/>
        <v>4.2624999999999998E-4</v>
      </c>
      <c r="H598" s="3">
        <f>0.98/453.592</f>
        <v>2.1605319317801021E-3</v>
      </c>
    </row>
    <row r="599" spans="1:19" ht="15">
      <c r="A599" s="62" t="s">
        <v>1127</v>
      </c>
      <c r="B599" s="14">
        <v>123</v>
      </c>
      <c r="D599" s="175">
        <f>B598/B599</f>
        <v>2.9837398373983741</v>
      </c>
      <c r="E599" s="14">
        <f t="shared" ref="E599:H599" si="116">E598/$D599</f>
        <v>7.0063781342921748E-4</v>
      </c>
      <c r="F599" s="14">
        <f t="shared" si="116"/>
        <v>4.7486125575394174E-2</v>
      </c>
      <c r="G599" s="14">
        <f t="shared" si="116"/>
        <v>1.428576294277929E-4</v>
      </c>
      <c r="H599" s="3">
        <f t="shared" si="116"/>
        <v>7.2410198258570182E-4</v>
      </c>
      <c r="I599" s="64"/>
      <c r="J599" s="64"/>
      <c r="K599" s="64"/>
      <c r="L599" s="64"/>
      <c r="M599" s="148"/>
    </row>
    <row r="600" spans="1:19" ht="12.75">
      <c r="A600" s="63" t="s">
        <v>254</v>
      </c>
      <c r="B600" s="617"/>
      <c r="C600" s="617">
        <v>0.05</v>
      </c>
      <c r="D600" s="176"/>
      <c r="E600" s="617">
        <f t="shared" ref="E600:H600" si="117">E593*0.05</f>
        <v>8.3620838220657844E-5</v>
      </c>
      <c r="F600" s="617">
        <f t="shared" si="117"/>
        <v>5.6674497841202156E-3</v>
      </c>
      <c r="G600" s="617">
        <f t="shared" si="117"/>
        <v>1.7050000000000001E-5</v>
      </c>
      <c r="H600" s="5">
        <f t="shared" si="117"/>
        <v>7.6059542496340328E-5</v>
      </c>
      <c r="J600" s="222"/>
      <c r="K600" s="222"/>
      <c r="L600" s="724"/>
      <c r="M600" s="222"/>
      <c r="N600" s="148"/>
    </row>
    <row r="601" spans="1:19" ht="12.75">
      <c r="A601" s="14" t="s">
        <v>538</v>
      </c>
      <c r="B601" s="14" t="s">
        <v>570</v>
      </c>
      <c r="H601" s="14"/>
      <c r="L601" s="39"/>
    </row>
    <row r="602" spans="1:19" ht="12.75">
      <c r="B602" s="14" t="s">
        <v>642</v>
      </c>
    </row>
    <row r="603" spans="1:19" ht="12.75">
      <c r="B603" s="14" t="s">
        <v>867</v>
      </c>
    </row>
    <row r="604" spans="1:19" ht="15">
      <c r="B604" s="14" t="s">
        <v>1128</v>
      </c>
      <c r="H604" s="148"/>
      <c r="N604" s="81"/>
      <c r="O604" s="64"/>
      <c r="P604" s="64"/>
      <c r="Q604" s="64"/>
      <c r="R604" s="64"/>
      <c r="S604" s="14"/>
    </row>
    <row r="605" spans="1:19" ht="12.75">
      <c r="B605" s="223" t="s">
        <v>1129</v>
      </c>
      <c r="H605" s="14"/>
    </row>
    <row r="606" spans="1:19" ht="12.75">
      <c r="B606" s="655" t="s">
        <v>1130</v>
      </c>
      <c r="H606" s="14"/>
      <c r="S606" s="14"/>
    </row>
    <row r="607" spans="1:19" ht="12.75">
      <c r="A607" s="14"/>
      <c r="B607" s="14" t="s">
        <v>361</v>
      </c>
    </row>
    <row r="610" spans="1:12" s="92" customFormat="1" ht="51.75">
      <c r="A610" s="52" t="s">
        <v>1131</v>
      </c>
      <c r="B610" s="685" t="s">
        <v>533</v>
      </c>
      <c r="C610" s="685" t="s">
        <v>543</v>
      </c>
      <c r="D610" s="685" t="s">
        <v>522</v>
      </c>
      <c r="E610" s="291" t="s">
        <v>535</v>
      </c>
      <c r="L610" s="987"/>
    </row>
    <row r="611" spans="1:12" ht="12.75">
      <c r="A611" s="201"/>
      <c r="B611" s="725">
        <f>0.841885769658752/100</f>
        <v>8.4188576965875186E-3</v>
      </c>
      <c r="C611" s="725">
        <f>3.7019919874173/100</f>
        <v>3.7019919874172996E-2</v>
      </c>
      <c r="D611" s="726">
        <f>25/1000000</f>
        <v>2.5000000000000001E-5</v>
      </c>
      <c r="E611" s="224">
        <f>0.11/453.592</f>
        <v>2.4250868622021553E-4</v>
      </c>
    </row>
    <row r="612" spans="1:12" ht="12.75">
      <c r="A612" s="14" t="s">
        <v>538</v>
      </c>
      <c r="B612" s="14" t="s">
        <v>570</v>
      </c>
    </row>
    <row r="613" spans="1:12" ht="12.75">
      <c r="B613" s="14" t="s">
        <v>1132</v>
      </c>
      <c r="I613" s="225"/>
    </row>
    <row r="614" spans="1:12" ht="12.75">
      <c r="B614" s="655" t="s">
        <v>1133</v>
      </c>
    </row>
    <row r="617" spans="1:12" s="92" customFormat="1" ht="25.5">
      <c r="A617" s="315" t="s">
        <v>1134</v>
      </c>
      <c r="B617" s="202"/>
      <c r="C617" s="202"/>
      <c r="D617" s="208" t="s">
        <v>1135</v>
      </c>
      <c r="E617" s="202"/>
      <c r="F617" s="209"/>
      <c r="G617" s="208" t="s">
        <v>1136</v>
      </c>
      <c r="H617" s="202"/>
      <c r="I617" s="202"/>
      <c r="J617" s="202"/>
      <c r="K617" s="209"/>
    </row>
    <row r="618" spans="1:12" s="92" customFormat="1" ht="51">
      <c r="A618" s="674"/>
      <c r="B618" s="74" t="s">
        <v>1137</v>
      </c>
      <c r="C618" s="74" t="s">
        <v>809</v>
      </c>
      <c r="D618" s="674"/>
      <c r="E618" s="74" t="s">
        <v>1138</v>
      </c>
      <c r="F618" s="75" t="s">
        <v>1139</v>
      </c>
      <c r="G618" s="965"/>
      <c r="H618" s="74" t="s">
        <v>1140</v>
      </c>
      <c r="I618" s="74" t="s">
        <v>1141</v>
      </c>
      <c r="J618" s="74"/>
      <c r="K618" s="75"/>
    </row>
    <row r="619" spans="1:12" ht="12.75">
      <c r="A619" s="76" t="s">
        <v>1142</v>
      </c>
      <c r="B619" s="17">
        <v>0.16</v>
      </c>
      <c r="C619" s="17">
        <f t="shared" ref="C619:C624" si="118">B619/453.592</f>
        <v>3.5273990722940442E-4</v>
      </c>
      <c r="D619" s="226" t="s">
        <v>1143</v>
      </c>
      <c r="E619" s="123">
        <v>15.4</v>
      </c>
      <c r="F619" s="124"/>
      <c r="G619" s="226" t="s">
        <v>1144</v>
      </c>
      <c r="H619" s="17">
        <v>3.5</v>
      </c>
      <c r="I619" s="17"/>
      <c r="J619" s="17"/>
      <c r="K619" s="77"/>
    </row>
    <row r="620" spans="1:12" ht="12.75">
      <c r="A620" s="727" t="s">
        <v>1145</v>
      </c>
      <c r="B620" s="659">
        <v>0.15</v>
      </c>
      <c r="C620" s="659">
        <f t="shared" si="118"/>
        <v>3.3069366302756662E-4</v>
      </c>
      <c r="D620" s="227" t="s">
        <v>1146</v>
      </c>
      <c r="E620" s="228">
        <v>12.61</v>
      </c>
      <c r="F620" s="124"/>
      <c r="G620" s="76" t="s">
        <v>1147</v>
      </c>
      <c r="H620" s="17">
        <v>23.4</v>
      </c>
      <c r="I620" s="17"/>
      <c r="J620" s="17"/>
      <c r="K620" s="77"/>
    </row>
    <row r="621" spans="1:12" ht="12.75">
      <c r="A621" s="76" t="s">
        <v>1148</v>
      </c>
      <c r="B621" s="17">
        <v>0.14000000000000001</v>
      </c>
      <c r="C621" s="17">
        <f t="shared" si="118"/>
        <v>3.0864741882572887E-4</v>
      </c>
      <c r="D621" s="226" t="s">
        <v>1149</v>
      </c>
      <c r="E621" s="123">
        <v>10.35</v>
      </c>
      <c r="F621" s="124"/>
      <c r="G621" s="76" t="s">
        <v>1150</v>
      </c>
      <c r="H621" s="17">
        <v>20.399999999999999</v>
      </c>
      <c r="I621" s="17"/>
      <c r="J621" s="17"/>
      <c r="K621" s="77"/>
    </row>
    <row r="622" spans="1:12" ht="12.75">
      <c r="A622" s="226" t="s">
        <v>1151</v>
      </c>
      <c r="B622" s="17">
        <v>0.14000000000000001</v>
      </c>
      <c r="C622" s="17">
        <f t="shared" si="118"/>
        <v>3.0864741882572887E-4</v>
      </c>
      <c r="D622" s="226" t="s">
        <v>1152</v>
      </c>
      <c r="E622" s="228">
        <v>11.31</v>
      </c>
      <c r="F622" s="124"/>
      <c r="G622" s="76"/>
      <c r="H622" s="17"/>
      <c r="I622" s="16"/>
      <c r="J622" s="17"/>
      <c r="K622" s="77"/>
    </row>
    <row r="623" spans="1:12" ht="12.75">
      <c r="A623" s="226" t="s">
        <v>1153</v>
      </c>
      <c r="B623" s="17">
        <v>0.12</v>
      </c>
      <c r="C623" s="17">
        <f t="shared" si="118"/>
        <v>2.6455493042205327E-4</v>
      </c>
      <c r="D623" s="229" t="s">
        <v>1154</v>
      </c>
      <c r="E623" s="230">
        <v>10.69</v>
      </c>
      <c r="F623" s="231"/>
      <c r="G623" s="76" t="s">
        <v>1155</v>
      </c>
      <c r="H623" s="17">
        <f>SUM(H619:H620)</f>
        <v>26.9</v>
      </c>
      <c r="I623" s="17"/>
      <c r="J623" s="17"/>
      <c r="K623" s="77"/>
    </row>
    <row r="624" spans="1:12" ht="12.75">
      <c r="A624" s="226" t="s">
        <v>1156</v>
      </c>
      <c r="B624" s="17">
        <v>0.1</v>
      </c>
      <c r="C624" s="17">
        <f t="shared" si="118"/>
        <v>2.2046244201837776E-4</v>
      </c>
      <c r="D624" s="76" t="s">
        <v>1157</v>
      </c>
      <c r="E624" s="17">
        <f>AVERAGE(E619:E623)</f>
        <v>12.071999999999999</v>
      </c>
      <c r="F624" s="77"/>
      <c r="G624" s="76"/>
      <c r="H624" s="17"/>
      <c r="I624" s="17"/>
      <c r="J624" s="17"/>
      <c r="K624" s="77"/>
    </row>
    <row r="625" spans="1:13" ht="12.75">
      <c r="A625" s="76" t="s">
        <v>600</v>
      </c>
      <c r="B625" s="17">
        <f t="shared" ref="B625:C625" si="119">AVERAGE(B619:B624)</f>
        <v>0.13500000000000001</v>
      </c>
      <c r="C625" s="17">
        <f t="shared" si="119"/>
        <v>2.9762429672480995E-4</v>
      </c>
      <c r="D625" s="226" t="s">
        <v>1158</v>
      </c>
      <c r="E625" s="228">
        <v>75.16</v>
      </c>
      <c r="F625" s="77"/>
      <c r="G625" s="76" t="s">
        <v>1159</v>
      </c>
      <c r="H625" s="17">
        <f>SUM(H619:H621)</f>
        <v>47.3</v>
      </c>
      <c r="I625" s="17"/>
      <c r="J625" s="17"/>
      <c r="K625" s="77"/>
    </row>
    <row r="626" spans="1:13" ht="12.75">
      <c r="A626" s="76"/>
      <c r="B626" s="17"/>
      <c r="C626" s="17"/>
      <c r="D626" s="226"/>
      <c r="E626" s="228"/>
      <c r="F626" s="643">
        <f>E625/E624</f>
        <v>6.2259774685222</v>
      </c>
      <c r="G626" s="203"/>
      <c r="H626" s="71"/>
      <c r="I626" s="71">
        <f>H625/H623</f>
        <v>1.758364312267658</v>
      </c>
      <c r="J626" s="71"/>
      <c r="K626" s="73"/>
    </row>
    <row r="627" spans="1:13" s="92" customFormat="1" ht="60">
      <c r="A627" s="52" t="s">
        <v>1160</v>
      </c>
      <c r="B627" s="644" t="s">
        <v>532</v>
      </c>
      <c r="C627" s="641" t="s">
        <v>533</v>
      </c>
      <c r="D627" s="641" t="s">
        <v>543</v>
      </c>
      <c r="E627" s="641" t="s">
        <v>720</v>
      </c>
      <c r="F627" s="219" t="s">
        <v>535</v>
      </c>
    </row>
    <row r="628" spans="1:13" ht="12.75">
      <c r="A628" s="232" t="s">
        <v>1161</v>
      </c>
      <c r="C628">
        <f t="shared" ref="C628:C632" si="120">0.508519300361882/100</f>
        <v>5.0851930036188197E-3</v>
      </c>
      <c r="D628">
        <f t="shared" ref="D628:D632" si="121">5.99954177306409/100</f>
        <v>5.9995417730640897E-2</v>
      </c>
      <c r="E628">
        <f t="shared" ref="E628:E632" si="122">347/1000000</f>
        <v>3.4699999999999998E-4</v>
      </c>
      <c r="F628" s="164">
        <f>C625</f>
        <v>2.9762429672480995E-4</v>
      </c>
    </row>
    <row r="629" spans="1:13" ht="16.5">
      <c r="A629" s="232" t="s">
        <v>233</v>
      </c>
      <c r="B629" s="14" t="s">
        <v>1162</v>
      </c>
      <c r="C629">
        <f t="shared" si="120"/>
        <v>5.0851930036188197E-3</v>
      </c>
      <c r="D629">
        <f t="shared" si="121"/>
        <v>5.9995417730640897E-2</v>
      </c>
      <c r="E629">
        <f t="shared" si="122"/>
        <v>3.4699999999999998E-4</v>
      </c>
      <c r="F629" s="3">
        <v>2.9762429672480995E-4</v>
      </c>
      <c r="K629" s="233"/>
      <c r="L629" s="234"/>
      <c r="M629" s="235"/>
    </row>
    <row r="630" spans="1:13" ht="16.5">
      <c r="A630" s="232" t="s">
        <v>1163</v>
      </c>
      <c r="B630" s="14" t="s">
        <v>1162</v>
      </c>
      <c r="C630">
        <f t="shared" si="120"/>
        <v>5.0851930036188197E-3</v>
      </c>
      <c r="D630">
        <f t="shared" si="121"/>
        <v>5.9995417730640897E-2</v>
      </c>
      <c r="E630">
        <f t="shared" si="122"/>
        <v>3.4699999999999998E-4</v>
      </c>
      <c r="F630" s="3">
        <v>2.9762429672480995E-4</v>
      </c>
      <c r="K630" s="233"/>
      <c r="L630" s="234"/>
      <c r="M630" s="235"/>
    </row>
    <row r="631" spans="1:13" ht="16.5">
      <c r="A631" s="232" t="s">
        <v>1164</v>
      </c>
      <c r="B631" s="14" t="s">
        <v>1162</v>
      </c>
      <c r="C631">
        <f t="shared" si="120"/>
        <v>5.0851930036188197E-3</v>
      </c>
      <c r="D631">
        <f t="shared" si="121"/>
        <v>5.9995417730640897E-2</v>
      </c>
      <c r="E631">
        <f t="shared" si="122"/>
        <v>3.4699999999999998E-4</v>
      </c>
      <c r="F631" s="3">
        <v>2.9762429672480995E-4</v>
      </c>
      <c r="K631" s="233"/>
      <c r="L631" s="234"/>
      <c r="M631" s="235"/>
    </row>
    <row r="632" spans="1:13" ht="16.5">
      <c r="A632" s="236" t="s">
        <v>282</v>
      </c>
      <c r="B632" s="14" t="s">
        <v>1162</v>
      </c>
      <c r="C632">
        <f t="shared" si="120"/>
        <v>5.0851930036188197E-3</v>
      </c>
      <c r="D632">
        <f t="shared" si="121"/>
        <v>5.9995417730640897E-2</v>
      </c>
      <c r="E632">
        <f t="shared" si="122"/>
        <v>3.4699999999999998E-4</v>
      </c>
      <c r="F632" s="3">
        <v>2.9762429672480995E-4</v>
      </c>
      <c r="K632" s="233"/>
      <c r="L632" s="234"/>
      <c r="M632" s="235"/>
    </row>
    <row r="633" spans="1:13" ht="16.5">
      <c r="A633" s="232" t="s">
        <v>241</v>
      </c>
      <c r="B633">
        <f>F626</f>
        <v>6.2259774685222</v>
      </c>
      <c r="C633">
        <f t="shared" ref="C633:F633" si="123">C628*$B633</f>
        <v>3.1660297063617504E-2</v>
      </c>
      <c r="D633">
        <f t="shared" si="123"/>
        <v>0.3735301190055475</v>
      </c>
      <c r="E633">
        <f t="shared" si="123"/>
        <v>2.1604141815772032E-3</v>
      </c>
      <c r="F633" s="3">
        <f t="shared" si="123"/>
        <v>1.8530021654934324E-3</v>
      </c>
      <c r="K633" s="233"/>
      <c r="L633" s="234"/>
      <c r="M633" s="235"/>
    </row>
    <row r="634" spans="1:13" ht="16.5">
      <c r="A634" s="62" t="s">
        <v>1165</v>
      </c>
      <c r="B634">
        <f>F626</f>
        <v>6.2259774685222</v>
      </c>
      <c r="C634">
        <f t="shared" ref="C634:F634" si="124">C628*$B634</f>
        <v>3.1660297063617504E-2</v>
      </c>
      <c r="D634">
        <f t="shared" si="124"/>
        <v>0.3735301190055475</v>
      </c>
      <c r="E634">
        <f t="shared" si="124"/>
        <v>2.1604141815772032E-3</v>
      </c>
      <c r="F634" s="3">
        <f t="shared" si="124"/>
        <v>1.8530021654934324E-3</v>
      </c>
      <c r="K634" s="233"/>
      <c r="L634" s="234"/>
      <c r="M634" s="235"/>
    </row>
    <row r="635" spans="1:13" ht="16.5">
      <c r="A635" s="62" t="s">
        <v>214</v>
      </c>
      <c r="B635" s="14">
        <v>0.05</v>
      </c>
      <c r="C635">
        <f t="shared" ref="C635:F635" si="125">C628*$B635</f>
        <v>2.5425965018094099E-4</v>
      </c>
      <c r="D635">
        <f t="shared" si="125"/>
        <v>2.999770886532045E-3</v>
      </c>
      <c r="E635">
        <f t="shared" si="125"/>
        <v>1.7349999999999998E-5</v>
      </c>
      <c r="F635" s="3">
        <f t="shared" si="125"/>
        <v>1.4881214836240498E-5</v>
      </c>
      <c r="K635" s="233"/>
      <c r="L635" s="234"/>
      <c r="M635" s="235"/>
    </row>
    <row r="636" spans="1:13" ht="12.75">
      <c r="A636" s="62" t="s">
        <v>238</v>
      </c>
      <c r="B636" s="14">
        <v>0.05</v>
      </c>
      <c r="C636">
        <f t="shared" ref="C636:F636" si="126">C628*$B636</f>
        <v>2.5425965018094099E-4</v>
      </c>
      <c r="D636">
        <f t="shared" si="126"/>
        <v>2.999770886532045E-3</v>
      </c>
      <c r="E636">
        <f t="shared" si="126"/>
        <v>1.7349999999999998E-5</v>
      </c>
      <c r="F636" s="3">
        <f t="shared" si="126"/>
        <v>1.4881214836240498E-5</v>
      </c>
    </row>
    <row r="637" spans="1:13" ht="12.75">
      <c r="A637" s="62" t="s">
        <v>1166</v>
      </c>
      <c r="B637" s="14">
        <v>0.05</v>
      </c>
      <c r="C637">
        <f t="shared" ref="C637:F637" si="127">C628*$B637</f>
        <v>2.5425965018094099E-4</v>
      </c>
      <c r="D637">
        <f t="shared" si="127"/>
        <v>2.999770886532045E-3</v>
      </c>
      <c r="E637">
        <f t="shared" si="127"/>
        <v>1.7349999999999998E-5</v>
      </c>
      <c r="F637" s="3">
        <f t="shared" si="127"/>
        <v>1.4881214836240498E-5</v>
      </c>
    </row>
    <row r="638" spans="1:13" ht="12.75">
      <c r="A638" s="62" t="s">
        <v>275</v>
      </c>
      <c r="B638" s="237">
        <f>I626</f>
        <v>1.758364312267658</v>
      </c>
      <c r="C638">
        <f t="shared" ref="C638:F638" si="128">C628*$B638</f>
        <v>8.9416218985565125E-3</v>
      </c>
      <c r="D638">
        <f t="shared" si="128"/>
        <v>0.10549380143714923</v>
      </c>
      <c r="E638">
        <f t="shared" si="128"/>
        <v>6.1015241635687723E-4</v>
      </c>
      <c r="F638" s="3">
        <f t="shared" si="128"/>
        <v>5.2333194182466582E-4</v>
      </c>
    </row>
    <row r="639" spans="1:13" ht="12.75">
      <c r="A639" s="62" t="s">
        <v>236</v>
      </c>
      <c r="B639" s="14" t="s">
        <v>1162</v>
      </c>
      <c r="C639">
        <f t="shared" ref="C639:C640" si="129">0.508519300361882/100</f>
        <v>5.0851930036188197E-3</v>
      </c>
      <c r="D639">
        <f t="shared" ref="D639:D640" si="130">5.99954177306409/100</f>
        <v>5.9995417730640897E-2</v>
      </c>
      <c r="E639">
        <f t="shared" ref="E639:E640" si="131">347/1000000</f>
        <v>3.4699999999999998E-4</v>
      </c>
      <c r="F639" s="3">
        <v>2.9762429672480995E-4</v>
      </c>
    </row>
    <row r="640" spans="1:13" ht="12.75">
      <c r="A640" s="63" t="s">
        <v>273</v>
      </c>
      <c r="B640" s="617" t="s">
        <v>1162</v>
      </c>
      <c r="C640" s="617">
        <f t="shared" si="129"/>
        <v>5.0851930036188197E-3</v>
      </c>
      <c r="D640" s="617">
        <f t="shared" si="130"/>
        <v>5.9995417730640897E-2</v>
      </c>
      <c r="E640" s="617">
        <f t="shared" si="131"/>
        <v>3.4699999999999998E-4</v>
      </c>
      <c r="F640" s="5">
        <f>AVERAGE(F634:F639)</f>
        <v>4.5310034142527164E-4</v>
      </c>
    </row>
    <row r="641" spans="1:66" ht="12.75">
      <c r="A641" s="24" t="s">
        <v>538</v>
      </c>
      <c r="B641" s="14" t="s">
        <v>570</v>
      </c>
    </row>
    <row r="642" spans="1:66" ht="12.75">
      <c r="A642" s="24"/>
      <c r="B642" s="14" t="s">
        <v>1167</v>
      </c>
    </row>
    <row r="643" spans="1:66" ht="12.75">
      <c r="B643" s="655" t="s">
        <v>656</v>
      </c>
    </row>
    <row r="644" spans="1:66" ht="12.75">
      <c r="B644" s="655" t="s">
        <v>1067</v>
      </c>
    </row>
    <row r="645" spans="1:66" ht="12.75">
      <c r="B645" s="14" t="s">
        <v>1168</v>
      </c>
    </row>
    <row r="648" spans="1:66" ht="12.75">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row>
    <row r="649" spans="1:66" ht="30.75" customHeight="1">
      <c r="A649" s="238" t="s">
        <v>1169</v>
      </c>
    </row>
    <row r="651" spans="1:66" s="92" customFormat="1" ht="51.75">
      <c r="A651" s="52" t="s">
        <v>1170</v>
      </c>
      <c r="B651" s="644" t="s">
        <v>732</v>
      </c>
      <c r="C651" s="685" t="s">
        <v>533</v>
      </c>
      <c r="D651" s="685" t="s">
        <v>543</v>
      </c>
      <c r="E651" s="685" t="s">
        <v>522</v>
      </c>
      <c r="F651" s="291" t="s">
        <v>535</v>
      </c>
    </row>
    <row r="652" spans="1:66" ht="12.75">
      <c r="A652" s="62" t="s">
        <v>1171</v>
      </c>
      <c r="B652" s="14">
        <v>81</v>
      </c>
      <c r="C652">
        <f>0.350122607798313/100</f>
        <v>3.50122607798313E-3</v>
      </c>
      <c r="D652">
        <f>1.59920023629154/100</f>
        <v>1.5992002362915401E-2</v>
      </c>
      <c r="E652">
        <f>63/1000000/0.33</f>
        <v>1.9090909090909089E-4</v>
      </c>
      <c r="F652" s="3">
        <f>0.13/453.592/0.33</f>
        <v>8.6848840795118504E-4</v>
      </c>
    </row>
    <row r="653" spans="1:66" ht="12.75">
      <c r="A653" s="63" t="s">
        <v>1172</v>
      </c>
      <c r="B653" s="617">
        <v>78</v>
      </c>
      <c r="C653" s="725">
        <f t="shared" ref="C653:F653" si="132">C652*$B653/$B652</f>
        <v>3.3715510380578286E-3</v>
      </c>
      <c r="D653" s="725">
        <f t="shared" si="132"/>
        <v>1.5399705979103718E-2</v>
      </c>
      <c r="E653" s="725">
        <f t="shared" si="132"/>
        <v>1.8383838383838382E-4</v>
      </c>
      <c r="F653" s="728">
        <f t="shared" si="132"/>
        <v>8.3632217061965959E-4</v>
      </c>
    </row>
    <row r="654" spans="1:66" ht="12.75">
      <c r="A654" s="14" t="s">
        <v>538</v>
      </c>
      <c r="B654" s="14" t="s">
        <v>570</v>
      </c>
    </row>
    <row r="655" spans="1:66" ht="12.75">
      <c r="B655" s="14" t="s">
        <v>1173</v>
      </c>
    </row>
    <row r="656" spans="1:66" ht="12.75">
      <c r="B656" s="14" t="s">
        <v>1174</v>
      </c>
    </row>
    <row r="657" spans="1:6" ht="12.75">
      <c r="A657" s="105"/>
      <c r="B657" s="655" t="s">
        <v>1067</v>
      </c>
    </row>
    <row r="658" spans="1:6" ht="12.75">
      <c r="B658" s="14" t="s">
        <v>1175</v>
      </c>
    </row>
    <row r="661" spans="1:6" s="92" customFormat="1" ht="51.75">
      <c r="A661" s="52" t="s">
        <v>1176</v>
      </c>
      <c r="B661" s="685" t="s">
        <v>533</v>
      </c>
      <c r="C661" s="685" t="s">
        <v>543</v>
      </c>
      <c r="D661" s="685" t="s">
        <v>522</v>
      </c>
      <c r="E661" s="291" t="s">
        <v>535</v>
      </c>
    </row>
    <row r="662" spans="1:6" ht="12.75">
      <c r="A662" s="4"/>
      <c r="B662" s="617">
        <f>0.294796821383421/100</f>
        <v>2.9479682138342099E-3</v>
      </c>
      <c r="C662" s="617">
        <f>2.61573656011077/100</f>
        <v>2.6157365601107697E-2</v>
      </c>
      <c r="D662" s="617">
        <f>54/1000000/0.88</f>
        <v>6.1363636363636362E-5</v>
      </c>
      <c r="E662" s="5">
        <f>(AVERAGE(0.12,0.2,0.11))/453.592/0.88</f>
        <v>3.5908655328750923E-4</v>
      </c>
    </row>
    <row r="663" spans="1:6" ht="12.75">
      <c r="B663" s="14" t="s">
        <v>570</v>
      </c>
    </row>
    <row r="664" spans="1:6" ht="12.75">
      <c r="B664" s="14" t="s">
        <v>1173</v>
      </c>
    </row>
    <row r="665" spans="1:6" ht="12.75">
      <c r="B665" s="14" t="s">
        <v>1174</v>
      </c>
    </row>
    <row r="666" spans="1:6" ht="12.75">
      <c r="B666" s="655" t="s">
        <v>1067</v>
      </c>
    </row>
    <row r="667" spans="1:6" ht="12.75">
      <c r="B667" s="14" t="s">
        <v>1175</v>
      </c>
    </row>
    <row r="670" spans="1:6" s="92" customFormat="1" ht="51.75">
      <c r="A670" s="52" t="s">
        <v>1177</v>
      </c>
      <c r="B670" s="685" t="s">
        <v>533</v>
      </c>
      <c r="C670" s="685" t="s">
        <v>543</v>
      </c>
      <c r="D670" s="685" t="s">
        <v>522</v>
      </c>
      <c r="E670" s="291" t="s">
        <v>535</v>
      </c>
    </row>
    <row r="671" spans="1:6" ht="12.75">
      <c r="A671" s="63" t="s">
        <v>1178</v>
      </c>
      <c r="B671" s="617">
        <f>0.384275395899604/100</f>
        <v>3.8427539589960401E-3</v>
      </c>
      <c r="C671" s="617">
        <f>1.55377880948691/100</f>
        <v>1.5537788094869101E-2</v>
      </c>
      <c r="D671" s="617">
        <f>214/1000000</f>
        <v>2.14E-4</v>
      </c>
      <c r="E671" s="5">
        <f>0.26/453.592</f>
        <v>5.7320234924778215E-4</v>
      </c>
    </row>
    <row r="672" spans="1:6" ht="12.75">
      <c r="A672" s="14" t="s">
        <v>538</v>
      </c>
      <c r="B672" s="14" t="s">
        <v>570</v>
      </c>
      <c r="C672" s="220"/>
      <c r="D672" s="220"/>
      <c r="E672" s="220"/>
      <c r="F672" s="220"/>
    </row>
    <row r="673" spans="1:11" ht="12.75">
      <c r="B673" s="14" t="s">
        <v>1179</v>
      </c>
    </row>
    <row r="674" spans="1:11" ht="12.75">
      <c r="A674" s="105"/>
      <c r="B674" s="655" t="s">
        <v>1180</v>
      </c>
    </row>
    <row r="676" spans="1:11" s="92" customFormat="1" ht="51.75">
      <c r="A676" s="52" t="s">
        <v>1181</v>
      </c>
      <c r="B676" s="221" t="s">
        <v>1182</v>
      </c>
      <c r="C676" s="685" t="s">
        <v>533</v>
      </c>
      <c r="D676" s="685" t="s">
        <v>543</v>
      </c>
      <c r="E676" s="685" t="s">
        <v>522</v>
      </c>
      <c r="F676" s="291" t="s">
        <v>535</v>
      </c>
    </row>
    <row r="677" spans="1:11" ht="12.75">
      <c r="A677" s="56" t="s">
        <v>1183</v>
      </c>
      <c r="B677" s="77">
        <f>147/100</f>
        <v>1.47</v>
      </c>
      <c r="C677" s="17">
        <f>0.432977357609711/100</f>
        <v>4.3297735760971104E-3</v>
      </c>
      <c r="D677" s="17">
        <f>3.51540340328409/100</f>
        <v>3.5154034032840904E-2</v>
      </c>
      <c r="E677" s="17">
        <f>70/1000000</f>
        <v>6.9999999999999994E-5</v>
      </c>
      <c r="F677" s="49">
        <f>0.25/453.592</f>
        <v>5.511561050459444E-4</v>
      </c>
    </row>
    <row r="678" spans="1:11" ht="12.75">
      <c r="A678" s="661" t="s">
        <v>1184</v>
      </c>
      <c r="B678" s="729">
        <f>172/100</f>
        <v>1.72</v>
      </c>
      <c r="C678" s="148">
        <f t="shared" ref="C678:F678" si="133">C677*$B678/$B677</f>
        <v>5.0661296264537621E-3</v>
      </c>
      <c r="D678" s="148">
        <f t="shared" si="133"/>
        <v>4.1132611249310447E-2</v>
      </c>
      <c r="E678" s="148">
        <f t="shared" si="133"/>
        <v>8.190476190476189E-5</v>
      </c>
      <c r="F678" s="148">
        <f t="shared" si="133"/>
        <v>6.4489013651634311E-4</v>
      </c>
    </row>
    <row r="679" spans="1:11" ht="12.75">
      <c r="A679" s="239" t="s">
        <v>305</v>
      </c>
      <c r="B679" s="175" t="s">
        <v>1185</v>
      </c>
      <c r="C679">
        <f t="shared" ref="C679:F679" si="134">C677/0.92</f>
        <v>4.7062756261925113E-3</v>
      </c>
      <c r="D679">
        <f t="shared" si="134"/>
        <v>3.8210906557435767E-2</v>
      </c>
      <c r="E679">
        <f t="shared" si="134"/>
        <v>7.6086956521739124E-5</v>
      </c>
      <c r="F679" s="3">
        <f t="shared" si="134"/>
        <v>5.9908272287602653E-4</v>
      </c>
      <c r="G679" s="14" t="s">
        <v>1186</v>
      </c>
    </row>
    <row r="680" spans="1:11" ht="12.75">
      <c r="A680" s="240" t="s">
        <v>301</v>
      </c>
      <c r="B680" s="175" t="s">
        <v>1185</v>
      </c>
      <c r="C680">
        <f t="shared" ref="C680:F680" si="135">C677/0.92</f>
        <v>4.7062756261925113E-3</v>
      </c>
      <c r="D680">
        <f t="shared" si="135"/>
        <v>3.8210906557435767E-2</v>
      </c>
      <c r="E680">
        <f t="shared" si="135"/>
        <v>7.6086956521739124E-5</v>
      </c>
      <c r="F680" s="3">
        <f t="shared" si="135"/>
        <v>5.9908272287602653E-4</v>
      </c>
    </row>
    <row r="681" spans="1:11" ht="12.75">
      <c r="A681" s="241" t="s">
        <v>310</v>
      </c>
      <c r="B681" s="176"/>
      <c r="C681" s="617">
        <f>0.435024531877369/100</f>
        <v>4.3502453187736897E-3</v>
      </c>
      <c r="D681" s="617">
        <f>1.10424718876256/100</f>
        <v>1.10424718876256E-2</v>
      </c>
      <c r="E681" s="617">
        <f>83/1000000</f>
        <v>8.2999999999999998E-5</v>
      </c>
      <c r="F681" s="5">
        <f>0.32/453.592</f>
        <v>7.0547981445880884E-4</v>
      </c>
      <c r="G681" s="14" t="s">
        <v>1186</v>
      </c>
      <c r="H681" s="242"/>
      <c r="I681" s="242"/>
      <c r="J681" s="242"/>
      <c r="K681" s="242"/>
    </row>
    <row r="682" spans="1:11" ht="12.75">
      <c r="A682" s="14" t="s">
        <v>538</v>
      </c>
      <c r="B682" s="14" t="s">
        <v>570</v>
      </c>
      <c r="G682" s="14"/>
      <c r="H682" s="220"/>
      <c r="I682" s="220"/>
      <c r="K682" s="220"/>
    </row>
    <row r="683" spans="1:11" ht="12.75">
      <c r="B683" s="14" t="s">
        <v>642</v>
      </c>
      <c r="G683" s="14"/>
    </row>
    <row r="684" spans="1:11" ht="12.75">
      <c r="B684" s="14" t="s">
        <v>867</v>
      </c>
    </row>
    <row r="685" spans="1:11" ht="12.75">
      <c r="B685" s="655" t="s">
        <v>1187</v>
      </c>
    </row>
    <row r="686" spans="1:11" ht="12.75">
      <c r="B686" s="14" t="s">
        <v>1188</v>
      </c>
    </row>
    <row r="688" spans="1:11" s="92" customFormat="1" ht="51.75">
      <c r="A688" s="52" t="s">
        <v>1189</v>
      </c>
      <c r="B688" s="685" t="s">
        <v>533</v>
      </c>
      <c r="C688" s="685" t="s">
        <v>543</v>
      </c>
      <c r="D688" s="685" t="s">
        <v>522</v>
      </c>
      <c r="E688" s="291" t="s">
        <v>535</v>
      </c>
    </row>
    <row r="689" spans="1:14" ht="12.75">
      <c r="A689" s="63" t="s">
        <v>291</v>
      </c>
      <c r="B689" s="617">
        <f>0.87928093200579/100</f>
        <v>8.7928093200579007E-3</v>
      </c>
      <c r="C689" s="617">
        <f>4.38025263805632/100</f>
        <v>4.38025263805632E-2</v>
      </c>
      <c r="D689" s="617">
        <f>489/1000000</f>
        <v>4.8899999999999996E-4</v>
      </c>
      <c r="E689" s="5">
        <f>0.24/453.592</f>
        <v>5.2910986084410655E-4</v>
      </c>
    </row>
    <row r="690" spans="1:14" ht="12.75">
      <c r="A690" s="14" t="s">
        <v>538</v>
      </c>
      <c r="B690" s="14" t="s">
        <v>570</v>
      </c>
      <c r="C690" s="220"/>
      <c r="D690" s="220"/>
      <c r="E690" s="220"/>
    </row>
    <row r="691" spans="1:14" ht="12.75">
      <c r="B691" s="14" t="s">
        <v>1190</v>
      </c>
    </row>
    <row r="692" spans="1:14" ht="12.75">
      <c r="A692" s="105"/>
      <c r="B692" s="655" t="s">
        <v>1191</v>
      </c>
    </row>
    <row r="693" spans="1:14" ht="12.75">
      <c r="B693" s="105"/>
    </row>
    <row r="694" spans="1:14" ht="12.75">
      <c r="B694" s="105"/>
    </row>
    <row r="695" spans="1:14" s="92" customFormat="1" ht="63">
      <c r="A695" s="243" t="s">
        <v>1192</v>
      </c>
      <c r="B695" s="323" t="s">
        <v>732</v>
      </c>
      <c r="C695" s="730" t="s">
        <v>533</v>
      </c>
      <c r="D695" s="730" t="s">
        <v>543</v>
      </c>
      <c r="E695" s="730" t="s">
        <v>522</v>
      </c>
      <c r="F695" s="731" t="s">
        <v>535</v>
      </c>
    </row>
    <row r="696" spans="1:14" ht="12.75">
      <c r="A696" s="76" t="s">
        <v>1193</v>
      </c>
      <c r="B696" s="121">
        <v>341</v>
      </c>
      <c r="C696" s="17">
        <f t="shared" ref="C696:C699" si="136">0.617105281762478/100</f>
        <v>6.1710528176247802E-3</v>
      </c>
      <c r="D696" s="17">
        <f t="shared" ref="D696:D699" si="137">8.17817509617288/100</f>
        <v>8.1781750961728808E-2</v>
      </c>
      <c r="E696" s="17">
        <f t="shared" ref="E696:E697" si="138">125/1000000</f>
        <v>1.25E-4</v>
      </c>
      <c r="F696" s="77">
        <f t="shared" ref="F696:F697" si="139">(AVERAGE(0.43,0.36))/453.592</f>
        <v>8.7082664597259215E-4</v>
      </c>
    </row>
    <row r="697" spans="1:14" ht="15">
      <c r="A697" s="76" t="s">
        <v>290</v>
      </c>
      <c r="B697" s="121">
        <v>337</v>
      </c>
      <c r="C697" s="17">
        <f t="shared" si="136"/>
        <v>6.1710528176247802E-3</v>
      </c>
      <c r="D697" s="17">
        <f t="shared" si="137"/>
        <v>8.1781750961728808E-2</v>
      </c>
      <c r="E697" s="17">
        <f t="shared" si="138"/>
        <v>1.25E-4</v>
      </c>
      <c r="F697" s="77">
        <f t="shared" si="139"/>
        <v>8.7082664597259215E-4</v>
      </c>
      <c r="G697" s="81"/>
      <c r="H697" s="64"/>
      <c r="I697" s="81"/>
      <c r="J697" s="81"/>
      <c r="K697" s="64"/>
      <c r="L697" s="81"/>
      <c r="M697" s="81"/>
      <c r="N697" s="64"/>
    </row>
    <row r="698" spans="1:14" ht="15">
      <c r="A698" s="76" t="s">
        <v>294</v>
      </c>
      <c r="B698" s="121">
        <v>113</v>
      </c>
      <c r="C698" s="17">
        <f t="shared" si="136"/>
        <v>6.1710528176247802E-3</v>
      </c>
      <c r="D698" s="17">
        <f t="shared" si="137"/>
        <v>8.1781750961728808E-2</v>
      </c>
      <c r="E698" s="17">
        <f>205/1000000</f>
        <v>2.05E-4</v>
      </c>
      <c r="F698" s="77">
        <f>0.29/453.592</f>
        <v>6.3934108185329549E-4</v>
      </c>
      <c r="H698" s="146"/>
      <c r="I698" s="146"/>
      <c r="N698" s="146"/>
    </row>
    <row r="699" spans="1:14" ht="12.75">
      <c r="A699" s="76" t="s">
        <v>296</v>
      </c>
      <c r="B699" s="121">
        <v>337</v>
      </c>
      <c r="C699" s="17">
        <f t="shared" si="136"/>
        <v>6.1710528176247802E-3</v>
      </c>
      <c r="D699" s="17">
        <f t="shared" si="137"/>
        <v>8.1781750961728808E-2</v>
      </c>
      <c r="E699" s="17">
        <f>125/1000000</f>
        <v>1.25E-4</v>
      </c>
      <c r="F699" s="77">
        <f>(AVERAGE(0.43,0.36))/453.592</f>
        <v>8.7082664597259215E-4</v>
      </c>
      <c r="I699" s="220"/>
      <c r="J699" s="14"/>
      <c r="N699" s="14"/>
    </row>
    <row r="700" spans="1:14" ht="12.75">
      <c r="A700" s="244" t="s">
        <v>284</v>
      </c>
      <c r="B700" s="245">
        <v>132</v>
      </c>
      <c r="C700" s="615">
        <f t="shared" ref="C700:F700" si="140">C696*$B700/$B696</f>
        <v>2.3887946390805602E-3</v>
      </c>
      <c r="D700" s="615">
        <f t="shared" si="140"/>
        <v>3.1657451985185346E-2</v>
      </c>
      <c r="E700" s="615">
        <f t="shared" si="140"/>
        <v>4.8387096774193554E-5</v>
      </c>
      <c r="F700" s="2">
        <f t="shared" si="140"/>
        <v>3.370941855377776E-4</v>
      </c>
      <c r="I700" s="220"/>
      <c r="J700" s="14"/>
      <c r="N700" s="14"/>
    </row>
    <row r="701" spans="1:14" ht="12.75">
      <c r="A701" s="62" t="s">
        <v>289</v>
      </c>
      <c r="B701" s="97">
        <v>127</v>
      </c>
      <c r="C701">
        <f t="shared" ref="C701:F701" si="141">C697*$B701/$B697</f>
        <v>2.3255896375025138E-3</v>
      </c>
      <c r="D701">
        <f t="shared" si="141"/>
        <v>3.0819828997446758E-2</v>
      </c>
      <c r="E701">
        <f t="shared" si="141"/>
        <v>4.7106824925816024E-5</v>
      </c>
      <c r="F701" s="3">
        <f t="shared" si="141"/>
        <v>3.2817502682053179E-4</v>
      </c>
      <c r="N701" s="14"/>
    </row>
    <row r="702" spans="1:14" ht="12.75">
      <c r="A702" s="62" t="s">
        <v>293</v>
      </c>
      <c r="B702" s="97">
        <v>123</v>
      </c>
      <c r="C702">
        <f t="shared" ref="C702:F702" si="142">C698*$B702/$B698</f>
        <v>6.7171636864411322E-3</v>
      </c>
      <c r="D702">
        <f t="shared" si="142"/>
        <v>8.9019074055687111E-2</v>
      </c>
      <c r="E702">
        <f t="shared" si="142"/>
        <v>2.2314159292035395E-4</v>
      </c>
      <c r="F702" s="3">
        <f t="shared" si="142"/>
        <v>6.959199386544721E-4</v>
      </c>
      <c r="I702" s="220"/>
      <c r="J702" s="14"/>
      <c r="N702" s="14"/>
    </row>
    <row r="703" spans="1:14" ht="12.75">
      <c r="A703" s="63" t="s">
        <v>295</v>
      </c>
      <c r="B703" s="98">
        <v>113</v>
      </c>
      <c r="C703" s="617">
        <f t="shared" ref="C703:F703" si="143">C699*$B703/$B699</f>
        <v>2.0692254254943625E-3</v>
      </c>
      <c r="D703" s="617">
        <f t="shared" si="143"/>
        <v>2.7422367533161289E-2</v>
      </c>
      <c r="E703" s="617">
        <f t="shared" si="143"/>
        <v>4.191394658753709E-5</v>
      </c>
      <c r="F703" s="5">
        <f t="shared" si="143"/>
        <v>2.9199825221039441E-4</v>
      </c>
      <c r="I703" s="220"/>
      <c r="J703" s="14"/>
      <c r="N703" s="14"/>
    </row>
    <row r="704" spans="1:14" ht="12.75">
      <c r="A704" s="14" t="s">
        <v>538</v>
      </c>
      <c r="B704" s="14" t="s">
        <v>570</v>
      </c>
      <c r="I704" s="220"/>
      <c r="J704" s="14"/>
      <c r="N704" s="14"/>
    </row>
    <row r="705" spans="1:66" ht="12.75">
      <c r="B705" s="14" t="s">
        <v>1190</v>
      </c>
      <c r="C705" s="220"/>
      <c r="D705" s="220"/>
      <c r="E705" s="220"/>
    </row>
    <row r="706" spans="1:66" ht="12.75">
      <c r="A706" s="105"/>
      <c r="B706" s="655" t="s">
        <v>656</v>
      </c>
    </row>
    <row r="707" spans="1:66" ht="12.75">
      <c r="B707" s="655" t="s">
        <v>1067</v>
      </c>
    </row>
    <row r="708" spans="1:66" ht="12.75">
      <c r="A708" s="105"/>
    </row>
    <row r="710" spans="1:66" ht="12.75">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row>
    <row r="711" spans="1:66" ht="30.75" customHeight="1">
      <c r="A711" s="38" t="s">
        <v>1194</v>
      </c>
    </row>
    <row r="713" spans="1:66" s="92" customFormat="1" ht="63.75">
      <c r="A713" s="988" t="s">
        <v>1195</v>
      </c>
      <c r="B713" s="247" t="s">
        <v>1196</v>
      </c>
      <c r="C713" s="247" t="s">
        <v>1197</v>
      </c>
      <c r="D713" s="247" t="s">
        <v>1198</v>
      </c>
      <c r="E713" s="249" t="s">
        <v>1199</v>
      </c>
      <c r="F713" s="250" t="s">
        <v>1200</v>
      </c>
      <c r="G713" s="247" t="s">
        <v>1201</v>
      </c>
      <c r="H713" s="251" t="s">
        <v>1202</v>
      </c>
      <c r="I713" s="247" t="s">
        <v>1203</v>
      </c>
      <c r="J713" s="251" t="s">
        <v>1204</v>
      </c>
      <c r="K713" s="247" t="s">
        <v>1205</v>
      </c>
      <c r="L713" s="251" t="s">
        <v>1206</v>
      </c>
      <c r="M713" s="247" t="s">
        <v>1207</v>
      </c>
      <c r="N713" s="251" t="s">
        <v>1208</v>
      </c>
      <c r="O713" s="989"/>
      <c r="P713" s="81" t="s">
        <v>1209</v>
      </c>
      <c r="Q713" s="81" t="s">
        <v>1210</v>
      </c>
      <c r="R713" s="81" t="s">
        <v>1211</v>
      </c>
      <c r="S713" s="81" t="s">
        <v>1212</v>
      </c>
      <c r="T713" s="81" t="s">
        <v>1213</v>
      </c>
      <c r="V713" s="81" t="s">
        <v>1214</v>
      </c>
      <c r="W713" s="81" t="s">
        <v>1215</v>
      </c>
      <c r="X713" s="81" t="s">
        <v>1216</v>
      </c>
      <c r="Y713" s="92" t="e">
        <f t="shared" ref="Y713:Y714" si="144">#REF!/#REF!</f>
        <v>#REF!</v>
      </c>
      <c r="Z713" s="92" t="e">
        <f t="shared" ref="Z713:Z714" si="145">2.86*Y713</f>
        <v>#REF!</v>
      </c>
    </row>
    <row r="714" spans="1:66" ht="12.75">
      <c r="A714" s="252" t="s">
        <v>373</v>
      </c>
      <c r="B714" s="253" t="s">
        <v>1217</v>
      </c>
      <c r="C714" s="254">
        <f t="shared" ref="C714:C720" si="146">1/1000</f>
        <v>1E-3</v>
      </c>
      <c r="D714" s="254">
        <f>293/100</f>
        <v>2.93</v>
      </c>
      <c r="E714" s="255">
        <f>1/0.63</f>
        <v>1.5873015873015872</v>
      </c>
      <c r="F714" s="256">
        <f t="shared" ref="F714:F720" si="147">C714*D714*E714</f>
        <v>4.650793650793651E-3</v>
      </c>
      <c r="G714" s="254">
        <v>146.56</v>
      </c>
      <c r="H714" s="256">
        <f t="shared" ref="H714:H720" si="148">F714*$G714</f>
        <v>0.68162031746031748</v>
      </c>
      <c r="I714" s="254">
        <v>175.83</v>
      </c>
      <c r="J714" s="256">
        <f>F$714*I714</f>
        <v>0.81774904761904776</v>
      </c>
      <c r="K714" s="254">
        <v>1642.18</v>
      </c>
      <c r="L714" s="256">
        <f t="shared" ref="L714:L720" si="149">K714*F714*0.001</f>
        <v>7.6374403174603181E-3</v>
      </c>
      <c r="M714" s="254">
        <v>8</v>
      </c>
      <c r="N714" s="256">
        <f t="shared" ref="N714:N720" si="150">M714/453.592*E714</f>
        <v>2.7995230732492413E-2</v>
      </c>
      <c r="O714" s="10"/>
      <c r="P714" s="14">
        <v>247</v>
      </c>
      <c r="Q714" s="14">
        <f>260/P714</f>
        <v>1.0526315789473684</v>
      </c>
      <c r="R714">
        <f>K714*O714*P714*Q714</f>
        <v>0</v>
      </c>
      <c r="V714" s="14" t="s">
        <v>1218</v>
      </c>
      <c r="W714" s="14" t="s">
        <v>1219</v>
      </c>
      <c r="X714" s="14" t="s">
        <v>1220</v>
      </c>
      <c r="Y714" t="e">
        <f t="shared" si="144"/>
        <v>#REF!</v>
      </c>
      <c r="Z714" t="e">
        <f t="shared" si="145"/>
        <v>#REF!</v>
      </c>
    </row>
    <row r="715" spans="1:66" ht="12.75">
      <c r="A715" s="257" t="s">
        <v>374</v>
      </c>
      <c r="B715" s="15" t="s">
        <v>1217</v>
      </c>
      <c r="C715" s="228">
        <f t="shared" si="146"/>
        <v>1E-3</v>
      </c>
      <c r="D715" s="228">
        <f>254/100</f>
        <v>2.54</v>
      </c>
      <c r="E715" s="258">
        <f>1/0.69</f>
        <v>1.4492753623188408</v>
      </c>
      <c r="F715" s="259">
        <f t="shared" si="147"/>
        <v>3.6811594202898557E-3</v>
      </c>
      <c r="G715" s="228">
        <v>146.56</v>
      </c>
      <c r="H715" s="259">
        <f t="shared" si="148"/>
        <v>0.53951072463768124</v>
      </c>
      <c r="I715" s="228">
        <v>175.83</v>
      </c>
      <c r="J715" s="259">
        <f t="shared" ref="J715:J720" si="151">F715*I715</f>
        <v>0.64725826086956539</v>
      </c>
      <c r="K715" s="228">
        <v>1642.18</v>
      </c>
      <c r="L715" s="259">
        <f t="shared" si="149"/>
        <v>6.0451263768115954E-3</v>
      </c>
      <c r="M715" s="228">
        <v>8</v>
      </c>
      <c r="N715" s="259">
        <f t="shared" si="150"/>
        <v>2.5560862842710468E-2</v>
      </c>
      <c r="O715" s="10"/>
      <c r="P715" s="14"/>
      <c r="Q715" s="14"/>
      <c r="V715" s="14"/>
      <c r="W715" s="14"/>
      <c r="X715" s="14"/>
    </row>
    <row r="716" spans="1:66" ht="12.75">
      <c r="A716" s="257" t="s">
        <v>376</v>
      </c>
      <c r="B716" s="15" t="s">
        <v>1217</v>
      </c>
      <c r="C716" s="228">
        <f t="shared" si="146"/>
        <v>1E-3</v>
      </c>
      <c r="D716" s="228">
        <f>199/100</f>
        <v>1.99</v>
      </c>
      <c r="E716" s="258">
        <f>1/0.8</f>
        <v>1.25</v>
      </c>
      <c r="F716" s="259">
        <f t="shared" si="147"/>
        <v>2.4875000000000001E-3</v>
      </c>
      <c r="G716" s="228">
        <v>146.56</v>
      </c>
      <c r="H716" s="259">
        <f t="shared" si="148"/>
        <v>0.364568</v>
      </c>
      <c r="I716" s="228">
        <v>175.83</v>
      </c>
      <c r="J716" s="259">
        <f t="shared" si="151"/>
        <v>0.43737712500000003</v>
      </c>
      <c r="K716" s="228">
        <v>1642.18</v>
      </c>
      <c r="L716" s="259">
        <f t="shared" si="149"/>
        <v>4.0849227500000009E-3</v>
      </c>
      <c r="M716" s="228">
        <v>8</v>
      </c>
      <c r="N716" s="259">
        <f t="shared" si="150"/>
        <v>2.2046244201837775E-2</v>
      </c>
      <c r="O716" s="10"/>
      <c r="P716" s="14"/>
      <c r="Q716" s="14"/>
      <c r="V716" s="14"/>
      <c r="W716" s="14"/>
      <c r="X716" s="14"/>
    </row>
    <row r="717" spans="1:66" ht="12.75">
      <c r="A717" s="257" t="s">
        <v>1221</v>
      </c>
      <c r="B717" s="15" t="s">
        <v>1217</v>
      </c>
      <c r="C717" s="228">
        <f t="shared" si="146"/>
        <v>1E-3</v>
      </c>
      <c r="D717" s="228">
        <f t="shared" ref="D717:D718" si="152">293/100</f>
        <v>2.93</v>
      </c>
      <c r="E717" s="258">
        <f t="shared" ref="E717:E718" si="153">1/0.63</f>
        <v>1.5873015873015872</v>
      </c>
      <c r="F717" s="259">
        <f t="shared" si="147"/>
        <v>4.650793650793651E-3</v>
      </c>
      <c r="G717" s="228">
        <v>146.56</v>
      </c>
      <c r="H717" s="259">
        <f t="shared" si="148"/>
        <v>0.68162031746031748</v>
      </c>
      <c r="I717" s="228">
        <v>175.83</v>
      </c>
      <c r="J717" s="259">
        <f t="shared" si="151"/>
        <v>0.81774904761904776</v>
      </c>
      <c r="K717" s="228">
        <v>1642.18</v>
      </c>
      <c r="L717" s="259">
        <f t="shared" si="149"/>
        <v>7.6374403174603181E-3</v>
      </c>
      <c r="M717" s="228">
        <v>8</v>
      </c>
      <c r="N717" s="259">
        <f t="shared" si="150"/>
        <v>2.7995230732492413E-2</v>
      </c>
      <c r="O717" s="10"/>
      <c r="P717" s="14"/>
      <c r="Q717" s="14"/>
      <c r="V717" s="14"/>
      <c r="W717" s="14"/>
      <c r="X717" s="14"/>
    </row>
    <row r="718" spans="1:66" ht="12.75">
      <c r="A718" s="257" t="s">
        <v>1222</v>
      </c>
      <c r="B718" s="15" t="s">
        <v>1217</v>
      </c>
      <c r="C718" s="228">
        <f t="shared" si="146"/>
        <v>1E-3</v>
      </c>
      <c r="D718" s="228">
        <f t="shared" si="152"/>
        <v>2.93</v>
      </c>
      <c r="E718" s="258">
        <f t="shared" si="153"/>
        <v>1.5873015873015872</v>
      </c>
      <c r="F718" s="259">
        <f t="shared" si="147"/>
        <v>4.650793650793651E-3</v>
      </c>
      <c r="G718" s="228">
        <v>146.56</v>
      </c>
      <c r="H718" s="259">
        <f t="shared" si="148"/>
        <v>0.68162031746031748</v>
      </c>
      <c r="I718" s="228">
        <v>175.83</v>
      </c>
      <c r="J718" s="259">
        <f t="shared" si="151"/>
        <v>0.81774904761904776</v>
      </c>
      <c r="K718" s="228">
        <v>1642.18</v>
      </c>
      <c r="L718" s="259">
        <f t="shared" si="149"/>
        <v>7.6374403174603181E-3</v>
      </c>
      <c r="M718" s="228">
        <v>8</v>
      </c>
      <c r="N718" s="259">
        <f t="shared" si="150"/>
        <v>2.7995230732492413E-2</v>
      </c>
      <c r="O718" s="10"/>
      <c r="P718" s="14"/>
      <c r="Q718" s="14"/>
      <c r="V718" s="14"/>
      <c r="W718" s="14"/>
      <c r="X718" s="14"/>
    </row>
    <row r="719" spans="1:66" ht="12.75">
      <c r="A719" s="257" t="s">
        <v>1223</v>
      </c>
      <c r="B719" s="15" t="s">
        <v>1217</v>
      </c>
      <c r="C719" s="228">
        <f t="shared" si="146"/>
        <v>1E-3</v>
      </c>
      <c r="D719" s="228">
        <f>254/100</f>
        <v>2.54</v>
      </c>
      <c r="E719" s="258">
        <f>1/0.69</f>
        <v>1.4492753623188408</v>
      </c>
      <c r="F719" s="259">
        <f t="shared" si="147"/>
        <v>3.6811594202898557E-3</v>
      </c>
      <c r="G719" s="228">
        <v>146.56</v>
      </c>
      <c r="H719" s="259">
        <f t="shared" si="148"/>
        <v>0.53951072463768124</v>
      </c>
      <c r="I719" s="228">
        <v>175.83</v>
      </c>
      <c r="J719" s="259">
        <f t="shared" si="151"/>
        <v>0.64725826086956539</v>
      </c>
      <c r="K719" s="228">
        <v>1642.18</v>
      </c>
      <c r="L719" s="259">
        <f t="shared" si="149"/>
        <v>6.0451263768115954E-3</v>
      </c>
      <c r="M719" s="228">
        <v>8</v>
      </c>
      <c r="N719" s="259">
        <f t="shared" si="150"/>
        <v>2.5560862842710468E-2</v>
      </c>
      <c r="O719" s="10"/>
      <c r="P719" s="14"/>
      <c r="Q719" s="14"/>
      <c r="V719" s="14"/>
      <c r="W719" s="14"/>
      <c r="X719" s="14"/>
    </row>
    <row r="720" spans="1:66" ht="12.75">
      <c r="A720" s="257" t="s">
        <v>375</v>
      </c>
      <c r="B720" s="15" t="s">
        <v>1217</v>
      </c>
      <c r="C720" s="228">
        <f t="shared" si="146"/>
        <v>1E-3</v>
      </c>
      <c r="D720" s="228">
        <f>135/100</f>
        <v>1.35</v>
      </c>
      <c r="E720" s="258">
        <f>1/0.73</f>
        <v>1.3698630136986301</v>
      </c>
      <c r="F720" s="260">
        <f t="shared" si="147"/>
        <v>1.8493150684931506E-3</v>
      </c>
      <c r="G720" s="261">
        <v>146.56</v>
      </c>
      <c r="H720" s="260">
        <f t="shared" si="148"/>
        <v>0.27103561643835616</v>
      </c>
      <c r="I720" s="261">
        <v>175.83</v>
      </c>
      <c r="J720" s="262">
        <f t="shared" si="151"/>
        <v>0.32516506849315069</v>
      </c>
      <c r="K720" s="261">
        <v>1642.18</v>
      </c>
      <c r="L720" s="260">
        <f t="shared" si="149"/>
        <v>3.0369082191780824E-3</v>
      </c>
      <c r="M720" s="261">
        <v>8</v>
      </c>
      <c r="N720" s="260">
        <f t="shared" si="150"/>
        <v>2.4160267618452354E-2</v>
      </c>
      <c r="O720" s="10"/>
      <c r="P720" s="14"/>
      <c r="Q720" s="14"/>
      <c r="V720" s="14"/>
      <c r="W720" s="14"/>
      <c r="X720" s="14"/>
    </row>
    <row r="721" spans="1:18" s="92" customFormat="1" ht="51.75">
      <c r="A721" s="144" t="s">
        <v>1224</v>
      </c>
      <c r="B721" s="263" t="s">
        <v>533</v>
      </c>
      <c r="C721" s="263" t="s">
        <v>543</v>
      </c>
      <c r="D721" s="263" t="s">
        <v>522</v>
      </c>
      <c r="E721" s="264" t="s">
        <v>535</v>
      </c>
      <c r="F721" s="989"/>
      <c r="G721" s="989"/>
      <c r="H721" s="989"/>
      <c r="I721" s="989"/>
      <c r="J721" s="989"/>
      <c r="K721" s="989"/>
      <c r="L721" s="989"/>
      <c r="M721" s="989"/>
      <c r="N721" s="989"/>
      <c r="O721" s="989"/>
      <c r="P721" s="81">
        <v>148</v>
      </c>
      <c r="Q721" s="92">
        <f>203/P721</f>
        <v>1.3716216216216217</v>
      </c>
      <c r="R721" s="92">
        <f>K721*O721*P721*Q721</f>
        <v>0</v>
      </c>
    </row>
    <row r="722" spans="1:18" ht="12.75">
      <c r="A722" s="265" t="s">
        <v>373</v>
      </c>
      <c r="B722" s="266">
        <f t="shared" ref="B722:B728" si="154">H714</f>
        <v>0.68162031746031748</v>
      </c>
      <c r="C722" s="266">
        <f t="shared" ref="C722:C728" si="155">J714</f>
        <v>0.81774904761904776</v>
      </c>
      <c r="D722" s="266">
        <f t="shared" ref="D722:D728" si="156">L714</f>
        <v>7.6374403174603181E-3</v>
      </c>
      <c r="E722" s="267">
        <f t="shared" ref="E722:E728" si="157">N714</f>
        <v>2.7995230732492413E-2</v>
      </c>
      <c r="F722" s="10"/>
      <c r="G722" s="10"/>
      <c r="H722" s="10"/>
      <c r="I722" s="10"/>
      <c r="J722" s="10"/>
      <c r="K722" s="10"/>
      <c r="L722" s="10"/>
      <c r="M722" s="10"/>
      <c r="N722" s="10"/>
      <c r="O722" s="10"/>
    </row>
    <row r="723" spans="1:18" ht="12.75">
      <c r="A723" s="232" t="s">
        <v>374</v>
      </c>
      <c r="B723" s="268">
        <f t="shared" si="154"/>
        <v>0.53951072463768124</v>
      </c>
      <c r="C723" s="268">
        <f t="shared" si="155"/>
        <v>0.64725826086956539</v>
      </c>
      <c r="D723" s="268">
        <f t="shared" si="156"/>
        <v>6.0451263768115954E-3</v>
      </c>
      <c r="E723" s="269">
        <f t="shared" si="157"/>
        <v>2.5560862842710468E-2</v>
      </c>
      <c r="F723" s="10"/>
      <c r="G723" s="10"/>
      <c r="H723" s="10"/>
      <c r="I723" s="10"/>
      <c r="J723" s="10"/>
      <c r="K723" s="10"/>
      <c r="L723" s="10"/>
      <c r="M723" s="10"/>
      <c r="N723" s="10"/>
      <c r="O723" s="10"/>
    </row>
    <row r="724" spans="1:18" ht="12.75">
      <c r="A724" s="232" t="s">
        <v>376</v>
      </c>
      <c r="B724" s="268">
        <f t="shared" si="154"/>
        <v>0.364568</v>
      </c>
      <c r="C724" s="268">
        <f t="shared" si="155"/>
        <v>0.43737712500000003</v>
      </c>
      <c r="D724" s="268">
        <f t="shared" si="156"/>
        <v>4.0849227500000009E-3</v>
      </c>
      <c r="E724" s="269">
        <f t="shared" si="157"/>
        <v>2.2046244201837775E-2</v>
      </c>
      <c r="F724" s="10"/>
      <c r="G724" s="10"/>
      <c r="H724" s="10"/>
      <c r="I724" s="10"/>
      <c r="J724" s="10"/>
      <c r="K724" s="10"/>
      <c r="L724" s="10"/>
      <c r="M724" s="10"/>
      <c r="N724" s="10"/>
      <c r="O724" s="10"/>
    </row>
    <row r="725" spans="1:18" ht="12.75">
      <c r="A725" s="232" t="s">
        <v>1221</v>
      </c>
      <c r="B725" s="268">
        <f t="shared" si="154"/>
        <v>0.68162031746031748</v>
      </c>
      <c r="C725" s="268">
        <f t="shared" si="155"/>
        <v>0.81774904761904776</v>
      </c>
      <c r="D725" s="268">
        <f t="shared" si="156"/>
        <v>7.6374403174603181E-3</v>
      </c>
      <c r="E725" s="269">
        <f t="shared" si="157"/>
        <v>2.7995230732492413E-2</v>
      </c>
      <c r="F725" s="10"/>
      <c r="G725" s="10"/>
      <c r="H725" s="10"/>
      <c r="I725" s="10"/>
      <c r="J725" s="10"/>
      <c r="K725" s="10"/>
      <c r="L725" s="10"/>
      <c r="M725" s="10"/>
      <c r="N725" s="10"/>
      <c r="O725" s="10"/>
    </row>
    <row r="726" spans="1:18" ht="12.75">
      <c r="A726" s="232" t="s">
        <v>1222</v>
      </c>
      <c r="B726" s="268">
        <f t="shared" si="154"/>
        <v>0.68162031746031748</v>
      </c>
      <c r="C726" s="268">
        <f t="shared" si="155"/>
        <v>0.81774904761904776</v>
      </c>
      <c r="D726" s="268">
        <f t="shared" si="156"/>
        <v>7.6374403174603181E-3</v>
      </c>
      <c r="E726" s="269">
        <f t="shared" si="157"/>
        <v>2.7995230732492413E-2</v>
      </c>
      <c r="F726" s="10"/>
      <c r="G726" s="10"/>
      <c r="H726" s="10"/>
      <c r="I726" s="10"/>
      <c r="J726" s="10"/>
      <c r="K726" s="10"/>
      <c r="L726" s="10"/>
      <c r="M726" s="10"/>
      <c r="N726" s="10"/>
      <c r="O726" s="10"/>
    </row>
    <row r="727" spans="1:18" ht="12.75">
      <c r="A727" s="232" t="s">
        <v>369</v>
      </c>
      <c r="B727" s="268">
        <f t="shared" si="154"/>
        <v>0.53951072463768124</v>
      </c>
      <c r="C727" s="268">
        <f t="shared" si="155"/>
        <v>0.64725826086956539</v>
      </c>
      <c r="D727" s="268">
        <f t="shared" si="156"/>
        <v>6.0451263768115954E-3</v>
      </c>
      <c r="E727" s="269">
        <f t="shared" si="157"/>
        <v>2.5560862842710468E-2</v>
      </c>
      <c r="F727" s="10"/>
      <c r="G727" s="10"/>
      <c r="H727" s="10"/>
      <c r="I727" s="10"/>
      <c r="J727" s="10"/>
      <c r="K727" s="10"/>
      <c r="L727" s="10"/>
      <c r="M727" s="10"/>
      <c r="N727" s="10"/>
      <c r="O727" s="10"/>
    </row>
    <row r="728" spans="1:18" ht="12.75">
      <c r="A728" s="270" t="s">
        <v>375</v>
      </c>
      <c r="B728" s="271">
        <f t="shared" si="154"/>
        <v>0.27103561643835616</v>
      </c>
      <c r="C728" s="271">
        <f t="shared" si="155"/>
        <v>0.32516506849315069</v>
      </c>
      <c r="D728" s="271">
        <f t="shared" si="156"/>
        <v>3.0369082191780824E-3</v>
      </c>
      <c r="E728" s="272">
        <f t="shared" si="157"/>
        <v>2.4160267618452354E-2</v>
      </c>
      <c r="F728" s="10"/>
      <c r="G728" s="10"/>
      <c r="H728" s="10"/>
      <c r="I728" s="10"/>
      <c r="J728" s="10"/>
      <c r="K728" s="10"/>
      <c r="L728" s="10"/>
      <c r="M728" s="10"/>
      <c r="N728" s="10"/>
      <c r="O728" s="10"/>
    </row>
    <row r="729" spans="1:18" ht="12.75">
      <c r="A729" s="10" t="s">
        <v>538</v>
      </c>
      <c r="B729" s="273" t="s">
        <v>1225</v>
      </c>
      <c r="C729" s="10"/>
      <c r="D729" s="10"/>
      <c r="E729" s="10"/>
      <c r="F729" s="10"/>
      <c r="G729" s="10"/>
      <c r="H729" s="10"/>
      <c r="I729" s="10"/>
      <c r="J729" s="10"/>
      <c r="K729" s="10"/>
      <c r="L729" s="10"/>
      <c r="M729" s="10"/>
      <c r="N729" s="10"/>
      <c r="O729" s="10"/>
    </row>
    <row r="730" spans="1:18" ht="12.75">
      <c r="A730" s="10"/>
      <c r="B730" s="668" t="s">
        <v>1226</v>
      </c>
      <c r="C730" s="10"/>
      <c r="D730" s="10"/>
      <c r="E730" s="10"/>
      <c r="F730" s="10"/>
      <c r="G730" s="10"/>
      <c r="H730" s="10"/>
      <c r="I730" s="10"/>
      <c r="J730" s="10"/>
      <c r="K730" s="10"/>
      <c r="L730" s="10"/>
      <c r="M730" s="10"/>
      <c r="N730" s="10"/>
      <c r="O730" s="10"/>
    </row>
    <row r="731" spans="1:18" ht="12.75">
      <c r="A731" s="10"/>
      <c r="B731" s="10" t="s">
        <v>1227</v>
      </c>
      <c r="C731" s="10"/>
      <c r="D731" s="10"/>
      <c r="E731" s="10"/>
      <c r="F731" s="10"/>
      <c r="G731" s="10"/>
      <c r="H731" s="10"/>
      <c r="I731" s="10"/>
      <c r="J731" s="10"/>
      <c r="K731" s="10"/>
      <c r="L731" s="10"/>
      <c r="M731" s="10"/>
      <c r="N731" s="10"/>
      <c r="O731" s="10"/>
    </row>
    <row r="732" spans="1:18" ht="12.75">
      <c r="A732" s="10"/>
      <c r="B732" s="10" t="s">
        <v>867</v>
      </c>
      <c r="C732" s="10"/>
      <c r="D732" s="10"/>
      <c r="E732" s="10"/>
      <c r="F732" s="10"/>
      <c r="G732" s="10"/>
      <c r="H732" s="10"/>
      <c r="I732" s="10"/>
      <c r="J732" s="10"/>
      <c r="K732" s="10"/>
      <c r="L732" s="10"/>
      <c r="M732" s="10"/>
      <c r="N732" s="10"/>
      <c r="O732" s="10"/>
    </row>
    <row r="733" spans="1:18" ht="12.75">
      <c r="A733" s="10"/>
      <c r="B733" s="10"/>
      <c r="C733" s="10"/>
      <c r="D733" s="10"/>
      <c r="E733" s="10"/>
      <c r="F733" s="10"/>
      <c r="G733" s="10"/>
      <c r="H733" s="10"/>
      <c r="I733" s="10"/>
      <c r="J733" s="10"/>
      <c r="K733" s="10"/>
      <c r="L733" s="10"/>
      <c r="M733" s="10"/>
      <c r="N733" s="10"/>
      <c r="O733" s="10"/>
    </row>
    <row r="734" spans="1:18" ht="12.75">
      <c r="A734" s="10"/>
      <c r="B734" s="10"/>
      <c r="C734" s="10"/>
      <c r="D734" s="10"/>
      <c r="E734" s="10"/>
      <c r="F734" s="10"/>
      <c r="G734" s="10"/>
      <c r="H734" s="10"/>
      <c r="I734" s="10"/>
      <c r="J734" s="10"/>
      <c r="K734" s="10"/>
      <c r="L734" s="10"/>
      <c r="M734" s="10"/>
      <c r="N734" s="10"/>
      <c r="O734" s="10"/>
    </row>
    <row r="735" spans="1:18" s="92" customFormat="1" ht="63">
      <c r="A735" s="144" t="s">
        <v>1228</v>
      </c>
      <c r="B735" s="263" t="s">
        <v>533</v>
      </c>
      <c r="C735" s="263" t="s">
        <v>543</v>
      </c>
      <c r="D735" s="263" t="s">
        <v>522</v>
      </c>
      <c r="E735" s="264" t="s">
        <v>535</v>
      </c>
      <c r="F735" s="989"/>
      <c r="G735" s="989"/>
      <c r="H735" s="989"/>
      <c r="I735" s="989"/>
      <c r="J735" s="989"/>
      <c r="K735" s="989"/>
      <c r="L735" s="989"/>
      <c r="M735" s="989"/>
      <c r="N735" s="989"/>
      <c r="O735" s="989"/>
    </row>
    <row r="736" spans="1:18" ht="12.75">
      <c r="A736" s="62" t="s">
        <v>1229</v>
      </c>
      <c r="B736" s="175">
        <v>0.68162031746031748</v>
      </c>
      <c r="C736" s="274">
        <v>0.81774904761904776</v>
      </c>
      <c r="D736" s="274">
        <v>7.6374403174603181E-3</v>
      </c>
      <c r="E736" s="3">
        <v>2.7995230732492413E-2</v>
      </c>
    </row>
    <row r="737" spans="1:15" ht="12.75">
      <c r="A737" s="62" t="s">
        <v>1230</v>
      </c>
      <c r="B737" s="175">
        <v>2.0343823529411761E-2</v>
      </c>
      <c r="C737" s="274">
        <v>0.16584470588235292</v>
      </c>
      <c r="D737" s="274">
        <v>7.2147088235294113E-4</v>
      </c>
      <c r="E737" s="3">
        <v>8.0403949441996587E-3</v>
      </c>
    </row>
    <row r="738" spans="1:15" ht="12.75">
      <c r="A738" s="63" t="s">
        <v>600</v>
      </c>
      <c r="B738" s="732">
        <f t="shared" ref="B738:E738" si="158">AVERAGE(B736:B737)</f>
        <v>0.35098207049486463</v>
      </c>
      <c r="C738" s="733">
        <f t="shared" si="158"/>
        <v>0.49179687675070033</v>
      </c>
      <c r="D738" s="733">
        <f t="shared" si="158"/>
        <v>4.1794555999066299E-3</v>
      </c>
      <c r="E738" s="191">
        <f t="shared" si="158"/>
        <v>1.8017812838346036E-2</v>
      </c>
    </row>
    <row r="741" spans="1:15" s="92" customFormat="1" ht="51">
      <c r="A741" s="988" t="s">
        <v>1231</v>
      </c>
      <c r="B741" s="247" t="s">
        <v>1196</v>
      </c>
      <c r="C741" s="247" t="s">
        <v>1197</v>
      </c>
      <c r="D741" s="247" t="s">
        <v>1198</v>
      </c>
      <c r="E741" s="249" t="s">
        <v>1199</v>
      </c>
      <c r="F741" s="250" t="s">
        <v>1200</v>
      </c>
      <c r="G741" s="247" t="s">
        <v>1201</v>
      </c>
      <c r="H741" s="251" t="s">
        <v>1202</v>
      </c>
      <c r="I741" s="247" t="s">
        <v>1203</v>
      </c>
      <c r="J741" s="251" t="s">
        <v>1204</v>
      </c>
      <c r="K741" s="247" t="s">
        <v>1205</v>
      </c>
      <c r="L741" s="251" t="s">
        <v>1206</v>
      </c>
      <c r="M741" s="247" t="s">
        <v>1207</v>
      </c>
      <c r="N741" s="251" t="s">
        <v>1208</v>
      </c>
      <c r="O741" s="989"/>
    </row>
    <row r="742" spans="1:15" ht="12.75">
      <c r="A742" s="252" t="s">
        <v>358</v>
      </c>
      <c r="B742" s="253" t="s">
        <v>1217</v>
      </c>
      <c r="C742" s="254">
        <f t="shared" ref="C742:C745" si="159">1/1000</f>
        <v>1E-3</v>
      </c>
      <c r="D742" s="254">
        <f t="shared" ref="D742:D745" si="160">213/100</f>
        <v>2.13</v>
      </c>
      <c r="E742" s="255">
        <f t="shared" ref="E742:E744" si="161">1/(AVERAGE(0.61,0.72,0.76,0.69))</f>
        <v>1.4388489208633095</v>
      </c>
      <c r="F742" s="256">
        <f t="shared" ref="F742:F745" si="162">C742*D742*E742</f>
        <v>3.0647482014388491E-3</v>
      </c>
      <c r="G742" s="254">
        <v>4.09</v>
      </c>
      <c r="H742" s="256">
        <f t="shared" ref="H742:H745" si="163">G742*F742</f>
        <v>1.2534820143884892E-2</v>
      </c>
      <c r="I742" s="254">
        <v>33.33</v>
      </c>
      <c r="J742" s="256">
        <f t="shared" ref="J742:J745" si="164">I742*F742</f>
        <v>0.10214805755395684</v>
      </c>
      <c r="K742" s="254">
        <v>144.99</v>
      </c>
      <c r="L742" s="256">
        <f t="shared" ref="L742:L745" si="165">K742*F742*0.001</f>
        <v>4.4435784172661873E-4</v>
      </c>
      <c r="M742" s="254">
        <v>1.7</v>
      </c>
      <c r="N742" s="256">
        <f t="shared" ref="N742:N745" si="166">M742/453.592*E742</f>
        <v>5.3926064954135577E-3</v>
      </c>
      <c r="O742" s="10"/>
    </row>
    <row r="743" spans="1:15" ht="12.75">
      <c r="A743" s="15" t="s">
        <v>357</v>
      </c>
      <c r="B743" s="275" t="s">
        <v>1217</v>
      </c>
      <c r="C743" s="228">
        <f t="shared" si="159"/>
        <v>1E-3</v>
      </c>
      <c r="D743" s="228">
        <f t="shared" si="160"/>
        <v>2.13</v>
      </c>
      <c r="E743" s="258">
        <f t="shared" si="161"/>
        <v>1.4388489208633095</v>
      </c>
      <c r="F743" s="259">
        <f t="shared" si="162"/>
        <v>3.0647482014388491E-3</v>
      </c>
      <c r="G743" s="228">
        <v>4.09</v>
      </c>
      <c r="H743" s="259">
        <f t="shared" si="163"/>
        <v>1.2534820143884892E-2</v>
      </c>
      <c r="I743" s="228">
        <v>33.33</v>
      </c>
      <c r="J743" s="259">
        <f t="shared" si="164"/>
        <v>0.10214805755395684</v>
      </c>
      <c r="K743" s="228">
        <v>144.99</v>
      </c>
      <c r="L743" s="259">
        <f t="shared" si="165"/>
        <v>4.4435784172661873E-4</v>
      </c>
      <c r="M743" s="228">
        <v>1.7</v>
      </c>
      <c r="N743" s="259">
        <f t="shared" si="166"/>
        <v>5.3926064954135577E-3</v>
      </c>
      <c r="O743" s="10"/>
    </row>
    <row r="744" spans="1:15" ht="12.75">
      <c r="A744" s="15" t="s">
        <v>351</v>
      </c>
      <c r="B744" s="275" t="s">
        <v>1217</v>
      </c>
      <c r="C744" s="228">
        <f t="shared" si="159"/>
        <v>1E-3</v>
      </c>
      <c r="D744" s="228">
        <f t="shared" si="160"/>
        <v>2.13</v>
      </c>
      <c r="E744" s="258">
        <f t="shared" si="161"/>
        <v>1.4388489208633095</v>
      </c>
      <c r="F744" s="259">
        <f t="shared" si="162"/>
        <v>3.0647482014388491E-3</v>
      </c>
      <c r="G744" s="228">
        <v>4.09</v>
      </c>
      <c r="H744" s="259">
        <f t="shared" si="163"/>
        <v>1.2534820143884892E-2</v>
      </c>
      <c r="I744" s="228">
        <v>33.33</v>
      </c>
      <c r="J744" s="259">
        <f t="shared" si="164"/>
        <v>0.10214805755395684</v>
      </c>
      <c r="K744" s="228">
        <v>144.99</v>
      </c>
      <c r="L744" s="259">
        <f t="shared" si="165"/>
        <v>4.4435784172661873E-4</v>
      </c>
      <c r="M744" s="228">
        <v>1.7</v>
      </c>
      <c r="N744" s="259">
        <f t="shared" si="166"/>
        <v>5.3926064954135577E-3</v>
      </c>
      <c r="O744" s="10"/>
    </row>
    <row r="745" spans="1:15" ht="12.75">
      <c r="A745" s="15" t="s">
        <v>356</v>
      </c>
      <c r="B745" s="275" t="s">
        <v>1217</v>
      </c>
      <c r="C745" s="228">
        <f t="shared" si="159"/>
        <v>1E-3</v>
      </c>
      <c r="D745" s="228">
        <f t="shared" si="160"/>
        <v>2.13</v>
      </c>
      <c r="E745" s="258">
        <f>1/0.62</f>
        <v>1.6129032258064517</v>
      </c>
      <c r="F745" s="260">
        <f t="shared" si="162"/>
        <v>3.435483870967742E-3</v>
      </c>
      <c r="G745" s="261">
        <v>4.09</v>
      </c>
      <c r="H745" s="260">
        <f t="shared" si="163"/>
        <v>1.4051129032258063E-2</v>
      </c>
      <c r="I745" s="261">
        <v>33.33</v>
      </c>
      <c r="J745" s="260">
        <f t="shared" si="164"/>
        <v>0.11450467741935483</v>
      </c>
      <c r="K745" s="261">
        <v>144.99</v>
      </c>
      <c r="L745" s="260">
        <f t="shared" si="165"/>
        <v>4.9811080645161291E-4</v>
      </c>
      <c r="M745" s="261">
        <v>1.7</v>
      </c>
      <c r="N745" s="260">
        <f t="shared" si="166"/>
        <v>6.0449379263103585E-3</v>
      </c>
      <c r="O745" s="10"/>
    </row>
    <row r="746" spans="1:15" s="92" customFormat="1" ht="51.75">
      <c r="A746" s="276" t="s">
        <v>1232</v>
      </c>
      <c r="B746" s="734" t="s">
        <v>533</v>
      </c>
      <c r="C746" s="734" t="s">
        <v>543</v>
      </c>
      <c r="D746" s="734" t="s">
        <v>522</v>
      </c>
      <c r="E746" s="277" t="s">
        <v>535</v>
      </c>
      <c r="F746" s="989"/>
      <c r="G746" s="989"/>
      <c r="H746" s="989"/>
      <c r="I746" s="989"/>
      <c r="J746" s="989"/>
      <c r="K746" s="989"/>
      <c r="L746" s="989"/>
      <c r="M746" s="989"/>
      <c r="N746" s="989"/>
      <c r="O746" s="989"/>
    </row>
    <row r="747" spans="1:15" ht="12.75">
      <c r="A747" s="265" t="s">
        <v>358</v>
      </c>
      <c r="B747" s="278">
        <f t="shared" ref="B747:B750" si="167">H742</f>
        <v>1.2534820143884892E-2</v>
      </c>
      <c r="C747" s="278">
        <f t="shared" ref="C747:C750" si="168">J742</f>
        <v>0.10214805755395684</v>
      </c>
      <c r="D747" s="278">
        <f t="shared" ref="D747:D750" si="169">L742</f>
        <v>4.4435784172661873E-4</v>
      </c>
      <c r="E747" s="279">
        <f t="shared" ref="E747:E750" si="170">N742</f>
        <v>5.3926064954135577E-3</v>
      </c>
      <c r="F747" s="10"/>
      <c r="G747" s="10"/>
      <c r="H747" s="10"/>
      <c r="I747" s="10"/>
      <c r="J747" s="10"/>
      <c r="K747" s="10"/>
      <c r="L747" s="10"/>
      <c r="M747" s="10"/>
      <c r="N747" s="10"/>
      <c r="O747" s="10"/>
    </row>
    <row r="748" spans="1:15" ht="12.75">
      <c r="A748" s="232" t="s">
        <v>357</v>
      </c>
      <c r="B748" s="237">
        <f t="shared" si="167"/>
        <v>1.2534820143884892E-2</v>
      </c>
      <c r="C748" s="237">
        <f t="shared" si="168"/>
        <v>0.10214805755395684</v>
      </c>
      <c r="D748" s="237">
        <f t="shared" si="169"/>
        <v>4.4435784172661873E-4</v>
      </c>
      <c r="E748" s="280">
        <f t="shared" si="170"/>
        <v>5.3926064954135577E-3</v>
      </c>
      <c r="F748" s="10"/>
      <c r="G748" s="10"/>
      <c r="H748" s="10"/>
      <c r="I748" s="10"/>
      <c r="J748" s="10"/>
      <c r="K748" s="10"/>
      <c r="L748" s="10"/>
      <c r="M748" s="10"/>
      <c r="N748" s="10"/>
      <c r="O748" s="10"/>
    </row>
    <row r="749" spans="1:15" ht="12.75">
      <c r="A749" s="232" t="s">
        <v>351</v>
      </c>
      <c r="B749" s="237">
        <f t="shared" si="167"/>
        <v>1.2534820143884892E-2</v>
      </c>
      <c r="C749" s="237">
        <f t="shared" si="168"/>
        <v>0.10214805755395684</v>
      </c>
      <c r="D749" s="237">
        <f t="shared" si="169"/>
        <v>4.4435784172661873E-4</v>
      </c>
      <c r="E749" s="280">
        <f t="shared" si="170"/>
        <v>5.3926064954135577E-3</v>
      </c>
      <c r="F749" s="10"/>
      <c r="G749" s="10"/>
      <c r="H749" s="10"/>
      <c r="I749" s="10"/>
      <c r="J749" s="10"/>
      <c r="K749" s="10"/>
      <c r="L749" s="10"/>
      <c r="M749" s="10"/>
      <c r="N749" s="10"/>
      <c r="O749" s="10"/>
    </row>
    <row r="750" spans="1:15" ht="12.75">
      <c r="A750" s="270" t="s">
        <v>356</v>
      </c>
      <c r="B750" s="735">
        <f t="shared" si="167"/>
        <v>1.4051129032258063E-2</v>
      </c>
      <c r="C750" s="735">
        <f t="shared" si="168"/>
        <v>0.11450467741935483</v>
      </c>
      <c r="D750" s="735">
        <f t="shared" si="169"/>
        <v>4.9811080645161291E-4</v>
      </c>
      <c r="E750" s="272">
        <f t="shared" si="170"/>
        <v>6.0449379263103585E-3</v>
      </c>
      <c r="F750" s="10"/>
      <c r="G750" s="10"/>
      <c r="H750" s="10"/>
      <c r="I750" s="10"/>
      <c r="J750" s="10"/>
      <c r="K750" s="10"/>
      <c r="L750" s="10"/>
      <c r="M750" s="10"/>
      <c r="N750" s="10"/>
      <c r="O750" s="10"/>
    </row>
    <row r="751" spans="1:15" ht="12.75">
      <c r="A751" s="10" t="s">
        <v>538</v>
      </c>
      <c r="B751" s="273" t="s">
        <v>1225</v>
      </c>
      <c r="C751" s="10"/>
      <c r="D751" s="10"/>
      <c r="E751" s="10"/>
      <c r="F751" s="10"/>
      <c r="G751" s="10"/>
      <c r="H751" s="10"/>
      <c r="I751" s="10"/>
      <c r="J751" s="10"/>
      <c r="K751" s="10"/>
      <c r="L751" s="10"/>
      <c r="M751" s="10"/>
      <c r="N751" s="10"/>
      <c r="O751" s="10"/>
    </row>
    <row r="752" spans="1:15" ht="12.75">
      <c r="A752" s="10"/>
      <c r="B752" s="668" t="s">
        <v>1226</v>
      </c>
      <c r="C752" s="10"/>
      <c r="D752" s="10"/>
      <c r="E752" s="10"/>
      <c r="F752" s="10"/>
      <c r="G752" s="10"/>
      <c r="H752" s="10"/>
      <c r="I752" s="10"/>
      <c r="J752" s="10"/>
      <c r="K752" s="10"/>
      <c r="L752" s="10"/>
      <c r="M752" s="10"/>
      <c r="N752" s="10"/>
      <c r="O752" s="10"/>
    </row>
    <row r="753" spans="1:15" ht="12.75">
      <c r="A753" s="10"/>
      <c r="B753" s="10" t="s">
        <v>1227</v>
      </c>
      <c r="C753" s="10"/>
      <c r="D753" s="10"/>
      <c r="E753" s="10"/>
      <c r="F753" s="10"/>
      <c r="G753" s="10"/>
      <c r="H753" s="10"/>
      <c r="I753" s="10"/>
      <c r="J753" s="10"/>
      <c r="K753" s="10"/>
      <c r="L753" s="10"/>
      <c r="M753" s="10"/>
      <c r="N753" s="10"/>
      <c r="O753" s="10"/>
    </row>
    <row r="754" spans="1:15" ht="12.75">
      <c r="A754" s="10"/>
      <c r="B754" s="10" t="s">
        <v>867</v>
      </c>
      <c r="C754" s="10"/>
      <c r="D754" s="10"/>
      <c r="E754" s="10"/>
      <c r="F754" s="10"/>
      <c r="G754" s="10"/>
      <c r="H754" s="10"/>
      <c r="I754" s="10"/>
      <c r="J754" s="10"/>
      <c r="K754" s="10"/>
      <c r="L754" s="10"/>
      <c r="M754" s="10"/>
      <c r="N754" s="10"/>
      <c r="O754" s="10"/>
    </row>
    <row r="755" spans="1:15" ht="12.75">
      <c r="A755" s="10"/>
      <c r="B755" s="10"/>
      <c r="C755" s="10"/>
      <c r="D755" s="10"/>
      <c r="E755" s="10"/>
      <c r="F755" s="10"/>
      <c r="G755" s="10"/>
      <c r="H755" s="10"/>
      <c r="I755" s="10"/>
      <c r="J755" s="10"/>
      <c r="K755" s="10"/>
      <c r="L755" s="10"/>
      <c r="M755" s="10"/>
      <c r="N755" s="10"/>
      <c r="O755" s="10"/>
    </row>
    <row r="756" spans="1:15" ht="12.75">
      <c r="A756" s="10"/>
      <c r="B756" s="10"/>
      <c r="C756" s="10"/>
      <c r="D756" s="10"/>
      <c r="E756" s="10"/>
      <c r="F756" s="10"/>
      <c r="G756" s="10"/>
      <c r="H756" s="10"/>
      <c r="I756" s="10"/>
      <c r="J756" s="10"/>
      <c r="K756" s="10"/>
      <c r="L756" s="10"/>
      <c r="M756" s="10"/>
      <c r="N756" s="10"/>
      <c r="O756" s="10"/>
    </row>
    <row r="757" spans="1:15" s="92" customFormat="1" ht="51">
      <c r="A757" s="988" t="s">
        <v>1233</v>
      </c>
      <c r="B757" s="247" t="s">
        <v>1196</v>
      </c>
      <c r="C757" s="247" t="s">
        <v>1197</v>
      </c>
      <c r="D757" s="247" t="s">
        <v>1198</v>
      </c>
      <c r="E757" s="249" t="s">
        <v>1199</v>
      </c>
      <c r="F757" s="250" t="s">
        <v>1200</v>
      </c>
      <c r="G757" s="247" t="s">
        <v>1201</v>
      </c>
      <c r="H757" s="251" t="s">
        <v>1202</v>
      </c>
      <c r="I757" s="247" t="s">
        <v>1203</v>
      </c>
      <c r="J757" s="251" t="s">
        <v>1204</v>
      </c>
      <c r="K757" s="247" t="s">
        <v>1205</v>
      </c>
      <c r="L757" s="251" t="s">
        <v>1206</v>
      </c>
      <c r="M757" s="247" t="s">
        <v>1207</v>
      </c>
      <c r="N757" s="251" t="s">
        <v>1208</v>
      </c>
      <c r="O757" s="989"/>
    </row>
    <row r="758" spans="1:15" ht="12.75">
      <c r="A758" s="252" t="s">
        <v>378</v>
      </c>
      <c r="B758" s="253" t="s">
        <v>1217</v>
      </c>
      <c r="C758" s="254">
        <v>1E-3</v>
      </c>
      <c r="D758" s="254">
        <f>211/100</f>
        <v>2.11</v>
      </c>
      <c r="E758" s="255">
        <f>1/0.77</f>
        <v>1.2987012987012987</v>
      </c>
      <c r="F758" s="256">
        <f t="shared" ref="F758:F759" si="171">C758*D758*E758</f>
        <v>2.7402597402597399E-3</v>
      </c>
      <c r="G758" s="228">
        <v>5.26</v>
      </c>
      <c r="H758" s="259">
        <f>G758*F758</f>
        <v>1.4413766233766232E-2</v>
      </c>
      <c r="I758" s="228">
        <v>42.88</v>
      </c>
      <c r="J758" s="259">
        <f t="shared" ref="J758:J759" si="172">I758*F758</f>
        <v>0.11750233766233766</v>
      </c>
      <c r="K758" s="228">
        <v>186.54</v>
      </c>
      <c r="L758" s="259">
        <f t="shared" ref="L758:L759" si="173">K758*F758*0.001</f>
        <v>5.1116805194805187E-4</v>
      </c>
      <c r="M758" s="228">
        <v>2.48</v>
      </c>
      <c r="N758" s="259">
        <f t="shared" ref="N758:N759" si="174">M758/453.592*E758</f>
        <v>7.1006085221503486E-3</v>
      </c>
      <c r="O758" s="10"/>
    </row>
    <row r="759" spans="1:15" ht="12.75">
      <c r="A759" s="281" t="s">
        <v>1234</v>
      </c>
      <c r="B759" s="282" t="s">
        <v>1217</v>
      </c>
      <c r="C759" s="261">
        <v>1E-3</v>
      </c>
      <c r="D759" s="261">
        <f>263/100</f>
        <v>2.63</v>
      </c>
      <c r="E759" s="283">
        <f>1/0.68</f>
        <v>1.4705882352941175</v>
      </c>
      <c r="F759" s="260">
        <f t="shared" si="171"/>
        <v>3.867647058823529E-3</v>
      </c>
      <c r="G759" s="261">
        <v>5.26</v>
      </c>
      <c r="H759" s="260">
        <f>F759*G759</f>
        <v>2.0343823529411761E-2</v>
      </c>
      <c r="I759" s="261">
        <v>42.88</v>
      </c>
      <c r="J759" s="260">
        <f t="shared" si="172"/>
        <v>0.16584470588235292</v>
      </c>
      <c r="K759" s="261">
        <v>186.54</v>
      </c>
      <c r="L759" s="260">
        <f t="shared" si="173"/>
        <v>7.2147088235294113E-4</v>
      </c>
      <c r="M759" s="261">
        <v>2.48</v>
      </c>
      <c r="N759" s="260">
        <f t="shared" si="174"/>
        <v>8.0403949441996587E-3</v>
      </c>
      <c r="O759" s="10"/>
    </row>
    <row r="760" spans="1:15" s="92" customFormat="1" ht="51">
      <c r="A760" s="990" t="s">
        <v>1235</v>
      </c>
      <c r="B760" s="284" t="s">
        <v>1196</v>
      </c>
      <c r="C760" s="284" t="s">
        <v>1197</v>
      </c>
      <c r="D760" s="284" t="s">
        <v>1198</v>
      </c>
      <c r="E760" s="285" t="s">
        <v>1199</v>
      </c>
      <c r="F760" s="286" t="s">
        <v>1200</v>
      </c>
      <c r="G760" s="284" t="s">
        <v>1201</v>
      </c>
      <c r="H760" s="287" t="s">
        <v>1202</v>
      </c>
      <c r="I760" s="284" t="s">
        <v>1203</v>
      </c>
      <c r="J760" s="287" t="s">
        <v>1204</v>
      </c>
      <c r="K760" s="284" t="s">
        <v>1205</v>
      </c>
      <c r="L760" s="287" t="s">
        <v>1206</v>
      </c>
      <c r="M760" s="284" t="s">
        <v>1207</v>
      </c>
      <c r="N760" s="287" t="s">
        <v>1208</v>
      </c>
      <c r="O760" s="989"/>
    </row>
    <row r="761" spans="1:15" ht="12.75">
      <c r="A761" s="246"/>
      <c r="B761" s="248" t="s">
        <v>1217</v>
      </c>
      <c r="C761" s="288">
        <v>1E-3</v>
      </c>
      <c r="D761" s="254">
        <v>3.76</v>
      </c>
      <c r="E761" s="289">
        <v>1.0416666670000001</v>
      </c>
      <c r="F761" s="290">
        <f>C761*D761*E761</f>
        <v>3.9166666679200006E-3</v>
      </c>
      <c r="G761" s="261">
        <v>5.26</v>
      </c>
      <c r="H761" s="290">
        <f>G761*F761</f>
        <v>2.0601666673259203E-2</v>
      </c>
      <c r="I761" s="261">
        <v>42.88</v>
      </c>
      <c r="J761" s="290">
        <f>I761*F761</f>
        <v>0.16794666672040964</v>
      </c>
      <c r="K761" s="261">
        <v>186.54</v>
      </c>
      <c r="L761" s="260">
        <f>K761*F761*0.001</f>
        <v>7.3061500023379692E-4</v>
      </c>
      <c r="M761" s="261">
        <v>2.48</v>
      </c>
      <c r="N761" s="260">
        <f>M761/453.592*E761</f>
        <v>5.6952797539639157E-3</v>
      </c>
      <c r="O761" s="10"/>
    </row>
    <row r="762" spans="1:15" s="92" customFormat="1" ht="51">
      <c r="A762" s="988" t="s">
        <v>1236</v>
      </c>
      <c r="B762" s="247" t="s">
        <v>1196</v>
      </c>
      <c r="C762" s="247" t="s">
        <v>1197</v>
      </c>
      <c r="D762" s="247" t="s">
        <v>1198</v>
      </c>
      <c r="E762" s="249" t="s">
        <v>1199</v>
      </c>
      <c r="F762" s="250" t="s">
        <v>1200</v>
      </c>
      <c r="G762" s="247" t="s">
        <v>1201</v>
      </c>
      <c r="H762" s="251" t="s">
        <v>1202</v>
      </c>
      <c r="I762" s="247" t="s">
        <v>1203</v>
      </c>
      <c r="J762" s="251" t="s">
        <v>1204</v>
      </c>
      <c r="K762" s="247" t="s">
        <v>1205</v>
      </c>
      <c r="L762" s="251" t="s">
        <v>1206</v>
      </c>
      <c r="M762" s="247" t="s">
        <v>1207</v>
      </c>
      <c r="N762" s="251" t="s">
        <v>1208</v>
      </c>
      <c r="O762" s="989"/>
    </row>
    <row r="763" spans="1:15" ht="12.75">
      <c r="A763" s="252"/>
      <c r="B763" s="253" t="s">
        <v>1217</v>
      </c>
      <c r="C763" s="254">
        <v>1E-3</v>
      </c>
      <c r="D763" s="254">
        <v>3.76</v>
      </c>
      <c r="E763" s="255">
        <v>3.2608695650000001</v>
      </c>
      <c r="F763" s="290">
        <f>C763*D763*E763</f>
        <v>1.22608695644E-2</v>
      </c>
      <c r="G763" s="261">
        <v>5.26</v>
      </c>
      <c r="H763" s="290">
        <f>G763*F763</f>
        <v>6.4492173908743997E-2</v>
      </c>
      <c r="I763" s="261">
        <v>42.88</v>
      </c>
      <c r="J763" s="290">
        <f>I763*F763</f>
        <v>0.52574608692147207</v>
      </c>
      <c r="K763" s="261">
        <v>186.54</v>
      </c>
      <c r="L763" s="260">
        <f>K763*F763*0.001</f>
        <v>2.2871426085431757E-3</v>
      </c>
      <c r="M763" s="261">
        <v>2.48</v>
      </c>
      <c r="N763" s="260">
        <f>M763/453.592*E763</f>
        <v>1.782870183160197E-2</v>
      </c>
      <c r="O763" s="10"/>
    </row>
    <row r="764" spans="1:15" s="92" customFormat="1" ht="51.75">
      <c r="A764" s="144" t="s">
        <v>1237</v>
      </c>
      <c r="B764" s="685" t="s">
        <v>533</v>
      </c>
      <c r="C764" s="685" t="s">
        <v>543</v>
      </c>
      <c r="D764" s="685" t="s">
        <v>522</v>
      </c>
      <c r="E764" s="291" t="s">
        <v>535</v>
      </c>
      <c r="F764" s="989"/>
      <c r="G764" s="989"/>
      <c r="H764" s="989"/>
      <c r="I764" s="989"/>
      <c r="J764" s="989"/>
      <c r="K764" s="989"/>
      <c r="L764" s="989"/>
      <c r="M764" s="989"/>
      <c r="N764" s="989"/>
      <c r="O764" s="989"/>
    </row>
    <row r="765" spans="1:15" ht="12.75">
      <c r="A765" s="232" t="s">
        <v>378</v>
      </c>
      <c r="B765" s="237">
        <f t="shared" ref="B765:B766" si="175">H758</f>
        <v>1.4413766233766232E-2</v>
      </c>
      <c r="C765" s="237">
        <f t="shared" ref="C765:C766" si="176">J758</f>
        <v>0.11750233766233766</v>
      </c>
      <c r="D765" s="237">
        <f t="shared" ref="D765:D766" si="177">L758</f>
        <v>5.1116805194805187E-4</v>
      </c>
      <c r="E765" s="280">
        <f t="shared" ref="E765:E766" si="178">N758</f>
        <v>7.1006085221503486E-3</v>
      </c>
      <c r="F765" s="10"/>
      <c r="G765" s="10"/>
      <c r="H765" s="10"/>
      <c r="I765" s="10"/>
      <c r="J765" s="10"/>
      <c r="K765" s="10"/>
      <c r="L765" s="10"/>
      <c r="M765" s="10"/>
      <c r="N765" s="10"/>
      <c r="O765" s="10"/>
    </row>
    <row r="766" spans="1:15" ht="12.75">
      <c r="A766" s="270" t="s">
        <v>1238</v>
      </c>
      <c r="B766" s="735">
        <f t="shared" si="175"/>
        <v>2.0343823529411761E-2</v>
      </c>
      <c r="C766" s="735">
        <f t="shared" si="176"/>
        <v>0.16584470588235292</v>
      </c>
      <c r="D766" s="735">
        <f t="shared" si="177"/>
        <v>7.2147088235294113E-4</v>
      </c>
      <c r="E766" s="272">
        <f t="shared" si="178"/>
        <v>8.0403949441996587E-3</v>
      </c>
      <c r="F766" s="10"/>
      <c r="G766" s="10"/>
      <c r="H766" s="10"/>
      <c r="I766" s="10"/>
      <c r="J766" s="10"/>
      <c r="K766" s="10"/>
      <c r="L766" s="10"/>
      <c r="M766" s="10"/>
      <c r="N766" s="10"/>
      <c r="O766" s="10"/>
    </row>
    <row r="767" spans="1:15" s="92" customFormat="1" ht="51.75">
      <c r="A767" s="292" t="s">
        <v>1239</v>
      </c>
      <c r="B767" s="293" t="s">
        <v>533</v>
      </c>
      <c r="C767" s="293" t="s">
        <v>543</v>
      </c>
      <c r="D767" s="293" t="s">
        <v>522</v>
      </c>
      <c r="E767" s="294" t="s">
        <v>535</v>
      </c>
      <c r="F767" s="989"/>
      <c r="G767" s="989"/>
      <c r="H767" s="989"/>
      <c r="I767" s="989"/>
      <c r="J767" s="989"/>
      <c r="K767" s="989"/>
      <c r="L767" s="989"/>
      <c r="M767" s="989"/>
      <c r="N767" s="989"/>
      <c r="O767" s="989"/>
    </row>
    <row r="768" spans="1:15" ht="12.75">
      <c r="A768" s="270" t="s">
        <v>377</v>
      </c>
      <c r="B768" s="735">
        <f>H761</f>
        <v>2.0601666673259203E-2</v>
      </c>
      <c r="C768" s="735">
        <f>J761</f>
        <v>0.16794666672040964</v>
      </c>
      <c r="D768" s="735">
        <f>L761</f>
        <v>7.3061500023379692E-4</v>
      </c>
      <c r="E768" s="272">
        <f>N761</f>
        <v>5.6952797539639157E-3</v>
      </c>
      <c r="F768" s="10"/>
      <c r="G768" s="10"/>
      <c r="H768" s="10"/>
      <c r="I768" s="10"/>
      <c r="J768" s="10"/>
      <c r="K768" s="10"/>
      <c r="L768" s="10"/>
      <c r="M768" s="10"/>
      <c r="N768" s="10"/>
      <c r="O768" s="10"/>
    </row>
    <row r="769" spans="1:15" ht="51.75">
      <c r="A769" s="292" t="s">
        <v>1240</v>
      </c>
      <c r="B769" s="293" t="s">
        <v>533</v>
      </c>
      <c r="C769" s="293" t="s">
        <v>543</v>
      </c>
      <c r="D769" s="293" t="s">
        <v>522</v>
      </c>
      <c r="E769" s="294" t="s">
        <v>535</v>
      </c>
      <c r="F769" s="10"/>
      <c r="G769" s="10"/>
      <c r="H769" s="10"/>
      <c r="I769" s="10"/>
      <c r="J769" s="10"/>
      <c r="K769" s="10"/>
      <c r="L769" s="10"/>
      <c r="M769" s="10"/>
      <c r="N769" s="10"/>
      <c r="O769" s="10"/>
    </row>
    <row r="770" spans="1:15" ht="12.75">
      <c r="A770" s="270" t="s">
        <v>362</v>
      </c>
      <c r="B770" s="735">
        <f>H763</f>
        <v>6.4492173908743997E-2</v>
      </c>
      <c r="C770" s="735">
        <f>J763</f>
        <v>0.52574608692147207</v>
      </c>
      <c r="D770" s="735">
        <f>L763</f>
        <v>2.2871426085431757E-3</v>
      </c>
      <c r="E770" s="272">
        <f>N763</f>
        <v>1.782870183160197E-2</v>
      </c>
      <c r="F770" s="10"/>
      <c r="G770" s="10"/>
      <c r="H770" s="10"/>
      <c r="I770" s="10"/>
      <c r="J770" s="10"/>
      <c r="K770" s="10"/>
      <c r="L770" s="10"/>
      <c r="M770" s="10"/>
      <c r="N770" s="10"/>
      <c r="O770" s="10"/>
    </row>
    <row r="771" spans="1:15" ht="12.75">
      <c r="A771" s="10" t="s">
        <v>538</v>
      </c>
      <c r="B771" s="273" t="s">
        <v>1225</v>
      </c>
      <c r="C771" s="10"/>
      <c r="D771" s="10"/>
      <c r="E771" s="10"/>
      <c r="F771" s="10"/>
      <c r="G771" s="10"/>
      <c r="H771" s="10"/>
      <c r="I771" s="10"/>
      <c r="J771" s="10"/>
      <c r="K771" s="10"/>
      <c r="L771" s="10"/>
      <c r="M771" s="10"/>
      <c r="N771" s="10"/>
      <c r="O771" s="10"/>
    </row>
    <row r="772" spans="1:15" ht="12.75">
      <c r="A772" s="10"/>
      <c r="B772" s="668" t="s">
        <v>1226</v>
      </c>
      <c r="C772" s="10"/>
      <c r="D772" s="10"/>
      <c r="E772" s="10"/>
      <c r="F772" s="10"/>
      <c r="G772" s="10"/>
      <c r="H772" s="10"/>
      <c r="I772" s="10"/>
      <c r="J772" s="10"/>
      <c r="K772" s="10"/>
      <c r="L772" s="10"/>
      <c r="M772" s="10"/>
      <c r="N772" s="10"/>
      <c r="O772" s="10"/>
    </row>
    <row r="773" spans="1:15" ht="12.75">
      <c r="A773" s="10"/>
      <c r="B773" s="10" t="s">
        <v>1227</v>
      </c>
      <c r="C773" s="10"/>
      <c r="D773" s="10"/>
      <c r="E773" s="10"/>
      <c r="F773" s="10"/>
      <c r="G773" s="10"/>
      <c r="H773" s="10"/>
      <c r="I773" s="10"/>
      <c r="J773" s="10"/>
      <c r="K773" s="10"/>
      <c r="L773" s="10"/>
      <c r="M773" s="10"/>
      <c r="N773" s="10"/>
      <c r="O773" s="10"/>
    </row>
    <row r="774" spans="1:15" ht="12.75">
      <c r="A774" s="10"/>
      <c r="B774" s="10" t="s">
        <v>867</v>
      </c>
      <c r="C774" s="10"/>
      <c r="D774" s="10"/>
      <c r="E774" s="10"/>
      <c r="F774" s="10"/>
      <c r="G774" s="10"/>
      <c r="H774" s="10"/>
      <c r="I774" s="10"/>
      <c r="J774" s="10"/>
      <c r="K774" s="10"/>
      <c r="L774" s="10"/>
      <c r="M774" s="10"/>
      <c r="N774" s="10"/>
      <c r="O774" s="10"/>
    </row>
    <row r="775" spans="1:15" ht="12.75">
      <c r="A775" s="10"/>
      <c r="B775" s="10"/>
      <c r="C775" s="10"/>
      <c r="D775" s="10"/>
      <c r="E775" s="10"/>
      <c r="F775" s="10"/>
      <c r="G775" s="10"/>
      <c r="H775" s="10"/>
      <c r="I775" s="10"/>
      <c r="J775" s="10"/>
      <c r="K775" s="10"/>
      <c r="L775" s="10"/>
      <c r="M775" s="10"/>
      <c r="N775" s="10"/>
      <c r="O775" s="10"/>
    </row>
    <row r="776" spans="1:15" ht="12.75">
      <c r="A776" s="10"/>
      <c r="B776" s="10"/>
      <c r="C776" s="10"/>
      <c r="D776" s="10"/>
      <c r="E776" s="10"/>
      <c r="F776" s="10"/>
      <c r="G776" s="10"/>
      <c r="H776" s="10"/>
      <c r="I776" s="10"/>
      <c r="J776" s="10"/>
      <c r="K776" s="10"/>
      <c r="L776" s="10"/>
      <c r="M776" s="10"/>
      <c r="N776" s="10"/>
      <c r="O776" s="10"/>
    </row>
    <row r="777" spans="1:15" ht="12.75">
      <c r="A777" s="10"/>
      <c r="B777" s="10"/>
      <c r="C777" s="10"/>
      <c r="D777" s="10"/>
      <c r="E777" s="10"/>
      <c r="F777" s="10"/>
      <c r="G777" s="10"/>
      <c r="H777" s="10"/>
      <c r="I777" s="10"/>
      <c r="J777" s="10"/>
      <c r="K777" s="10"/>
      <c r="L777" s="10"/>
      <c r="M777" s="10"/>
      <c r="N777" s="10"/>
      <c r="O777" s="10"/>
    </row>
    <row r="778" spans="1:15" ht="12.75">
      <c r="A778" s="10"/>
      <c r="B778" s="10"/>
      <c r="C778" s="10"/>
      <c r="D778" s="10"/>
      <c r="E778" s="10"/>
      <c r="F778" s="10"/>
      <c r="G778" s="10"/>
      <c r="H778" s="10"/>
      <c r="I778" s="10"/>
      <c r="J778" s="10"/>
      <c r="K778" s="10"/>
      <c r="L778" s="10"/>
      <c r="M778" s="10"/>
      <c r="N778" s="10"/>
      <c r="O778" s="10"/>
    </row>
    <row r="779" spans="1:15" s="92" customFormat="1" ht="51">
      <c r="A779" s="988" t="s">
        <v>1241</v>
      </c>
      <c r="B779" s="247" t="s">
        <v>1196</v>
      </c>
      <c r="C779" s="247" t="s">
        <v>1197</v>
      </c>
      <c r="D779" s="247" t="s">
        <v>1198</v>
      </c>
      <c r="E779" s="249" t="s">
        <v>1199</v>
      </c>
      <c r="F779" s="250" t="s">
        <v>1200</v>
      </c>
      <c r="G779" s="247" t="s">
        <v>1201</v>
      </c>
      <c r="H779" s="251" t="s">
        <v>1242</v>
      </c>
      <c r="I779" s="247" t="s">
        <v>1203</v>
      </c>
      <c r="J779" s="251" t="s">
        <v>1204</v>
      </c>
      <c r="K779" s="247" t="s">
        <v>1205</v>
      </c>
      <c r="L779" s="251" t="s">
        <v>1206</v>
      </c>
      <c r="M779" s="247" t="s">
        <v>1207</v>
      </c>
      <c r="N779" s="251" t="s">
        <v>1208</v>
      </c>
      <c r="O779" s="989"/>
    </row>
    <row r="780" spans="1:15" ht="12.75">
      <c r="A780" s="252" t="s">
        <v>1243</v>
      </c>
      <c r="B780" s="253" t="s">
        <v>1217</v>
      </c>
      <c r="C780" s="254">
        <v>1E-3</v>
      </c>
      <c r="D780" s="254">
        <v>2.0099999999999998</v>
      </c>
      <c r="E780" s="255">
        <v>1.5625</v>
      </c>
      <c r="F780" s="290">
        <v>3.1406250000000002E-3</v>
      </c>
      <c r="G780" s="288">
        <v>4.09</v>
      </c>
      <c r="H780" s="295">
        <f>F780*G780</f>
        <v>1.284515625E-2</v>
      </c>
      <c r="I780" s="288">
        <v>33.33</v>
      </c>
      <c r="J780" s="295">
        <f>F780*I780</f>
        <v>0.10467703125</v>
      </c>
      <c r="K780" s="288">
        <v>144.99</v>
      </c>
      <c r="L780" s="295">
        <f>K780*F780*0.001</f>
        <v>4.5535921875000006E-4</v>
      </c>
      <c r="M780" s="288">
        <v>2.0800999999999998</v>
      </c>
      <c r="N780" s="260">
        <f>M780/453.592*E780</f>
        <v>7.1653738381629306E-3</v>
      </c>
      <c r="O780" s="10"/>
    </row>
    <row r="781" spans="1:15" s="92" customFormat="1" ht="51.75">
      <c r="A781" s="144" t="s">
        <v>1244</v>
      </c>
      <c r="B781" s="685" t="s">
        <v>533</v>
      </c>
      <c r="C781" s="685" t="s">
        <v>543</v>
      </c>
      <c r="D781" s="685" t="s">
        <v>522</v>
      </c>
      <c r="E781" s="291" t="s">
        <v>535</v>
      </c>
      <c r="F781" s="989"/>
      <c r="G781" s="989"/>
      <c r="H781" s="989"/>
      <c r="I781" s="989"/>
      <c r="J781" s="989"/>
      <c r="K781" s="989"/>
      <c r="L781" s="989"/>
      <c r="M781" s="989"/>
      <c r="N781" s="989"/>
      <c r="O781" s="989"/>
    </row>
    <row r="782" spans="1:15" ht="12.75">
      <c r="A782" s="296" t="s">
        <v>1243</v>
      </c>
      <c r="B782" s="735">
        <f>H780</f>
        <v>1.284515625E-2</v>
      </c>
      <c r="C782" s="735">
        <f>J780</f>
        <v>0.10467703125</v>
      </c>
      <c r="D782" s="735">
        <f>L780</f>
        <v>4.5535921875000006E-4</v>
      </c>
      <c r="E782" s="272">
        <f>N780</f>
        <v>7.1653738381629306E-3</v>
      </c>
      <c r="F782" s="10"/>
      <c r="G782" s="10"/>
      <c r="H782" s="10"/>
      <c r="I782" s="10"/>
      <c r="J782" s="10"/>
      <c r="K782" s="10"/>
      <c r="L782" s="10"/>
      <c r="M782" s="10"/>
      <c r="N782" s="10"/>
      <c r="O782" s="10"/>
    </row>
    <row r="783" spans="1:15" ht="12.75">
      <c r="A783" s="10" t="s">
        <v>538</v>
      </c>
      <c r="B783" s="273" t="s">
        <v>1225</v>
      </c>
      <c r="C783" s="10"/>
      <c r="D783" s="10"/>
      <c r="E783" s="10"/>
      <c r="F783" s="10"/>
      <c r="G783" s="10"/>
      <c r="H783" s="10"/>
      <c r="I783" s="10"/>
      <c r="J783" s="10"/>
      <c r="K783" s="10"/>
      <c r="L783" s="10"/>
      <c r="M783" s="10"/>
      <c r="N783" s="10"/>
      <c r="O783" s="10"/>
    </row>
    <row r="784" spans="1:15" ht="12.75">
      <c r="A784" s="10"/>
      <c r="B784" s="10" t="s">
        <v>1227</v>
      </c>
      <c r="C784" s="10"/>
      <c r="D784" s="10"/>
      <c r="E784" s="10"/>
      <c r="F784" s="10"/>
      <c r="G784" s="10"/>
      <c r="H784" s="10"/>
      <c r="I784" s="10"/>
      <c r="J784" s="10"/>
      <c r="K784" s="10"/>
      <c r="L784" s="10"/>
      <c r="M784" s="10"/>
      <c r="N784" s="10"/>
      <c r="O784" s="10"/>
    </row>
    <row r="785" spans="1:66" ht="12.75">
      <c r="A785" s="10"/>
      <c r="B785" s="10" t="s">
        <v>867</v>
      </c>
      <c r="C785" s="10"/>
      <c r="D785" s="10"/>
      <c r="E785" s="10"/>
      <c r="F785" s="10"/>
      <c r="G785" s="10"/>
      <c r="H785" s="10"/>
      <c r="I785" s="10"/>
      <c r="J785" s="10"/>
      <c r="K785" s="10"/>
      <c r="L785" s="10"/>
      <c r="M785" s="10"/>
      <c r="N785" s="10"/>
      <c r="O785" s="10"/>
    </row>
    <row r="786" spans="1:66" ht="12.75">
      <c r="A786" s="10"/>
      <c r="B786" s="10" t="s">
        <v>1245</v>
      </c>
      <c r="C786" s="10"/>
      <c r="D786" s="10"/>
      <c r="E786" s="10"/>
      <c r="F786" s="10"/>
      <c r="G786" s="10"/>
      <c r="H786" s="10"/>
      <c r="I786" s="10"/>
      <c r="J786" s="10"/>
      <c r="K786" s="10"/>
      <c r="L786" s="10"/>
      <c r="M786" s="10"/>
      <c r="N786" s="10"/>
      <c r="O786" s="10"/>
    </row>
    <row r="789" spans="1:66" ht="12.75">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row>
    <row r="790" spans="1:66" ht="30.75" customHeight="1">
      <c r="A790" s="238" t="s">
        <v>1246</v>
      </c>
    </row>
    <row r="792" spans="1:66" s="92" customFormat="1" ht="51.75">
      <c r="A792" s="52" t="s">
        <v>1247</v>
      </c>
      <c r="B792" s="685" t="s">
        <v>533</v>
      </c>
      <c r="C792" s="685" t="s">
        <v>543</v>
      </c>
      <c r="D792" s="685" t="s">
        <v>522</v>
      </c>
      <c r="E792" s="291" t="s">
        <v>535</v>
      </c>
    </row>
    <row r="793" spans="1:66" ht="12.75">
      <c r="A793" s="62" t="s">
        <v>1248</v>
      </c>
      <c r="B793">
        <f t="shared" ref="B793:B794" si="179">0.550522590631499/100</f>
        <v>5.5052259063149899E-3</v>
      </c>
      <c r="C793">
        <f t="shared" ref="C793:C794" si="180">8.28560180881695/100</f>
        <v>8.2856018088169489E-2</v>
      </c>
      <c r="D793">
        <f t="shared" ref="D793:D794" si="181">3816/1000000</f>
        <v>3.8159999999999999E-3</v>
      </c>
      <c r="E793" s="3">
        <f t="shared" ref="E793:E794" si="182">0.86/453.592</f>
        <v>1.8959770013580487E-3</v>
      </c>
    </row>
    <row r="794" spans="1:66" ht="12.75">
      <c r="A794" s="63" t="s">
        <v>311</v>
      </c>
      <c r="B794" s="617">
        <f t="shared" si="179"/>
        <v>5.5052259063149899E-3</v>
      </c>
      <c r="C794" s="617">
        <f t="shared" si="180"/>
        <v>8.2856018088169489E-2</v>
      </c>
      <c r="D794" s="617">
        <f t="shared" si="181"/>
        <v>3.8159999999999999E-3</v>
      </c>
      <c r="E794" s="5">
        <f t="shared" si="182"/>
        <v>1.8959770013580487E-3</v>
      </c>
      <c r="F794" s="14" t="s">
        <v>1249</v>
      </c>
    </row>
    <row r="795" spans="1:66" ht="12.75">
      <c r="A795" s="14" t="s">
        <v>538</v>
      </c>
      <c r="B795" s="14" t="s">
        <v>570</v>
      </c>
    </row>
    <row r="796" spans="1:66" ht="12.75">
      <c r="B796" s="14" t="s">
        <v>1190</v>
      </c>
    </row>
    <row r="797" spans="1:66" ht="12.75">
      <c r="A797" s="105"/>
      <c r="B797" s="655" t="s">
        <v>656</v>
      </c>
    </row>
    <row r="800" spans="1:66" s="92" customFormat="1" ht="51">
      <c r="A800" s="208" t="s">
        <v>1250</v>
      </c>
      <c r="B800" s="202" t="s">
        <v>1251</v>
      </c>
      <c r="C800" s="202" t="s">
        <v>1252</v>
      </c>
      <c r="D800" s="202" t="s">
        <v>1253</v>
      </c>
      <c r="E800" s="202" t="s">
        <v>1254</v>
      </c>
      <c r="F800" s="202" t="s">
        <v>1255</v>
      </c>
      <c r="G800" s="716" t="s">
        <v>1256</v>
      </c>
      <c r="H800" s="202" t="s">
        <v>1257</v>
      </c>
      <c r="I800" s="202" t="s">
        <v>1258</v>
      </c>
      <c r="J800" s="209" t="s">
        <v>1259</v>
      </c>
      <c r="L800" s="6"/>
    </row>
    <row r="801" spans="1:14" ht="12.75">
      <c r="A801" s="76"/>
      <c r="B801" s="17">
        <v>1</v>
      </c>
      <c r="C801" s="17">
        <v>0</v>
      </c>
      <c r="D801" s="17">
        <f t="shared" ref="D801:D808" si="183">C801*0.285</f>
        <v>0</v>
      </c>
      <c r="E801" s="17">
        <v>0</v>
      </c>
      <c r="F801" s="17">
        <v>200</v>
      </c>
      <c r="G801" s="643">
        <f>1000/(200*E811)</f>
        <v>1.5308725973805071</v>
      </c>
      <c r="H801" s="17">
        <v>1</v>
      </c>
      <c r="I801" s="17">
        <v>100</v>
      </c>
      <c r="J801" s="77">
        <v>3.3</v>
      </c>
      <c r="L801" s="148"/>
    </row>
    <row r="802" spans="1:14" ht="12.75">
      <c r="A802" s="76"/>
      <c r="B802" s="17">
        <v>2</v>
      </c>
      <c r="C802" s="17">
        <v>3</v>
      </c>
      <c r="D802" s="17">
        <f t="shared" si="183"/>
        <v>0.85499999999999998</v>
      </c>
      <c r="E802" s="17">
        <v>0.62</v>
      </c>
      <c r="F802" s="17"/>
      <c r="G802" s="77"/>
      <c r="H802" s="17">
        <v>2</v>
      </c>
      <c r="I802" s="17">
        <v>200</v>
      </c>
      <c r="J802" s="77">
        <v>120</v>
      </c>
      <c r="L802" s="148"/>
      <c r="N802" s="148"/>
    </row>
    <row r="803" spans="1:14" ht="12.75">
      <c r="A803" s="76"/>
      <c r="B803" s="17">
        <v>3</v>
      </c>
      <c r="C803" s="17">
        <v>6</v>
      </c>
      <c r="D803" s="17">
        <f t="shared" si="183"/>
        <v>1.71</v>
      </c>
      <c r="E803" s="17">
        <v>1.25</v>
      </c>
      <c r="F803" s="17"/>
      <c r="G803" s="77"/>
      <c r="H803" s="17">
        <v>3</v>
      </c>
      <c r="I803" s="17">
        <v>400</v>
      </c>
      <c r="J803" s="77">
        <v>468</v>
      </c>
      <c r="L803" s="148"/>
      <c r="N803" s="148"/>
    </row>
    <row r="804" spans="1:14" ht="12.75">
      <c r="A804" s="76"/>
      <c r="B804" s="17">
        <v>4</v>
      </c>
      <c r="C804" s="17">
        <v>9</v>
      </c>
      <c r="D804" s="17">
        <f t="shared" si="183"/>
        <v>2.5649999999999999</v>
      </c>
      <c r="E804" s="17">
        <v>1.66</v>
      </c>
      <c r="F804" s="17"/>
      <c r="G804" s="77"/>
      <c r="H804" s="123">
        <v>4</v>
      </c>
      <c r="I804" s="17">
        <v>600</v>
      </c>
      <c r="J804" s="77">
        <v>870</v>
      </c>
    </row>
    <row r="805" spans="1:14" ht="12.75">
      <c r="A805" s="76"/>
      <c r="B805" s="17">
        <v>5</v>
      </c>
      <c r="C805" s="17">
        <v>12</v>
      </c>
      <c r="D805" s="17">
        <f t="shared" si="183"/>
        <v>3.42</v>
      </c>
      <c r="E805" s="17">
        <v>2.5</v>
      </c>
      <c r="F805" s="17"/>
      <c r="G805" s="77"/>
      <c r="H805" s="17">
        <v>5</v>
      </c>
      <c r="I805" s="17">
        <v>800</v>
      </c>
      <c r="J805" s="77">
        <v>1061</v>
      </c>
    </row>
    <row r="806" spans="1:14" ht="12.75">
      <c r="A806" s="76"/>
      <c r="B806" s="123">
        <v>6</v>
      </c>
      <c r="C806" s="17">
        <v>14</v>
      </c>
      <c r="D806" s="17">
        <f t="shared" si="183"/>
        <v>3.9899999999999998</v>
      </c>
      <c r="E806" s="17">
        <v>2.91</v>
      </c>
      <c r="F806" s="17"/>
      <c r="G806" s="77"/>
      <c r="H806" s="17">
        <v>6</v>
      </c>
      <c r="I806" s="17">
        <v>1200</v>
      </c>
      <c r="J806" s="77">
        <v>1635</v>
      </c>
    </row>
    <row r="807" spans="1:14" ht="12.75">
      <c r="A807" s="76"/>
      <c r="B807" s="123">
        <v>7</v>
      </c>
      <c r="C807" s="17">
        <v>14</v>
      </c>
      <c r="D807" s="17">
        <f t="shared" si="183"/>
        <v>3.9899999999999998</v>
      </c>
      <c r="E807" s="17">
        <v>3.33</v>
      </c>
      <c r="F807" s="17"/>
      <c r="G807" s="77"/>
      <c r="H807" s="17">
        <v>7</v>
      </c>
      <c r="I807" s="17">
        <v>1200</v>
      </c>
      <c r="J807" s="77">
        <v>2580</v>
      </c>
    </row>
    <row r="808" spans="1:14" ht="12.75">
      <c r="A808" s="76"/>
      <c r="B808" s="123" t="s">
        <v>1260</v>
      </c>
      <c r="C808" s="17">
        <v>14</v>
      </c>
      <c r="D808" s="17">
        <f t="shared" si="183"/>
        <v>3.9899999999999998</v>
      </c>
      <c r="E808" s="17">
        <v>4.16</v>
      </c>
      <c r="F808" s="17"/>
      <c r="G808" s="77"/>
      <c r="H808" s="123" t="s">
        <v>1260</v>
      </c>
      <c r="I808" s="17">
        <v>1200</v>
      </c>
      <c r="J808" s="77">
        <v>4234</v>
      </c>
    </row>
    <row r="809" spans="1:14" ht="12.75">
      <c r="A809" s="76"/>
      <c r="B809" s="17"/>
      <c r="C809" s="17"/>
      <c r="D809" s="17"/>
      <c r="E809" s="17"/>
      <c r="F809" s="17"/>
      <c r="G809" s="77"/>
      <c r="H809" s="17"/>
      <c r="I809" s="17"/>
      <c r="J809" s="77"/>
    </row>
    <row r="810" spans="1:14" ht="12.75">
      <c r="A810" s="76"/>
      <c r="B810" s="17" t="s">
        <v>1261</v>
      </c>
      <c r="C810" s="17"/>
      <c r="D810" s="17">
        <f t="shared" ref="D810:E810" si="184">(SUM(D801:D807)+(D808*(22.5-8)))/22.5</f>
        <v>3.3059999999999996</v>
      </c>
      <c r="E810" s="17">
        <f t="shared" si="184"/>
        <v>3.2262222222222223</v>
      </c>
      <c r="F810" s="17"/>
      <c r="G810" s="77"/>
      <c r="H810" s="17" t="s">
        <v>1261</v>
      </c>
      <c r="I810" s="17">
        <f t="shared" ref="I810:J810" si="185">(SUM(I801:I807)+(I808*(22.5-8)))/22.5</f>
        <v>973.33333333333337</v>
      </c>
      <c r="J810" s="77">
        <f t="shared" si="185"/>
        <v>3028.0133333333333</v>
      </c>
    </row>
    <row r="811" spans="1:14" ht="12.75">
      <c r="A811" s="76"/>
      <c r="B811" s="17" t="s">
        <v>1262</v>
      </c>
      <c r="C811" s="17"/>
      <c r="D811" s="17"/>
      <c r="E811" s="17">
        <f>SUM(D810:E810)/2</f>
        <v>3.266111111111111</v>
      </c>
      <c r="F811" s="17"/>
      <c r="G811" s="77"/>
      <c r="H811" s="17" t="s">
        <v>1263</v>
      </c>
      <c r="I811" s="17">
        <f>(I810*0.1)/E811</f>
        <v>29.800986562340537</v>
      </c>
      <c r="J811" s="77">
        <f>(J810*0.1)/E811</f>
        <v>92.710052730056134</v>
      </c>
    </row>
    <row r="812" spans="1:14" ht="12.75">
      <c r="A812" s="76"/>
      <c r="B812" s="17"/>
      <c r="C812" s="17"/>
      <c r="D812" s="17"/>
      <c r="E812" s="17"/>
      <c r="F812" s="71"/>
      <c r="G812" s="73"/>
      <c r="H812" s="71" t="s">
        <v>1264</v>
      </c>
      <c r="I812" s="71"/>
      <c r="J812" s="688">
        <f>SUM(I811:J811)/2</f>
        <v>61.255519646198337</v>
      </c>
    </row>
    <row r="813" spans="1:14" s="92" customFormat="1" ht="51.75">
      <c r="A813" s="52" t="s">
        <v>1265</v>
      </c>
      <c r="B813" s="685" t="s">
        <v>533</v>
      </c>
      <c r="C813" s="685" t="s">
        <v>543</v>
      </c>
      <c r="D813" s="685" t="s">
        <v>522</v>
      </c>
      <c r="E813" s="291" t="s">
        <v>535</v>
      </c>
    </row>
    <row r="814" spans="1:14" ht="12.75">
      <c r="A814" s="63" t="s">
        <v>315</v>
      </c>
      <c r="B814" s="617">
        <f>1.530872597/100</f>
        <v>1.5308725969999999E-2</v>
      </c>
      <c r="C814" s="617">
        <f>61.25551965/100</f>
        <v>0.61255519650000001</v>
      </c>
      <c r="D814" s="617">
        <f>921/1000000</f>
        <v>9.2100000000000005E-4</v>
      </c>
      <c r="E814" s="5">
        <f>4.999/1000</f>
        <v>4.999E-3</v>
      </c>
    </row>
    <row r="815" spans="1:14" ht="12.75">
      <c r="A815" s="14" t="s">
        <v>538</v>
      </c>
      <c r="B815" s="655" t="s">
        <v>1266</v>
      </c>
    </row>
    <row r="816" spans="1:14" ht="12.75">
      <c r="B816" s="66" t="s">
        <v>1267</v>
      </c>
    </row>
    <row r="817" spans="1:34" ht="12.75">
      <c r="B817" s="66" t="s">
        <v>642</v>
      </c>
    </row>
    <row r="818" spans="1:34" ht="12.75">
      <c r="B818" s="66" t="s">
        <v>645</v>
      </c>
    </row>
    <row r="821" spans="1:34" s="92" customFormat="1" ht="25.5">
      <c r="A821" s="309" t="s">
        <v>1268</v>
      </c>
      <c r="B821" s="309" t="s">
        <v>1269</v>
      </c>
      <c r="C821" s="307" t="s">
        <v>1270</v>
      </c>
      <c r="D821" s="307" t="s">
        <v>1271</v>
      </c>
      <c r="E821" s="307" t="s">
        <v>766</v>
      </c>
      <c r="F821" s="309" t="s">
        <v>1272</v>
      </c>
      <c r="G821" s="307" t="s">
        <v>1273</v>
      </c>
      <c r="H821" s="307" t="s">
        <v>1274</v>
      </c>
      <c r="I821" s="307" t="s">
        <v>529</v>
      </c>
      <c r="J821" s="309" t="s">
        <v>1275</v>
      </c>
      <c r="K821" s="307" t="s">
        <v>1276</v>
      </c>
      <c r="L821" s="307" t="s">
        <v>1277</v>
      </c>
      <c r="M821" s="324" t="s">
        <v>1278</v>
      </c>
    </row>
    <row r="822" spans="1:34" ht="12.75">
      <c r="A822" s="154"/>
      <c r="B822" s="154">
        <v>2002</v>
      </c>
      <c r="C822" s="14">
        <v>2106</v>
      </c>
      <c r="F822" s="154"/>
      <c r="G822" s="14">
        <v>320</v>
      </c>
      <c r="H822">
        <f>G822*D826</f>
        <v>0.12600905690096476</v>
      </c>
      <c r="I822" s="148">
        <f>H822</f>
        <v>0.12600905690096476</v>
      </c>
      <c r="J822" s="154"/>
      <c r="K822">
        <f>AVERAGE(14.9,26.3)</f>
        <v>20.6</v>
      </c>
      <c r="L822">
        <f>1/K822</f>
        <v>4.8543689320388349E-2</v>
      </c>
      <c r="M822" s="729">
        <f>L822/1000</f>
        <v>4.8543689320388346E-5</v>
      </c>
    </row>
    <row r="823" spans="1:34" ht="12.75">
      <c r="A823" s="154"/>
      <c r="B823" s="154">
        <v>2003</v>
      </c>
      <c r="C823" s="14">
        <v>3239</v>
      </c>
      <c r="F823" s="154"/>
      <c r="J823" s="154"/>
      <c r="M823" s="175"/>
    </row>
    <row r="824" spans="1:34" ht="12.75">
      <c r="A824" s="154"/>
      <c r="B824" s="154">
        <v>2004</v>
      </c>
      <c r="C824" s="14">
        <v>1557</v>
      </c>
      <c r="F824" s="154"/>
      <c r="J824" s="154"/>
      <c r="M824" s="175"/>
    </row>
    <row r="825" spans="1:34" ht="12.75">
      <c r="A825" s="154"/>
      <c r="B825" s="154">
        <v>2005</v>
      </c>
      <c r="C825" s="14">
        <v>3256</v>
      </c>
      <c r="F825" s="154"/>
      <c r="J825" s="154"/>
      <c r="M825" s="175"/>
    </row>
    <row r="826" spans="1:34" ht="12.75">
      <c r="A826" s="154"/>
      <c r="B826" s="154" t="s">
        <v>600</v>
      </c>
      <c r="C826">
        <f>AVERAGE(C822:C825)</f>
        <v>2539.5</v>
      </c>
      <c r="D826">
        <f>1/C826</f>
        <v>3.9377830281551486E-4</v>
      </c>
      <c r="E826" s="148">
        <f>D826*10000/1000</f>
        <v>3.9377830281551486E-3</v>
      </c>
      <c r="F826" s="166"/>
      <c r="G826" s="135"/>
      <c r="H826" s="135"/>
      <c r="I826" s="135"/>
      <c r="J826" s="166"/>
      <c r="K826" s="135"/>
      <c r="L826" s="135"/>
      <c r="M826" s="300"/>
    </row>
    <row r="827" spans="1:34" s="92" customFormat="1" ht="51.75">
      <c r="A827" s="52" t="s">
        <v>1279</v>
      </c>
      <c r="B827" s="685" t="s">
        <v>533</v>
      </c>
      <c r="C827" s="685" t="s">
        <v>543</v>
      </c>
      <c r="D827" s="685" t="s">
        <v>522</v>
      </c>
      <c r="E827" s="291" t="s">
        <v>535</v>
      </c>
    </row>
    <row r="828" spans="1:34" ht="12.75">
      <c r="A828" s="63" t="s">
        <v>1280</v>
      </c>
      <c r="B828" s="646">
        <f>0.003937783028</f>
        <v>3.9377830280000001E-3</v>
      </c>
      <c r="C828" s="646">
        <v>0.1260090569</v>
      </c>
      <c r="D828" s="646">
        <v>4.8543689319999998E-5</v>
      </c>
      <c r="E828" s="191">
        <f>0.73/453.592</f>
        <v>1.6093758267341576E-3</v>
      </c>
      <c r="J828" s="14"/>
      <c r="K828" s="14"/>
      <c r="L828" s="14"/>
      <c r="M828" s="14"/>
      <c r="N828" s="14"/>
      <c r="O828" s="14"/>
      <c r="P828" s="14"/>
      <c r="Q828" s="14"/>
      <c r="R828" s="14"/>
      <c r="S828" s="14"/>
      <c r="T828" s="14"/>
      <c r="U828" s="14"/>
      <c r="V828" s="14"/>
      <c r="W828" s="14"/>
      <c r="X828" s="14"/>
      <c r="AA828" s="14"/>
      <c r="AB828" s="14"/>
      <c r="AC828" s="14"/>
      <c r="AD828" s="14"/>
      <c r="AE828" s="14"/>
      <c r="AF828" s="14"/>
      <c r="AG828" s="14"/>
      <c r="AH828" s="14"/>
    </row>
    <row r="829" spans="1:34" ht="12.75">
      <c r="A829" s="14" t="s">
        <v>538</v>
      </c>
      <c r="B829" s="66" t="s">
        <v>1281</v>
      </c>
      <c r="J829" s="301" t="s">
        <v>1282</v>
      </c>
      <c r="K829" s="736"/>
      <c r="L829" s="736" t="s">
        <v>1283</v>
      </c>
      <c r="M829" s="736" t="s">
        <v>1284</v>
      </c>
      <c r="N829" s="737" t="s">
        <v>1285</v>
      </c>
      <c r="O829" s="738" t="s">
        <v>1286</v>
      </c>
      <c r="P829" s="697" t="s">
        <v>1287</v>
      </c>
      <c r="Q829" s="179" t="s">
        <v>1288</v>
      </c>
      <c r="R829" s="738" t="s">
        <v>530</v>
      </c>
      <c r="S829" s="697"/>
      <c r="T829" s="697" t="s">
        <v>1289</v>
      </c>
      <c r="U829" s="179" t="s">
        <v>529</v>
      </c>
      <c r="V829" s="697" t="s">
        <v>1290</v>
      </c>
      <c r="W829" s="697"/>
      <c r="X829" s="697" t="s">
        <v>1291</v>
      </c>
      <c r="Y829" s="179" t="s">
        <v>1292</v>
      </c>
      <c r="Z829" s="738" t="s">
        <v>999</v>
      </c>
      <c r="AA829" s="697" t="s">
        <v>1293</v>
      </c>
      <c r="AB829" s="179" t="s">
        <v>1294</v>
      </c>
      <c r="AC829" s="14"/>
      <c r="AD829" s="14"/>
      <c r="AE829" s="14"/>
      <c r="AF829" s="14"/>
      <c r="AG829" s="14"/>
      <c r="AH829" s="14"/>
    </row>
    <row r="830" spans="1:34" ht="12.75">
      <c r="B830" s="66" t="s">
        <v>1295</v>
      </c>
      <c r="J830" s="684" t="s">
        <v>1296</v>
      </c>
      <c r="K830" s="17"/>
      <c r="L830" s="17"/>
      <c r="M830" s="17"/>
      <c r="N830" s="49"/>
      <c r="O830" s="17"/>
      <c r="P830" s="17"/>
      <c r="Q830" s="49"/>
      <c r="R830" s="17" t="s">
        <v>1297</v>
      </c>
      <c r="S830" s="17" t="s">
        <v>1298</v>
      </c>
      <c r="T830" s="123">
        <v>13</v>
      </c>
      <c r="U830" s="302">
        <f>T838/N832*1000</f>
        <v>0.11910697094414913</v>
      </c>
      <c r="V830" s="17" t="s">
        <v>1299</v>
      </c>
      <c r="W830" s="17" t="s">
        <v>1298</v>
      </c>
      <c r="X830" s="123">
        <v>1900</v>
      </c>
      <c r="Y830" s="49"/>
      <c r="Z830" s="620" t="s">
        <v>1300</v>
      </c>
      <c r="AA830" s="123">
        <v>2.5299999999999998</v>
      </c>
      <c r="AB830" s="302">
        <f>AA830*0.001</f>
        <v>2.5299999999999997E-3</v>
      </c>
      <c r="AC830" s="14"/>
      <c r="AD830" s="14"/>
      <c r="AE830" s="14"/>
      <c r="AF830" s="14"/>
      <c r="AG830" s="14"/>
      <c r="AH830" s="14"/>
    </row>
    <row r="831" spans="1:34" ht="12.75">
      <c r="B831" s="66"/>
      <c r="J831" s="684"/>
      <c r="K831" s="17"/>
      <c r="L831" s="30"/>
      <c r="M831" s="30"/>
      <c r="N831" s="49"/>
      <c r="O831" s="17"/>
      <c r="P831" s="17"/>
      <c r="Q831" s="49"/>
      <c r="R831" s="17"/>
      <c r="S831" s="17" t="s">
        <v>1301</v>
      </c>
      <c r="T831" s="123">
        <v>36</v>
      </c>
      <c r="U831" s="49"/>
      <c r="V831" s="17"/>
      <c r="W831" s="17" t="s">
        <v>1301</v>
      </c>
      <c r="X831" s="123">
        <v>2400</v>
      </c>
      <c r="Y831" s="49"/>
      <c r="Z831" s="17"/>
      <c r="AA831" s="17"/>
      <c r="AB831" s="49"/>
      <c r="AC831" s="14"/>
      <c r="AD831" s="14"/>
      <c r="AE831" s="14"/>
      <c r="AF831" s="14"/>
      <c r="AG831" s="14"/>
      <c r="AH831" s="14"/>
    </row>
    <row r="832" spans="1:34" ht="14.25">
      <c r="J832" s="684" t="s">
        <v>1302</v>
      </c>
      <c r="K832" s="30"/>
      <c r="L832" s="303">
        <v>182797725110</v>
      </c>
      <c r="M832" s="304">
        <v>103000</v>
      </c>
      <c r="N832" s="739">
        <f>L832/M832</f>
        <v>1774735.1952427186</v>
      </c>
      <c r="O832" s="17"/>
      <c r="P832" s="123">
        <f>M832/L832</f>
        <v>5.634643425568831E-7</v>
      </c>
      <c r="Q832" s="302">
        <f>P832*4046.86</f>
        <v>2.2802613093197482E-3</v>
      </c>
      <c r="R832" s="17"/>
      <c r="S832" s="17" t="s">
        <v>1303</v>
      </c>
      <c r="T832" s="123">
        <v>74</v>
      </c>
      <c r="U832" s="49"/>
      <c r="V832" s="17"/>
      <c r="W832" s="17" t="s">
        <v>1303</v>
      </c>
      <c r="X832" s="123">
        <v>2650</v>
      </c>
      <c r="Y832" s="49"/>
      <c r="Z832" s="17"/>
      <c r="AA832" s="17"/>
      <c r="AB832" s="49"/>
      <c r="AC832" s="14"/>
      <c r="AD832" s="14"/>
      <c r="AE832" s="14"/>
      <c r="AF832" s="14"/>
      <c r="AG832" s="14"/>
      <c r="AH832" s="14"/>
    </row>
    <row r="833" spans="1:34" s="92" customFormat="1" ht="25.5">
      <c r="A833" s="742" t="s">
        <v>1304</v>
      </c>
      <c r="B833" s="323" t="s">
        <v>1305</v>
      </c>
      <c r="C833" s="307" t="s">
        <v>1306</v>
      </c>
      <c r="D833" s="324" t="s">
        <v>1307</v>
      </c>
      <c r="J833" s="991"/>
      <c r="K833" s="992"/>
      <c r="L833" s="992"/>
      <c r="M833" s="667"/>
      <c r="N833" s="993"/>
      <c r="O833" s="667"/>
      <c r="P833" s="667"/>
      <c r="Q833" s="993"/>
      <c r="R833" s="667"/>
      <c r="S833" s="667" t="s">
        <v>1308</v>
      </c>
      <c r="T833" s="994">
        <v>110</v>
      </c>
      <c r="U833" s="993"/>
      <c r="V833" s="667"/>
      <c r="W833" s="667" t="s">
        <v>1308</v>
      </c>
      <c r="X833" s="994">
        <v>3900</v>
      </c>
      <c r="Y833" s="993"/>
      <c r="Z833" s="667"/>
      <c r="AA833" s="667"/>
      <c r="AB833" s="993"/>
      <c r="AC833" s="81"/>
      <c r="AD833" s="81"/>
      <c r="AE833" s="81"/>
      <c r="AF833" s="81"/>
      <c r="AG833" s="81"/>
      <c r="AH833" s="81"/>
    </row>
    <row r="834" spans="1:34" ht="12.75">
      <c r="A834" s="274" t="s">
        <v>1309</v>
      </c>
      <c r="B834" s="97"/>
      <c r="C834">
        <f>7602/1000000</f>
        <v>7.6020000000000003E-3</v>
      </c>
      <c r="D834" s="175">
        <f>0.51/453.592</f>
        <v>1.1243584542937266E-3</v>
      </c>
      <c r="J834" s="645"/>
      <c r="K834" s="30"/>
      <c r="L834" s="30"/>
      <c r="M834" s="17"/>
      <c r="N834" s="49"/>
      <c r="O834" s="17"/>
      <c r="P834" s="17"/>
      <c r="Q834" s="49"/>
      <c r="R834" s="17"/>
      <c r="S834" s="17" t="s">
        <v>1310</v>
      </c>
      <c r="T834" s="123">
        <v>150</v>
      </c>
      <c r="U834" s="49"/>
      <c r="V834" s="17"/>
      <c r="W834" s="17" t="s">
        <v>1310</v>
      </c>
      <c r="X834" s="123">
        <v>4250</v>
      </c>
      <c r="Y834" s="49"/>
      <c r="Z834" s="17"/>
      <c r="AA834" s="17"/>
      <c r="AB834" s="49"/>
      <c r="AC834" s="14"/>
      <c r="AD834" s="14"/>
      <c r="AE834" s="14"/>
      <c r="AF834" s="14"/>
      <c r="AG834" s="14"/>
      <c r="AH834" s="14"/>
    </row>
    <row r="835" spans="1:34" ht="12.75">
      <c r="A835" s="274" t="s">
        <v>1311</v>
      </c>
      <c r="B835" s="97">
        <v>0.53</v>
      </c>
      <c r="C835">
        <f>C834/B835</f>
        <v>1.4343396226415095E-2</v>
      </c>
      <c r="D835" s="175">
        <f>D834/B835</f>
        <v>2.1214310458372199E-3</v>
      </c>
      <c r="J835" s="645"/>
      <c r="K835" s="30"/>
      <c r="L835" s="30"/>
      <c r="M835" s="17"/>
      <c r="N835" s="49"/>
      <c r="O835" s="17"/>
      <c r="P835" s="17"/>
      <c r="Q835" s="49"/>
      <c r="R835" s="17"/>
      <c r="S835" s="17" t="s">
        <v>1312</v>
      </c>
      <c r="T835" s="123">
        <v>150</v>
      </c>
      <c r="U835" s="49"/>
      <c r="V835" s="17"/>
      <c r="W835" s="17" t="s">
        <v>1312</v>
      </c>
      <c r="X835" s="123">
        <v>4780</v>
      </c>
      <c r="Y835" s="49"/>
      <c r="Z835" s="17"/>
      <c r="AA835" s="17"/>
      <c r="AB835" s="49"/>
      <c r="AC835" s="14"/>
      <c r="AD835" s="14"/>
      <c r="AE835" s="14"/>
      <c r="AF835" s="14"/>
      <c r="AG835" s="14"/>
      <c r="AH835" s="14"/>
    </row>
    <row r="836" spans="1:34" s="92" customFormat="1" ht="51.75">
      <c r="A836" s="52" t="s">
        <v>1313</v>
      </c>
      <c r="B836" s="685" t="s">
        <v>533</v>
      </c>
      <c r="C836" s="685" t="s">
        <v>543</v>
      </c>
      <c r="D836" s="685" t="s">
        <v>522</v>
      </c>
      <c r="E836" s="291" t="s">
        <v>535</v>
      </c>
      <c r="J836" s="991"/>
      <c r="K836" s="992"/>
      <c r="L836" s="992"/>
      <c r="M836" s="667"/>
      <c r="N836" s="993"/>
      <c r="O836" s="667"/>
      <c r="P836" s="667"/>
      <c r="Q836" s="993"/>
      <c r="R836" s="667"/>
      <c r="S836" s="667" t="s">
        <v>1314</v>
      </c>
      <c r="T836" s="994">
        <v>225</v>
      </c>
      <c r="U836" s="993"/>
      <c r="V836" s="667"/>
      <c r="W836" s="667" t="s">
        <v>1314</v>
      </c>
      <c r="X836" s="994">
        <v>4780</v>
      </c>
      <c r="Y836" s="993"/>
      <c r="Z836" s="667"/>
      <c r="AA836" s="667"/>
      <c r="AB836" s="993"/>
      <c r="AC836" s="81"/>
      <c r="AD836" s="81"/>
      <c r="AE836" s="81"/>
      <c r="AF836" s="81"/>
      <c r="AG836" s="81"/>
      <c r="AH836" s="81"/>
    </row>
    <row r="837" spans="1:34" ht="12.75">
      <c r="A837" s="63" t="s">
        <v>317</v>
      </c>
      <c r="B837" s="617">
        <f>0.724922378791497/100</f>
        <v>7.2492237879149702E-3</v>
      </c>
      <c r="C837" s="617">
        <f>9.52623922530777/100</f>
        <v>9.5262392253077699E-2</v>
      </c>
      <c r="D837" s="617">
        <v>1.4343396226415095E-2</v>
      </c>
      <c r="E837" s="5">
        <v>2.1214310458372199E-3</v>
      </c>
      <c r="J837" s="645"/>
      <c r="K837" s="30"/>
      <c r="L837" s="30"/>
      <c r="M837" s="17"/>
      <c r="N837" s="49"/>
      <c r="O837" s="17"/>
      <c r="P837" s="17"/>
      <c r="Q837" s="49"/>
      <c r="R837" s="17"/>
      <c r="S837" s="17"/>
      <c r="T837" s="17"/>
      <c r="U837" s="49"/>
      <c r="V837" s="740"/>
      <c r="W837" s="369" t="s">
        <v>600</v>
      </c>
      <c r="X837" s="526">
        <f>((SUM(X830:X835)+(X836*54))/60)</f>
        <v>4633.333333333333</v>
      </c>
      <c r="Y837" s="49"/>
      <c r="Z837" s="17"/>
      <c r="AA837" s="17"/>
      <c r="AB837" s="49"/>
      <c r="AC837" s="14"/>
      <c r="AD837" s="14"/>
      <c r="AE837" s="14"/>
      <c r="AF837" s="14"/>
      <c r="AG837" s="14"/>
      <c r="AH837" s="14"/>
    </row>
    <row r="838" spans="1:34" ht="12.75">
      <c r="A838" s="14" t="s">
        <v>538</v>
      </c>
      <c r="B838" s="14" t="s">
        <v>570</v>
      </c>
      <c r="J838" s="645"/>
      <c r="K838" s="30"/>
      <c r="L838" s="30"/>
      <c r="M838" s="17"/>
      <c r="N838" s="49"/>
      <c r="O838" s="17"/>
      <c r="P838" s="17"/>
      <c r="Q838" s="49"/>
      <c r="R838" s="17"/>
      <c r="S838" s="17" t="s">
        <v>1315</v>
      </c>
      <c r="T838" s="123">
        <f>(SUM(T830:T835)+(54*T836))/60</f>
        <v>211.38333333333333</v>
      </c>
      <c r="U838" s="49"/>
      <c r="V838" s="17"/>
      <c r="W838" s="17" t="s">
        <v>1316</v>
      </c>
      <c r="X838" s="17"/>
      <c r="Y838" s="651">
        <f>X837/N832</f>
        <v>2.6107181205135581E-3</v>
      </c>
      <c r="Z838" s="17"/>
      <c r="AA838" s="17"/>
      <c r="AB838" s="49"/>
      <c r="AC838" s="14"/>
      <c r="AD838" s="14"/>
      <c r="AE838" s="14"/>
      <c r="AF838" s="14"/>
      <c r="AG838" s="14"/>
      <c r="AH838" s="14"/>
    </row>
    <row r="839" spans="1:34" ht="12.75">
      <c r="B839" s="655" t="s">
        <v>1317</v>
      </c>
      <c r="J839" s="645"/>
      <c r="K839" s="30"/>
      <c r="L839" s="30"/>
      <c r="M839" s="17"/>
      <c r="N839" s="49"/>
      <c r="O839" s="17"/>
      <c r="P839" s="17"/>
      <c r="Q839" s="49"/>
      <c r="R839" s="17"/>
      <c r="S839" s="17"/>
      <c r="T839" s="123" t="s">
        <v>1318</v>
      </c>
      <c r="U839" s="49"/>
      <c r="V839" s="17"/>
      <c r="W839" s="17"/>
      <c r="X839" s="17" t="s">
        <v>1319</v>
      </c>
      <c r="Y839" s="49">
        <v>7.6020000000000003E-3</v>
      </c>
      <c r="Z839" s="17"/>
      <c r="AA839" s="17"/>
      <c r="AB839" s="49"/>
      <c r="AC839" s="14"/>
      <c r="AD839" s="14"/>
      <c r="AE839" s="14"/>
      <c r="AF839" s="14"/>
      <c r="AG839" s="14"/>
      <c r="AH839" s="14"/>
    </row>
    <row r="840" spans="1:34" ht="12.75">
      <c r="B840" s="14" t="s">
        <v>642</v>
      </c>
      <c r="J840" s="82"/>
      <c r="K840" s="634"/>
      <c r="L840" s="634"/>
      <c r="M840" s="634"/>
      <c r="N840" s="127"/>
      <c r="O840" s="634"/>
      <c r="P840" s="634"/>
      <c r="Q840" s="127"/>
      <c r="R840" s="634"/>
      <c r="S840" s="634"/>
      <c r="T840" s="634"/>
      <c r="U840" s="127"/>
      <c r="V840" s="634"/>
      <c r="W840" s="634"/>
      <c r="X840" s="634" t="s">
        <v>1320</v>
      </c>
      <c r="Y840" s="681">
        <f>SUM(Y838:Y839)/2</f>
        <v>5.1063590602567792E-3</v>
      </c>
      <c r="Z840" s="634"/>
      <c r="AA840" s="634"/>
      <c r="AB840" s="127"/>
      <c r="AC840" s="14"/>
      <c r="AD840" s="14"/>
      <c r="AE840" s="14"/>
      <c r="AF840" s="14"/>
      <c r="AG840" s="14"/>
      <c r="AH840" s="14"/>
    </row>
    <row r="841" spans="1:34" ht="12.75">
      <c r="B841" s="14" t="s">
        <v>1295</v>
      </c>
    </row>
    <row r="844" spans="1:34" s="92" customFormat="1" ht="51.75">
      <c r="A844" s="52" t="s">
        <v>1321</v>
      </c>
      <c r="B844" s="685" t="s">
        <v>533</v>
      </c>
      <c r="C844" s="685" t="s">
        <v>543</v>
      </c>
      <c r="D844" s="685" t="s">
        <v>522</v>
      </c>
      <c r="E844" s="291" t="s">
        <v>535</v>
      </c>
    </row>
    <row r="845" spans="1:34" ht="12.75">
      <c r="A845" s="63" t="s">
        <v>318</v>
      </c>
      <c r="B845" s="617">
        <f>0.322109867226504/100</f>
        <v>3.2210986722650396E-3</v>
      </c>
      <c r="C845" s="617">
        <f>3.943434589897/100</f>
        <v>3.9434345898969998E-2</v>
      </c>
      <c r="D845" s="617">
        <f>2451/1000000</f>
        <v>2.4510000000000001E-3</v>
      </c>
      <c r="E845" s="5">
        <f>0.41/453.592</f>
        <v>9.0389601227534877E-4</v>
      </c>
    </row>
    <row r="846" spans="1:34" ht="12.75">
      <c r="A846" s="14" t="s">
        <v>538</v>
      </c>
      <c r="B846" s="14" t="s">
        <v>570</v>
      </c>
    </row>
    <row r="847" spans="1:34" ht="12.75">
      <c r="B847" s="14" t="s">
        <v>642</v>
      </c>
    </row>
    <row r="848" spans="1:34" ht="12.75">
      <c r="B848" s="14" t="s">
        <v>1295</v>
      </c>
    </row>
    <row r="851" spans="1:66" ht="12.75">
      <c r="A851" s="30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row>
    <row r="852" spans="1:66" ht="31.5" customHeight="1">
      <c r="A852" s="238" t="s">
        <v>1322</v>
      </c>
    </row>
    <row r="853" spans="1:66" ht="12.75">
      <c r="A853" s="24"/>
    </row>
    <row r="854" spans="1:66" s="92" customFormat="1" ht="64.5">
      <c r="A854" s="742" t="s">
        <v>1323</v>
      </c>
      <c r="B854" s="307" t="s">
        <v>1324</v>
      </c>
      <c r="C854" s="308" t="s">
        <v>533</v>
      </c>
      <c r="D854" s="309" t="s">
        <v>1325</v>
      </c>
      <c r="E854" s="308" t="s">
        <v>543</v>
      </c>
      <c r="F854" s="307" t="s">
        <v>1326</v>
      </c>
      <c r="G854" s="308" t="s">
        <v>535</v>
      </c>
    </row>
    <row r="855" spans="1:66" ht="12.75">
      <c r="A855" s="274"/>
      <c r="B855" s="310">
        <f>1/0.7</f>
        <v>1.4285714285714286</v>
      </c>
      <c r="C855" s="729">
        <f>B855*10000/1000000</f>
        <v>1.4285714285714287E-2</v>
      </c>
      <c r="D855" s="311">
        <v>62</v>
      </c>
      <c r="E855" s="732">
        <f>D855*1000/1000000</f>
        <v>6.2E-2</v>
      </c>
      <c r="F855" s="312">
        <v>900</v>
      </c>
      <c r="G855" s="741">
        <f>F855/1000000</f>
        <v>8.9999999999999998E-4</v>
      </c>
    </row>
    <row r="856" spans="1:66" s="92" customFormat="1" ht="60">
      <c r="A856" s="52" t="s">
        <v>1327</v>
      </c>
      <c r="B856" s="641" t="s">
        <v>533</v>
      </c>
      <c r="C856" s="641" t="s">
        <v>543</v>
      </c>
      <c r="D856" s="641" t="s">
        <v>522</v>
      </c>
      <c r="E856" s="48" t="s">
        <v>535</v>
      </c>
      <c r="F856" s="995"/>
      <c r="G856" s="6"/>
    </row>
    <row r="857" spans="1:66" ht="12.75">
      <c r="A857" s="63" t="s">
        <v>319</v>
      </c>
      <c r="B857" s="617">
        <f>C855</f>
        <v>1.4285714285714287E-2</v>
      </c>
      <c r="C857" s="617">
        <f>E855</f>
        <v>6.2E-2</v>
      </c>
      <c r="D857" s="617">
        <f>3/1000000</f>
        <v>3.0000000000000001E-6</v>
      </c>
      <c r="E857" s="5">
        <f>G855</f>
        <v>8.9999999999999998E-4</v>
      </c>
      <c r="F857" s="313"/>
      <c r="G857" s="148"/>
    </row>
    <row r="858" spans="1:66" ht="12.75">
      <c r="A858" s="14" t="s">
        <v>538</v>
      </c>
      <c r="B858" s="655" t="s">
        <v>1328</v>
      </c>
    </row>
    <row r="859" spans="1:66" ht="12.75">
      <c r="B859" s="14" t="s">
        <v>642</v>
      </c>
    </row>
    <row r="862" spans="1:66" s="92" customFormat="1" ht="60">
      <c r="A862" s="52" t="s">
        <v>1329</v>
      </c>
      <c r="B862" s="644" t="s">
        <v>1330</v>
      </c>
      <c r="C862" s="673" t="s">
        <v>1331</v>
      </c>
      <c r="D862" s="221" t="s">
        <v>1091</v>
      </c>
      <c r="E862" s="641" t="s">
        <v>533</v>
      </c>
      <c r="F862" s="641" t="s">
        <v>543</v>
      </c>
      <c r="G862" s="641" t="s">
        <v>522</v>
      </c>
      <c r="H862" s="48" t="s">
        <v>535</v>
      </c>
    </row>
    <row r="863" spans="1:66" ht="12.75">
      <c r="A863" s="62" t="s">
        <v>1095</v>
      </c>
      <c r="C863" s="97"/>
      <c r="D863" s="175"/>
      <c r="E863">
        <f>0.261188378181544/100</f>
        <v>2.6118837818154398E-3</v>
      </c>
      <c r="F863">
        <f>14.0322918843931/100</f>
        <v>0.140322918843931</v>
      </c>
      <c r="G863">
        <f>81/1000000</f>
        <v>8.1000000000000004E-5</v>
      </c>
      <c r="H863" s="3">
        <f>0.27/453.592</f>
        <v>5.9524859344962E-4</v>
      </c>
    </row>
    <row r="864" spans="1:66" ht="12.75">
      <c r="A864" s="63" t="s">
        <v>321</v>
      </c>
      <c r="B864" s="617">
        <v>4.3</v>
      </c>
      <c r="C864" s="98">
        <v>86.3</v>
      </c>
      <c r="D864" s="176">
        <f>B864/C864</f>
        <v>4.9826187717265352E-2</v>
      </c>
      <c r="E864" s="617">
        <f t="shared" ref="E864:H864" si="186">E863/$D864</f>
        <v>5.2419900086202897E-2</v>
      </c>
      <c r="F864" s="617">
        <f t="shared" si="186"/>
        <v>2.8162483479607547</v>
      </c>
      <c r="G864" s="617">
        <f t="shared" si="186"/>
        <v>1.6256511627906977E-3</v>
      </c>
      <c r="H864" s="5">
        <f t="shared" si="186"/>
        <v>1.194650084062842E-2</v>
      </c>
    </row>
    <row r="865" spans="1:9" ht="12.75">
      <c r="A865" s="24" t="s">
        <v>538</v>
      </c>
      <c r="B865" s="14" t="s">
        <v>1332</v>
      </c>
    </row>
    <row r="866" spans="1:9">
      <c r="A866" s="314"/>
      <c r="B866" s="655" t="s">
        <v>1333</v>
      </c>
      <c r="C866" s="14"/>
      <c r="D866" s="64"/>
      <c r="E866" s="64"/>
      <c r="F866" s="64"/>
      <c r="G866" s="64"/>
    </row>
    <row r="868" spans="1:9" ht="12.75">
      <c r="A868" s="14"/>
    </row>
    <row r="869" spans="1:9" s="92" customFormat="1" ht="51">
      <c r="A869" s="315" t="s">
        <v>1334</v>
      </c>
      <c r="B869" s="202" t="s">
        <v>1335</v>
      </c>
      <c r="C869" s="202" t="s">
        <v>1336</v>
      </c>
      <c r="D869" s="315" t="s">
        <v>1337</v>
      </c>
      <c r="E869" s="202" t="s">
        <v>1338</v>
      </c>
      <c r="F869" s="202" t="s">
        <v>1335</v>
      </c>
      <c r="G869" s="209" t="s">
        <v>1339</v>
      </c>
      <c r="H869" s="202" t="s">
        <v>1340</v>
      </c>
      <c r="I869" s="209" t="s">
        <v>1341</v>
      </c>
    </row>
    <row r="870" spans="1:9" ht="12.75">
      <c r="A870" s="316"/>
      <c r="B870" s="71">
        <f>1/(AVERAGE(895,847))</f>
        <v>1.148105625717566E-3</v>
      </c>
      <c r="C870" s="687">
        <f>B870*4046.86/453.592*0.104</f>
        <v>1.0652903141570055E-3</v>
      </c>
      <c r="D870" s="46" t="s">
        <v>1342</v>
      </c>
      <c r="E870" s="17">
        <v>220</v>
      </c>
      <c r="F870" s="17">
        <f>B870</f>
        <v>1.148105625717566E-3</v>
      </c>
      <c r="G870" s="643">
        <f>(AVERAGE(E870:E875)*F870)*0.104</f>
        <v>1.7273631840796021E-2</v>
      </c>
      <c r="H870" s="71">
        <v>1306</v>
      </c>
      <c r="I870" s="688">
        <f>H870/1000000*0.104</f>
        <v>1.3582399999999999E-4</v>
      </c>
    </row>
    <row r="871" spans="1:9" ht="12.75">
      <c r="A871" s="24" t="s">
        <v>1343</v>
      </c>
      <c r="D871" s="46" t="s">
        <v>1344</v>
      </c>
      <c r="E871" s="17">
        <v>110</v>
      </c>
      <c r="F871" s="17"/>
      <c r="G871" s="77"/>
    </row>
    <row r="872" spans="1:9" ht="12.75">
      <c r="A872" s="24"/>
      <c r="D872" s="46" t="s">
        <v>1345</v>
      </c>
      <c r="E872" s="17">
        <v>188</v>
      </c>
      <c r="F872" s="17"/>
      <c r="G872" s="77"/>
    </row>
    <row r="873" spans="1:9" ht="12.75">
      <c r="A873" s="24"/>
      <c r="D873" s="46" t="s">
        <v>1346</v>
      </c>
      <c r="E873" s="17">
        <v>157</v>
      </c>
      <c r="F873" s="17"/>
      <c r="G873" s="77"/>
    </row>
    <row r="874" spans="1:9" ht="12.75">
      <c r="B874" s="24"/>
      <c r="D874" s="46" t="s">
        <v>1347</v>
      </c>
      <c r="E874" s="17">
        <v>122</v>
      </c>
      <c r="F874" s="17"/>
      <c r="G874" s="77"/>
    </row>
    <row r="875" spans="1:9" ht="12.75">
      <c r="B875" s="24"/>
      <c r="D875" s="72" t="s">
        <v>1348</v>
      </c>
      <c r="E875" s="71">
        <v>71</v>
      </c>
      <c r="F875" s="71"/>
      <c r="G875" s="73"/>
    </row>
    <row r="876" spans="1:9" s="92" customFormat="1" ht="60">
      <c r="A876" s="52" t="s">
        <v>1349</v>
      </c>
      <c r="B876" s="641" t="s">
        <v>533</v>
      </c>
      <c r="C876" s="641" t="s">
        <v>543</v>
      </c>
      <c r="D876" s="641" t="s">
        <v>522</v>
      </c>
      <c r="E876" s="48" t="s">
        <v>535</v>
      </c>
    </row>
    <row r="877" spans="1:9" ht="15">
      <c r="A877" s="63" t="s">
        <v>324</v>
      </c>
      <c r="B877" s="617">
        <f>C870</f>
        <v>1.0652903141570055E-3</v>
      </c>
      <c r="C877" s="617">
        <f>G870</f>
        <v>1.7273631840796021E-2</v>
      </c>
      <c r="D877" s="617">
        <f>I870</f>
        <v>1.3582399999999999E-4</v>
      </c>
      <c r="E877" s="5">
        <f>2.14/1000</f>
        <v>2.14E-3</v>
      </c>
      <c r="F877" s="64"/>
    </row>
    <row r="878" spans="1:9" ht="12.75">
      <c r="A878" s="14" t="s">
        <v>538</v>
      </c>
      <c r="B878" s="655" t="s">
        <v>1350</v>
      </c>
    </row>
    <row r="879" spans="1:9" ht="12.75">
      <c r="B879" s="655" t="s">
        <v>1351</v>
      </c>
    </row>
    <row r="880" spans="1:9" ht="12.75">
      <c r="B880" s="655" t="s">
        <v>1352</v>
      </c>
    </row>
    <row r="881" spans="1:66" ht="12.75">
      <c r="B881" s="14" t="s">
        <v>642</v>
      </c>
    </row>
    <row r="882" spans="1:66" ht="12.75">
      <c r="B882" s="66" t="s">
        <v>645</v>
      </c>
    </row>
    <row r="883" spans="1:66" ht="12.75">
      <c r="L883" s="39"/>
      <c r="M883" s="39"/>
      <c r="N883" s="39"/>
      <c r="O883" s="39"/>
      <c r="P883" s="39"/>
    </row>
    <row r="884" spans="1:66" ht="12.75">
      <c r="L884" s="39"/>
      <c r="M884" s="39"/>
      <c r="N884" s="39"/>
      <c r="O884" s="39"/>
      <c r="P884" s="39"/>
    </row>
    <row r="885" spans="1:66" s="92" customFormat="1" ht="38.25">
      <c r="A885" s="208" t="s">
        <v>1353</v>
      </c>
      <c r="B885" s="202" t="s">
        <v>1354</v>
      </c>
      <c r="C885" s="202" t="s">
        <v>1355</v>
      </c>
      <c r="D885" s="202" t="s">
        <v>1356</v>
      </c>
      <c r="E885" s="209" t="s">
        <v>1357</v>
      </c>
      <c r="F885" s="81"/>
      <c r="G885" s="81"/>
      <c r="H885" s="81"/>
      <c r="I885" s="81"/>
      <c r="J885" s="81"/>
      <c r="K885" s="81"/>
      <c r="L885" s="317"/>
      <c r="M885" s="317"/>
      <c r="N885" s="317"/>
      <c r="O885" s="317"/>
      <c r="P885" s="317"/>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row>
    <row r="886" spans="1:66" ht="12.75">
      <c r="A886" s="67"/>
      <c r="B886" s="117">
        <f>499*0.110231</f>
        <v>55.005268999999998</v>
      </c>
      <c r="C886" s="117">
        <v>24.6</v>
      </c>
      <c r="D886" s="117">
        <f>B886/C886</f>
        <v>2.235986544715447</v>
      </c>
      <c r="E886" s="118">
        <f>D886/1000</f>
        <v>2.2359865447154469E-3</v>
      </c>
      <c r="L886" s="39"/>
      <c r="M886" s="39"/>
      <c r="N886" s="39"/>
      <c r="O886" s="39"/>
      <c r="P886" s="39"/>
    </row>
    <row r="887" spans="1:66" s="92" customFormat="1" ht="60">
      <c r="A887" s="83" t="s">
        <v>1358</v>
      </c>
      <c r="B887" s="318" t="s">
        <v>533</v>
      </c>
      <c r="C887" s="318" t="s">
        <v>543</v>
      </c>
      <c r="D887" s="318" t="s">
        <v>522</v>
      </c>
      <c r="E887" s="319" t="s">
        <v>535</v>
      </c>
      <c r="L887" s="317"/>
      <c r="M887" s="317"/>
      <c r="N887" s="317"/>
      <c r="O887" s="317"/>
      <c r="P887" s="317"/>
    </row>
    <row r="888" spans="1:66" ht="12.75">
      <c r="A888" s="63"/>
      <c r="B888" s="617">
        <f>1.09085103078751/100</f>
        <v>1.0908510307875098E-2</v>
      </c>
      <c r="C888" s="617">
        <f>10.4142616996809/100</f>
        <v>0.10414261699680899</v>
      </c>
      <c r="D888" s="617">
        <f>E886</f>
        <v>2.2359865447154469E-3</v>
      </c>
      <c r="E888" s="5">
        <f>1400/1000000</f>
        <v>1.4E-3</v>
      </c>
      <c r="L888" s="39"/>
      <c r="M888" s="39"/>
      <c r="N888" s="39"/>
      <c r="O888" s="39"/>
      <c r="P888" s="39"/>
    </row>
    <row r="889" spans="1:66" ht="12.75">
      <c r="A889" s="14" t="s">
        <v>538</v>
      </c>
      <c r="B889" s="14" t="s">
        <v>570</v>
      </c>
      <c r="L889" s="39"/>
      <c r="M889" s="39"/>
      <c r="N889" s="39"/>
      <c r="O889" s="39"/>
      <c r="P889" s="39"/>
    </row>
    <row r="890" spans="1:66" ht="12.75">
      <c r="B890" s="14" t="s">
        <v>642</v>
      </c>
    </row>
    <row r="891" spans="1:66" ht="12.75">
      <c r="B891" s="655" t="s">
        <v>1328</v>
      </c>
    </row>
    <row r="892" spans="1:66" ht="12.75">
      <c r="B892" s="14" t="s">
        <v>1359</v>
      </c>
    </row>
    <row r="895" spans="1:66" s="92" customFormat="1" ht="38.25">
      <c r="A895" s="208" t="s">
        <v>1360</v>
      </c>
      <c r="B895" s="202" t="s">
        <v>1361</v>
      </c>
      <c r="C895" s="209" t="s">
        <v>1362</v>
      </c>
      <c r="D895" s="202" t="s">
        <v>1363</v>
      </c>
      <c r="E895" s="100" t="s">
        <v>1364</v>
      </c>
    </row>
    <row r="896" spans="1:66" ht="12.75">
      <c r="A896" s="76" t="s">
        <v>1365</v>
      </c>
      <c r="B896" s="17">
        <v>1.7</v>
      </c>
      <c r="C896" s="77">
        <f t="shared" ref="C896:C897" si="187">B896*10000/1000000</f>
        <v>1.7000000000000001E-2</v>
      </c>
      <c r="D896" s="17">
        <v>12.5</v>
      </c>
      <c r="E896" s="77">
        <f t="shared" ref="E896:E897" si="188">D896/1000000*2.52*1000</f>
        <v>3.15E-2</v>
      </c>
    </row>
    <row r="897" spans="1:6" ht="12.75">
      <c r="A897" s="76" t="s">
        <v>1366</v>
      </c>
      <c r="B897" s="17">
        <v>0.23</v>
      </c>
      <c r="C897" s="77">
        <f t="shared" si="187"/>
        <v>2.3E-3</v>
      </c>
      <c r="D897" s="17">
        <v>19</v>
      </c>
      <c r="E897" s="77">
        <f t="shared" si="188"/>
        <v>4.7879999999999999E-2</v>
      </c>
    </row>
    <row r="898" spans="1:6" s="92" customFormat="1" ht="51.75">
      <c r="A898" s="52" t="s">
        <v>1367</v>
      </c>
      <c r="B898" s="685" t="s">
        <v>533</v>
      </c>
      <c r="C898" s="685" t="s">
        <v>543</v>
      </c>
      <c r="D898" s="685" t="s">
        <v>522</v>
      </c>
      <c r="E898" s="291" t="s">
        <v>535</v>
      </c>
    </row>
    <row r="899" spans="1:6" ht="12.75">
      <c r="A899" s="320" t="s">
        <v>1368</v>
      </c>
      <c r="B899">
        <v>2.3E-3</v>
      </c>
      <c r="C899">
        <v>4.7879999999999999E-2</v>
      </c>
      <c r="D899">
        <f t="shared" ref="D899:D904" si="189">1/1000000</f>
        <v>9.9999999999999995E-7</v>
      </c>
      <c r="E899" s="3">
        <f t="shared" ref="E899:E900" si="190">0.2/453.592</f>
        <v>4.4092488403675551E-4</v>
      </c>
    </row>
    <row r="900" spans="1:6" ht="12.75">
      <c r="A900" s="320" t="s">
        <v>1369</v>
      </c>
      <c r="B900">
        <v>2.3E-3</v>
      </c>
      <c r="C900">
        <v>4.7879999999999999E-2</v>
      </c>
      <c r="D900">
        <f t="shared" si="189"/>
        <v>9.9999999999999995E-7</v>
      </c>
      <c r="E900" s="3">
        <f t="shared" si="190"/>
        <v>4.4092488403675551E-4</v>
      </c>
    </row>
    <row r="901" spans="1:6" ht="12.75">
      <c r="A901" s="321" t="s">
        <v>1370</v>
      </c>
      <c r="B901">
        <v>1.7000000000000001E-2</v>
      </c>
      <c r="C901">
        <v>3.15E-2</v>
      </c>
      <c r="D901">
        <f t="shared" si="189"/>
        <v>9.9999999999999995E-7</v>
      </c>
      <c r="E901" s="3">
        <f>0.41/453.592</f>
        <v>9.0389601227534877E-4</v>
      </c>
    </row>
    <row r="902" spans="1:6" ht="12.75">
      <c r="A902" s="321" t="s">
        <v>332</v>
      </c>
      <c r="B902">
        <v>2.3E-3</v>
      </c>
      <c r="C902">
        <v>4.7879999999999999E-2</v>
      </c>
      <c r="D902">
        <f t="shared" si="189"/>
        <v>9.9999999999999995E-7</v>
      </c>
      <c r="E902" s="3">
        <f t="shared" ref="E902:E904" si="191">0.2/453.592</f>
        <v>4.4092488403675551E-4</v>
      </c>
    </row>
    <row r="903" spans="1:6" ht="12.75">
      <c r="A903" s="320" t="s">
        <v>334</v>
      </c>
      <c r="B903">
        <v>2.3E-3</v>
      </c>
      <c r="C903">
        <v>4.7879999999999999E-2</v>
      </c>
      <c r="D903">
        <f t="shared" si="189"/>
        <v>9.9999999999999995E-7</v>
      </c>
      <c r="E903" s="3">
        <f t="shared" si="191"/>
        <v>4.4092488403675551E-4</v>
      </c>
    </row>
    <row r="904" spans="1:6" ht="12.75">
      <c r="A904" s="322" t="s">
        <v>1371</v>
      </c>
      <c r="B904" s="617">
        <v>2.3E-3</v>
      </c>
      <c r="C904" s="617">
        <v>4.7879999999999999E-2</v>
      </c>
      <c r="D904" s="617">
        <f t="shared" si="189"/>
        <v>9.9999999999999995E-7</v>
      </c>
      <c r="E904" s="5">
        <f t="shared" si="191"/>
        <v>4.4092488403675551E-4</v>
      </c>
    </row>
    <row r="905" spans="1:6" ht="12.75">
      <c r="A905" s="14" t="s">
        <v>538</v>
      </c>
      <c r="B905" s="655" t="s">
        <v>1328</v>
      </c>
    </row>
    <row r="906" spans="1:6" ht="12.75">
      <c r="B906" s="14" t="s">
        <v>642</v>
      </c>
    </row>
    <row r="907" spans="1:6" ht="12.75">
      <c r="B907" s="14" t="s">
        <v>867</v>
      </c>
    </row>
    <row r="910" spans="1:6" s="92" customFormat="1" ht="51.75">
      <c r="A910" s="52" t="s">
        <v>1372</v>
      </c>
      <c r="B910" s="221" t="s">
        <v>1373</v>
      </c>
      <c r="C910" s="685" t="s">
        <v>533</v>
      </c>
      <c r="D910" s="685" t="s">
        <v>543</v>
      </c>
      <c r="E910" s="685" t="s">
        <v>522</v>
      </c>
      <c r="F910" s="291" t="s">
        <v>535</v>
      </c>
    </row>
    <row r="911" spans="1:6" ht="12.75">
      <c r="A911" s="62" t="s">
        <v>1178</v>
      </c>
      <c r="B911" s="175">
        <v>49.24</v>
      </c>
      <c r="C911">
        <f>0.384275395899604/100</f>
        <v>3.8427539589960401E-3</v>
      </c>
      <c r="D911">
        <f>1.55377880948691/100</f>
        <v>1.5537788094869101E-2</v>
      </c>
      <c r="E911">
        <f>214/1000000</f>
        <v>2.14E-4</v>
      </c>
      <c r="F911" s="3">
        <f>0.26/453.592</f>
        <v>5.7320234924778215E-4</v>
      </c>
    </row>
    <row r="912" spans="1:6" ht="12.75">
      <c r="A912" s="63" t="s">
        <v>338</v>
      </c>
      <c r="B912" s="176">
        <v>100</v>
      </c>
      <c r="C912" s="725">
        <f t="shared" ref="C912:E912" si="192">C911*$B912/$B911</f>
        <v>7.8041307047035744E-3</v>
      </c>
      <c r="D912" s="725">
        <f t="shared" si="192"/>
        <v>3.1555215464803207E-2</v>
      </c>
      <c r="E912" s="725">
        <f t="shared" si="192"/>
        <v>4.3460601137286752E-4</v>
      </c>
      <c r="F912" s="728">
        <f>(F911*$B912/$B911)+0.1*(F911*$B912/$B911)</f>
        <v>1.280508903681073E-3</v>
      </c>
    </row>
    <row r="913" spans="1:66" ht="12.75">
      <c r="A913" s="14" t="s">
        <v>538</v>
      </c>
      <c r="B913" s="14" t="s">
        <v>570</v>
      </c>
    </row>
    <row r="914" spans="1:66" ht="12.75">
      <c r="A914" s="105"/>
      <c r="B914" s="14" t="s">
        <v>1179</v>
      </c>
    </row>
    <row r="915" spans="1:66" ht="12.75">
      <c r="B915" s="655" t="s">
        <v>1180</v>
      </c>
    </row>
    <row r="916" spans="1:66" ht="12.75">
      <c r="B916" s="655" t="s">
        <v>1067</v>
      </c>
    </row>
    <row r="919" spans="1:66" s="92" customFormat="1" ht="25.5">
      <c r="A919" s="742" t="s">
        <v>1374</v>
      </c>
      <c r="B919" s="307" t="s">
        <v>1330</v>
      </c>
      <c r="C919" s="323" t="s">
        <v>1331</v>
      </c>
      <c r="D919" s="324" t="s">
        <v>1091</v>
      </c>
      <c r="E919" s="324" t="s">
        <v>1375</v>
      </c>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1"/>
      <c r="BK919" s="81"/>
      <c r="BL919" s="81"/>
      <c r="BM919" s="81"/>
      <c r="BN919" s="81"/>
    </row>
    <row r="920" spans="1:66" ht="12.75">
      <c r="A920" s="274" t="s">
        <v>1376</v>
      </c>
      <c r="C920" s="97"/>
      <c r="D920" s="175"/>
      <c r="E920" s="175">
        <f>231/1000000</f>
        <v>2.31E-4</v>
      </c>
    </row>
    <row r="921" spans="1:66" ht="12.75">
      <c r="A921" s="325" t="s">
        <v>1377</v>
      </c>
      <c r="B921" s="617">
        <v>46</v>
      </c>
      <c r="C921" s="98">
        <v>92.3</v>
      </c>
      <c r="D921" s="176">
        <f>B921/C921</f>
        <v>0.49837486457204766</v>
      </c>
      <c r="E921" s="175">
        <f>E920/D921</f>
        <v>4.6350652173913045E-4</v>
      </c>
    </row>
    <row r="922" spans="1:66" s="92" customFormat="1" ht="60">
      <c r="A922" s="52" t="s">
        <v>1378</v>
      </c>
      <c r="B922" s="641" t="s">
        <v>533</v>
      </c>
      <c r="C922" s="641" t="s">
        <v>543</v>
      </c>
      <c r="D922" s="641" t="s">
        <v>522</v>
      </c>
      <c r="E922" s="48" t="s">
        <v>535</v>
      </c>
    </row>
    <row r="923" spans="1:66" ht="12.75">
      <c r="A923" s="63" t="s">
        <v>340</v>
      </c>
      <c r="B923" s="617">
        <f>2.17082416611962/100</f>
        <v>2.1708241661196198E-2</v>
      </c>
      <c r="C923" s="617">
        <f>36.5729524583802/100</f>
        <v>0.36572952458380198</v>
      </c>
      <c r="D923" s="617">
        <f>E921</f>
        <v>4.6350652173913045E-4</v>
      </c>
      <c r="E923" s="5">
        <f>0.77/453.592</f>
        <v>1.6975608035415088E-3</v>
      </c>
      <c r="F923" s="14" t="s">
        <v>1379</v>
      </c>
    </row>
    <row r="924" spans="1:66" ht="12.75">
      <c r="A924" s="14" t="s">
        <v>538</v>
      </c>
      <c r="B924" s="14" t="s">
        <v>570</v>
      </c>
    </row>
    <row r="925" spans="1:66" ht="12.75">
      <c r="B925" s="14" t="s">
        <v>642</v>
      </c>
    </row>
    <row r="926" spans="1:66" ht="12.75">
      <c r="B926" s="14" t="s">
        <v>867</v>
      </c>
    </row>
    <row r="927" spans="1:66" ht="12.75">
      <c r="B927" s="14" t="s">
        <v>1380</v>
      </c>
    </row>
    <row r="930" spans="1:9" s="92" customFormat="1" ht="25.5">
      <c r="A930" s="742" t="s">
        <v>1381</v>
      </c>
      <c r="B930" s="307" t="s">
        <v>1330</v>
      </c>
      <c r="C930" s="323" t="s">
        <v>1331</v>
      </c>
      <c r="D930" s="324" t="s">
        <v>1091</v>
      </c>
      <c r="E930" s="324" t="s">
        <v>1375</v>
      </c>
    </row>
    <row r="931" spans="1:9" ht="12.75">
      <c r="A931" s="274" t="s">
        <v>308</v>
      </c>
      <c r="C931" s="97"/>
      <c r="D931" s="175"/>
      <c r="E931" s="175">
        <f>70/1000000</f>
        <v>6.9999999999999994E-5</v>
      </c>
    </row>
    <row r="932" spans="1:9" ht="12.75">
      <c r="A932" s="325" t="s">
        <v>346</v>
      </c>
      <c r="B932" s="617">
        <v>21.4</v>
      </c>
      <c r="C932" s="98">
        <v>88.7</v>
      </c>
      <c r="D932" s="176">
        <f>B932/C932</f>
        <v>0.2412626832018038</v>
      </c>
      <c r="E932" s="175">
        <f>E931/D932</f>
        <v>2.9014018691588786E-4</v>
      </c>
    </row>
    <row r="933" spans="1:9" s="92" customFormat="1" ht="51.75">
      <c r="A933" s="52" t="s">
        <v>1181</v>
      </c>
      <c r="B933" s="685" t="s">
        <v>533</v>
      </c>
      <c r="C933" s="685" t="s">
        <v>543</v>
      </c>
      <c r="D933" s="685" t="s">
        <v>522</v>
      </c>
      <c r="E933" s="291" t="s">
        <v>535</v>
      </c>
    </row>
    <row r="934" spans="1:9" ht="12.75">
      <c r="A934" s="62" t="s">
        <v>308</v>
      </c>
      <c r="B934">
        <f>0.432977357609711/100</f>
        <v>4.3297735760971104E-3</v>
      </c>
      <c r="C934">
        <f>3.51540340328409/100</f>
        <v>3.5154034032840904E-2</v>
      </c>
      <c r="D934">
        <f>70/1000000</f>
        <v>6.9999999999999994E-5</v>
      </c>
      <c r="E934" s="3">
        <f>0.25/453.592</f>
        <v>5.511561050459444E-4</v>
      </c>
    </row>
    <row r="935" spans="1:9" ht="12.75">
      <c r="A935" s="62" t="s">
        <v>1382</v>
      </c>
      <c r="B935">
        <f t="shared" ref="B935:B936" si="193">2.96918720426183/100</f>
        <v>2.9691872042618299E-2</v>
      </c>
      <c r="C935">
        <f t="shared" ref="C935:C936" si="194">7.53685455177993/100</f>
        <v>7.5368545517799299E-2</v>
      </c>
      <c r="D935">
        <f>E932</f>
        <v>2.9014018691588786E-4</v>
      </c>
      <c r="E935" s="3">
        <f t="shared" ref="E935:E936" si="195">0.67/453.592</f>
        <v>1.4770983615231311E-3</v>
      </c>
    </row>
    <row r="936" spans="1:9" ht="12.75">
      <c r="A936" s="63" t="s">
        <v>343</v>
      </c>
      <c r="B936" s="617">
        <f t="shared" si="193"/>
        <v>2.9691872042618299E-2</v>
      </c>
      <c r="C936" s="617">
        <f t="shared" si="194"/>
        <v>7.5368545517799299E-2</v>
      </c>
      <c r="D936" s="617">
        <f>E932</f>
        <v>2.9014018691588786E-4</v>
      </c>
      <c r="E936" s="5">
        <f t="shared" si="195"/>
        <v>1.4770983615231311E-3</v>
      </c>
    </row>
    <row r="937" spans="1:9" ht="12.75">
      <c r="A937" s="14" t="s">
        <v>538</v>
      </c>
      <c r="B937" s="14" t="s">
        <v>570</v>
      </c>
    </row>
    <row r="938" spans="1:9" ht="12.75">
      <c r="B938" s="14" t="s">
        <v>642</v>
      </c>
    </row>
    <row r="939" spans="1:9" ht="12.75">
      <c r="B939" s="14" t="s">
        <v>867</v>
      </c>
      <c r="F939" s="14"/>
      <c r="G939" s="14"/>
      <c r="H939" s="14"/>
    </row>
    <row r="940" spans="1:9" ht="12.75">
      <c r="B940" s="14" t="s">
        <v>1383</v>
      </c>
    </row>
    <row r="943" spans="1:9" s="92" customFormat="1" ht="25.5">
      <c r="A943" s="742" t="s">
        <v>1384</v>
      </c>
      <c r="B943" s="307" t="s">
        <v>1330</v>
      </c>
      <c r="C943" s="323" t="s">
        <v>1331</v>
      </c>
      <c r="D943" s="324" t="s">
        <v>1091</v>
      </c>
      <c r="E943" s="324" t="s">
        <v>1375</v>
      </c>
    </row>
    <row r="944" spans="1:9" ht="12.75">
      <c r="A944" s="274" t="s">
        <v>1385</v>
      </c>
      <c r="C944" s="97"/>
      <c r="D944" s="175"/>
      <c r="E944" s="175">
        <f>148/1000000</f>
        <v>1.4799999999999999E-4</v>
      </c>
      <c r="G944" s="148"/>
      <c r="H944" s="148"/>
      <c r="I944" s="148"/>
    </row>
    <row r="945" spans="1:66" ht="12.75">
      <c r="A945" s="325" t="s">
        <v>350</v>
      </c>
      <c r="B945" s="617">
        <v>47.9</v>
      </c>
      <c r="C945" s="98">
        <v>92.8</v>
      </c>
      <c r="D945" s="176">
        <f>B945/C945</f>
        <v>0.51616379310344829</v>
      </c>
      <c r="E945" s="175">
        <f>E944/D945</f>
        <v>2.8673068893528183E-4</v>
      </c>
      <c r="G945" s="148"/>
      <c r="H945" s="148"/>
      <c r="I945" s="148"/>
    </row>
    <row r="946" spans="1:66" s="92" customFormat="1" ht="51.75">
      <c r="A946" s="52" t="s">
        <v>1386</v>
      </c>
      <c r="B946" s="685" t="s">
        <v>533</v>
      </c>
      <c r="C946" s="685" t="s">
        <v>543</v>
      </c>
      <c r="D946" s="685" t="s">
        <v>522</v>
      </c>
      <c r="E946" s="291" t="s">
        <v>535</v>
      </c>
    </row>
    <row r="947" spans="1:66" ht="12.75">
      <c r="A947" s="63"/>
      <c r="B947" s="617">
        <f>1/1.3*10000/1000000</f>
        <v>7.6923076923076919E-3</v>
      </c>
      <c r="C947" s="617">
        <f>183*1000/1000000</f>
        <v>0.183</v>
      </c>
      <c r="D947" s="617">
        <f>E945</f>
        <v>2.8673068893528183E-4</v>
      </c>
      <c r="E947" s="5">
        <f>0.67/453.592</f>
        <v>1.4770983615231311E-3</v>
      </c>
    </row>
    <row r="948" spans="1:66" ht="12.75">
      <c r="A948" s="14" t="s">
        <v>538</v>
      </c>
      <c r="B948" s="14" t="s">
        <v>1387</v>
      </c>
    </row>
    <row r="949" spans="1:66" ht="12.75">
      <c r="B949" s="14" t="s">
        <v>642</v>
      </c>
    </row>
    <row r="950" spans="1:66" ht="12.75">
      <c r="B950" s="14" t="s">
        <v>867</v>
      </c>
    </row>
    <row r="953" spans="1:66" ht="12.75">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row>
    <row r="954" spans="1:66" ht="29.25" customHeight="1">
      <c r="A954" s="38" t="s">
        <v>1388</v>
      </c>
    </row>
    <row r="956" spans="1:66" s="92" customFormat="1" ht="51.75">
      <c r="A956" s="996" t="s">
        <v>1388</v>
      </c>
      <c r="B956" s="685" t="s">
        <v>533</v>
      </c>
      <c r="C956" s="685" t="s">
        <v>543</v>
      </c>
      <c r="D956" s="685" t="s">
        <v>522</v>
      </c>
      <c r="E956" s="291" t="s">
        <v>535</v>
      </c>
    </row>
    <row r="957" spans="1:66" ht="12.75">
      <c r="A957" s="743" t="s">
        <v>381</v>
      </c>
      <c r="B957" s="148">
        <v>0</v>
      </c>
      <c r="C957" s="148">
        <v>0</v>
      </c>
      <c r="D957" s="148">
        <v>0</v>
      </c>
      <c r="E957" s="357">
        <f>0.4475393143/100</f>
        <v>4.4753931430000001E-3</v>
      </c>
    </row>
    <row r="958" spans="1:66" ht="12.75">
      <c r="A958" s="326" t="s">
        <v>386</v>
      </c>
      <c r="B958" s="148">
        <f>1.42059417229878/100</f>
        <v>1.4205941722987801E-2</v>
      </c>
      <c r="C958" s="148">
        <f>0.0235704/100</f>
        <v>2.3570399999999999E-4</v>
      </c>
      <c r="D958" s="148">
        <f>0.02128520645/100</f>
        <v>2.1285206449999999E-4</v>
      </c>
      <c r="E958" s="357">
        <f>0.808166666666667/100</f>
        <v>8.081666666666671E-3</v>
      </c>
    </row>
    <row r="959" spans="1:66" ht="12.75">
      <c r="A959" s="743" t="s">
        <v>388</v>
      </c>
      <c r="B959" s="148">
        <v>0</v>
      </c>
      <c r="C959" s="148">
        <v>0</v>
      </c>
      <c r="D959" s="148">
        <v>0</v>
      </c>
      <c r="E959" s="357">
        <f>0.27715/100</f>
        <v>2.7715000000000001E-3</v>
      </c>
    </row>
    <row r="960" spans="1:66" ht="12.75">
      <c r="A960" s="326" t="s">
        <v>389</v>
      </c>
      <c r="B960" s="148">
        <v>0</v>
      </c>
      <c r="C960" s="148">
        <v>0</v>
      </c>
      <c r="D960" s="148">
        <v>0</v>
      </c>
      <c r="E960" s="357">
        <f>0.418814893617021/100</f>
        <v>4.18814893617021E-3</v>
      </c>
    </row>
    <row r="961" spans="1:5" ht="12.75">
      <c r="A961" s="326" t="s">
        <v>390</v>
      </c>
      <c r="B961" s="148">
        <v>0</v>
      </c>
      <c r="C961" s="148">
        <v>0</v>
      </c>
      <c r="D961" s="148">
        <v>0</v>
      </c>
      <c r="E961" s="357">
        <f>1.60384615384615/100</f>
        <v>1.6038461538461498E-2</v>
      </c>
    </row>
    <row r="962" spans="1:5" ht="12.75">
      <c r="A962" s="326" t="s">
        <v>391</v>
      </c>
      <c r="B962" s="148">
        <v>0</v>
      </c>
      <c r="C962" s="148">
        <v>0</v>
      </c>
      <c r="D962" s="148">
        <v>0</v>
      </c>
      <c r="E962" s="357">
        <f>0.327987171428571/100</f>
        <v>3.2798717142857097E-3</v>
      </c>
    </row>
    <row r="963" spans="1:5" ht="12.75">
      <c r="A963" s="326" t="s">
        <v>392</v>
      </c>
      <c r="B963" s="148">
        <v>0</v>
      </c>
      <c r="C963" s="148">
        <v>0</v>
      </c>
      <c r="D963" s="148">
        <v>0</v>
      </c>
      <c r="E963" s="357">
        <f>0.3686349/100</f>
        <v>3.6863489999999998E-3</v>
      </c>
    </row>
    <row r="964" spans="1:5" ht="12.75">
      <c r="A964" s="743" t="s">
        <v>393</v>
      </c>
      <c r="B964" s="148">
        <v>0</v>
      </c>
      <c r="C964" s="148">
        <v>0</v>
      </c>
      <c r="D964" s="148">
        <v>0</v>
      </c>
      <c r="E964" s="357">
        <f>0.528834771428571/100</f>
        <v>5.2883477142857101E-3</v>
      </c>
    </row>
    <row r="965" spans="1:5" ht="12.75">
      <c r="A965" s="743" t="s">
        <v>1389</v>
      </c>
      <c r="B965" s="148">
        <v>0</v>
      </c>
      <c r="C965" s="148">
        <v>0</v>
      </c>
      <c r="D965" s="148">
        <v>0</v>
      </c>
      <c r="E965" s="357">
        <f>0.332666666666667/100</f>
        <v>3.32666666666667E-3</v>
      </c>
    </row>
    <row r="966" spans="1:5" ht="12.75">
      <c r="A966" s="743" t="s">
        <v>1390</v>
      </c>
      <c r="B966" s="148">
        <v>0</v>
      </c>
      <c r="C966" s="148">
        <v>0</v>
      </c>
      <c r="D966" s="148">
        <v>0</v>
      </c>
      <c r="E966" s="357">
        <f>0.593392928571429/100</f>
        <v>5.93392928571429E-3</v>
      </c>
    </row>
    <row r="967" spans="1:5" ht="12.75">
      <c r="A967" s="743" t="s">
        <v>402</v>
      </c>
      <c r="B967" s="148">
        <f>0.0320155555555556/100</f>
        <v>3.2015555555555601E-4</v>
      </c>
      <c r="C967" s="148">
        <f>0.0490608/100</f>
        <v>4.9060800000000002E-4</v>
      </c>
      <c r="D967" s="148">
        <f>0.0328723850794297/100</f>
        <v>3.2872385079429705E-4</v>
      </c>
      <c r="E967" s="357">
        <f>1.08733333333333/100</f>
        <v>1.0873333333333299E-2</v>
      </c>
    </row>
    <row r="968" spans="1:5" ht="12.75">
      <c r="A968" s="743" t="s">
        <v>403</v>
      </c>
      <c r="B968" s="148">
        <v>0</v>
      </c>
      <c r="C968" s="148">
        <v>0</v>
      </c>
      <c r="D968" s="148">
        <v>0</v>
      </c>
      <c r="E968" s="357">
        <f>1.45/100</f>
        <v>1.4499999999999999E-2</v>
      </c>
    </row>
    <row r="969" spans="1:5" ht="12.75">
      <c r="A969" s="327" t="s">
        <v>405</v>
      </c>
      <c r="B969" s="646">
        <f>1.28766666666667/100</f>
        <v>1.2876666666666701E-2</v>
      </c>
      <c r="C969" s="646">
        <f>0.036204/100</f>
        <v>3.6204E-4</v>
      </c>
      <c r="D969" s="646">
        <f>0.0299415860913391/100</f>
        <v>2.9941586091339101E-4</v>
      </c>
      <c r="E969" s="191">
        <f>1.907/100</f>
        <v>1.907E-2</v>
      </c>
    </row>
    <row r="970" spans="1:5" ht="12.75">
      <c r="A970" s="14" t="s">
        <v>538</v>
      </c>
      <c r="B970" s="655" t="s">
        <v>1391</v>
      </c>
    </row>
    <row r="971" spans="1:5" ht="12.75">
      <c r="B971" s="655" t="s">
        <v>1392</v>
      </c>
    </row>
    <row r="972" spans="1:5" ht="12.75">
      <c r="B972" s="655" t="s">
        <v>1393</v>
      </c>
    </row>
    <row r="973" spans="1:5" ht="12.75">
      <c r="B973" s="655" t="s">
        <v>1394</v>
      </c>
    </row>
    <row r="974" spans="1:5" ht="12.75">
      <c r="B974" s="655" t="s">
        <v>1395</v>
      </c>
    </row>
    <row r="975" spans="1:5" ht="12.75">
      <c r="B975" s="655" t="s">
        <v>1396</v>
      </c>
    </row>
    <row r="976" spans="1:5" ht="12.75">
      <c r="B976" s="655" t="s">
        <v>1397</v>
      </c>
    </row>
    <row r="977" spans="2:2" ht="12.75">
      <c r="B977" s="655" t="s">
        <v>1398</v>
      </c>
    </row>
    <row r="978" spans="2:2" ht="12.75">
      <c r="B978" s="655" t="s">
        <v>1399</v>
      </c>
    </row>
    <row r="979" spans="2:2" ht="12.75">
      <c r="B979" s="655" t="s">
        <v>1400</v>
      </c>
    </row>
    <row r="980" spans="2:2" ht="12.75">
      <c r="B980" s="655" t="s">
        <v>1401</v>
      </c>
    </row>
    <row r="981" spans="2:2" ht="12.75">
      <c r="B981" s="14" t="s">
        <v>1402</v>
      </c>
    </row>
    <row r="982" spans="2:2" ht="12.75">
      <c r="B982" s="66" t="s">
        <v>1403</v>
      </c>
    </row>
    <row r="983" spans="2:2" ht="12.75">
      <c r="B983" s="66" t="s">
        <v>1404</v>
      </c>
    </row>
    <row r="984" spans="2:2" ht="12.75">
      <c r="B984" s="66" t="s">
        <v>1405</v>
      </c>
    </row>
    <row r="985" spans="2:2" ht="12.75">
      <c r="B985" s="328" t="s">
        <v>1406</v>
      </c>
    </row>
    <row r="986" spans="2:2" ht="12.75">
      <c r="B986" s="14" t="s">
        <v>1407</v>
      </c>
    </row>
    <row r="987" spans="2:2" ht="12.75">
      <c r="B987" s="655" t="s">
        <v>1408</v>
      </c>
    </row>
    <row r="988" spans="2:2" ht="12.75">
      <c r="B988" s="655" t="s">
        <v>1409</v>
      </c>
    </row>
    <row r="989" spans="2:2" ht="12.75">
      <c r="B989" s="328" t="s">
        <v>1410</v>
      </c>
    </row>
    <row r="990" spans="2:2" ht="12.75">
      <c r="B990" s="328" t="s">
        <v>1411</v>
      </c>
    </row>
    <row r="991" spans="2:2" ht="12.75">
      <c r="B991" s="328" t="s">
        <v>1412</v>
      </c>
    </row>
    <row r="992" spans="2:2" ht="12.75">
      <c r="B992" s="14" t="s">
        <v>1413</v>
      </c>
    </row>
    <row r="993" spans="1:13" ht="12.75">
      <c r="B993" s="328" t="s">
        <v>1414</v>
      </c>
    </row>
    <row r="994" spans="1:13" ht="12.75">
      <c r="B994" s="14" t="s">
        <v>1415</v>
      </c>
    </row>
    <row r="995" spans="1:13" ht="12.75">
      <c r="B995" s="14" t="s">
        <v>1416</v>
      </c>
    </row>
    <row r="996" spans="1:13" ht="12.75">
      <c r="B996" s="14" t="s">
        <v>1417</v>
      </c>
    </row>
    <row r="997" spans="1:13" ht="12.75">
      <c r="B997" s="14" t="s">
        <v>1418</v>
      </c>
    </row>
    <row r="998" spans="1:13" ht="12.75">
      <c r="B998" s="14" t="s">
        <v>1419</v>
      </c>
    </row>
    <row r="999" spans="1:13" ht="12.75">
      <c r="B999" s="14" t="s">
        <v>1420</v>
      </c>
    </row>
    <row r="1002" spans="1:13" s="92" customFormat="1" ht="75">
      <c r="A1002" s="997" t="s">
        <v>1421</v>
      </c>
      <c r="B1002" s="744" t="s">
        <v>623</v>
      </c>
      <c r="C1002" s="744" t="s">
        <v>624</v>
      </c>
      <c r="D1002" s="329" t="s">
        <v>625</v>
      </c>
      <c r="E1002" s="744" t="s">
        <v>626</v>
      </c>
      <c r="F1002" s="744" t="s">
        <v>624</v>
      </c>
      <c r="G1002" s="329" t="s">
        <v>534</v>
      </c>
      <c r="H1002" s="744" t="s">
        <v>955</v>
      </c>
      <c r="I1002" s="744" t="s">
        <v>624</v>
      </c>
      <c r="J1002" s="329" t="s">
        <v>720</v>
      </c>
      <c r="K1002" s="744" t="s">
        <v>957</v>
      </c>
      <c r="L1002" s="744" t="s">
        <v>624</v>
      </c>
      <c r="M1002" s="330" t="s">
        <v>722</v>
      </c>
    </row>
    <row r="1003" spans="1:13" ht="12.75">
      <c r="A1003" s="331" t="s">
        <v>1422</v>
      </c>
      <c r="B1003" s="332" t="s">
        <v>18</v>
      </c>
      <c r="C1003" s="332"/>
      <c r="D1003" s="333" t="s">
        <v>18</v>
      </c>
      <c r="E1003" s="334">
        <v>2.58E-5</v>
      </c>
      <c r="F1003" s="332" t="s">
        <v>1423</v>
      </c>
      <c r="G1003" s="333">
        <f>0.0000258/6</f>
        <v>4.3000000000000003E-6</v>
      </c>
      <c r="H1003" s="332" t="s">
        <v>18</v>
      </c>
      <c r="I1003" s="332"/>
      <c r="J1003" s="333" t="s">
        <v>18</v>
      </c>
      <c r="K1003" s="334">
        <v>0.17</v>
      </c>
      <c r="L1003" s="332" t="s">
        <v>1424</v>
      </c>
      <c r="M1003" s="335">
        <f>0.17/6</f>
        <v>2.8333333333333335E-2</v>
      </c>
    </row>
    <row r="1004" spans="1:13" ht="12.75">
      <c r="A1004" s="331" t="s">
        <v>1425</v>
      </c>
      <c r="B1004" s="332" t="s">
        <v>18</v>
      </c>
      <c r="C1004" s="332"/>
      <c r="D1004" s="333" t="s">
        <v>18</v>
      </c>
      <c r="E1004" s="334">
        <v>3.4900000000000001E-5</v>
      </c>
      <c r="F1004" s="332" t="s">
        <v>1426</v>
      </c>
      <c r="G1004" s="333">
        <f>0.0000349/6</f>
        <v>5.8166666666666672E-6</v>
      </c>
      <c r="H1004" s="332" t="s">
        <v>18</v>
      </c>
      <c r="I1004" s="332"/>
      <c r="J1004" s="333" t="s">
        <v>18</v>
      </c>
      <c r="K1004" s="334">
        <v>0.20200000000000001</v>
      </c>
      <c r="L1004" s="332" t="s">
        <v>1427</v>
      </c>
      <c r="M1004" s="335">
        <f>0.202/6</f>
        <v>3.3666666666666671E-2</v>
      </c>
    </row>
    <row r="1005" spans="1:13" ht="12.75">
      <c r="A1005" s="336" t="s">
        <v>1428</v>
      </c>
      <c r="B1005" s="337"/>
      <c r="C1005" s="337"/>
      <c r="D1005" s="338" t="s">
        <v>18</v>
      </c>
      <c r="E1005" s="337"/>
      <c r="F1005" s="337"/>
      <c r="G1005" s="338">
        <f>AVERAGE(G1003:G1004)</f>
        <v>5.0583333333333337E-6</v>
      </c>
      <c r="H1005" s="337"/>
      <c r="I1005" s="337"/>
      <c r="J1005" s="338" t="s">
        <v>18</v>
      </c>
      <c r="K1005" s="337"/>
      <c r="L1005" s="337"/>
      <c r="M1005" s="339">
        <f>AVERAGE(M1003:M1004)</f>
        <v>3.1000000000000003E-2</v>
      </c>
    </row>
    <row r="1006" spans="1:13" ht="12.75">
      <c r="A1006" s="331" t="s">
        <v>1429</v>
      </c>
      <c r="B1006" s="332" t="s">
        <v>18</v>
      </c>
      <c r="C1006" s="332"/>
      <c r="D1006" s="333" t="s">
        <v>18</v>
      </c>
      <c r="E1006" s="332" t="s">
        <v>18</v>
      </c>
      <c r="F1006" s="332"/>
      <c r="G1006" s="333" t="s">
        <v>18</v>
      </c>
      <c r="H1006" s="332" t="s">
        <v>18</v>
      </c>
      <c r="I1006" s="332"/>
      <c r="J1006" s="333" t="s">
        <v>18</v>
      </c>
      <c r="K1006" s="332" t="s">
        <v>1430</v>
      </c>
      <c r="L1006" s="332"/>
      <c r="M1006" s="335">
        <v>0.24</v>
      </c>
    </row>
    <row r="1007" spans="1:13" ht="12.75">
      <c r="A1007" s="340" t="s">
        <v>1431</v>
      </c>
      <c r="B1007" s="341" t="s">
        <v>18</v>
      </c>
      <c r="C1007" s="341"/>
      <c r="D1007" s="342" t="s">
        <v>18</v>
      </c>
      <c r="E1007" s="341" t="s">
        <v>18</v>
      </c>
      <c r="F1007" s="341"/>
      <c r="G1007" s="342" t="s">
        <v>18</v>
      </c>
      <c r="H1007" s="341" t="s">
        <v>18</v>
      </c>
      <c r="I1007" s="341"/>
      <c r="J1007" s="342" t="s">
        <v>18</v>
      </c>
      <c r="K1007" s="341" t="s">
        <v>1432</v>
      </c>
      <c r="L1007" s="341"/>
      <c r="M1007" s="343">
        <v>0.31430000000000002</v>
      </c>
    </row>
    <row r="1008" spans="1:13" ht="12.75">
      <c r="A1008" s="745" t="s">
        <v>829</v>
      </c>
      <c r="B1008" s="437"/>
      <c r="C1008" s="437"/>
      <c r="D1008" s="746" t="s">
        <v>18</v>
      </c>
      <c r="E1008" s="437"/>
      <c r="F1008" s="747"/>
      <c r="G1008" s="748">
        <f>G1005</f>
        <v>5.0583333333333337E-6</v>
      </c>
      <c r="H1008" s="747"/>
      <c r="I1008" s="747"/>
      <c r="J1008" s="748" t="s">
        <v>18</v>
      </c>
      <c r="K1008" s="747"/>
      <c r="L1008" s="747"/>
      <c r="M1008" s="749">
        <f>AVERAGE(M1006:M1007)</f>
        <v>0.27715000000000001</v>
      </c>
    </row>
    <row r="1009" spans="1:5" s="92" customFormat="1" ht="51.75">
      <c r="A1009" s="52" t="s">
        <v>1433</v>
      </c>
      <c r="B1009" s="685" t="s">
        <v>533</v>
      </c>
      <c r="C1009" s="685" t="s">
        <v>543</v>
      </c>
      <c r="D1009" s="685" t="s">
        <v>522</v>
      </c>
      <c r="E1009" s="291" t="s">
        <v>535</v>
      </c>
    </row>
    <row r="1010" spans="1:5" ht="12.75">
      <c r="A1010" s="190" t="s">
        <v>396</v>
      </c>
      <c r="B1010" s="646">
        <v>0</v>
      </c>
      <c r="C1010" s="646">
        <f>0.000005058333333/100</f>
        <v>5.058333333E-8</v>
      </c>
      <c r="D1010" s="646">
        <v>0</v>
      </c>
      <c r="E1010" s="191">
        <f>0.27715/100</f>
        <v>2.7715000000000001E-3</v>
      </c>
    </row>
    <row r="1011" spans="1:5" ht="12.75">
      <c r="A1011" s="14" t="s">
        <v>538</v>
      </c>
      <c r="B1011" s="66" t="s">
        <v>1434</v>
      </c>
    </row>
    <row r="1012" spans="1:5" ht="12.75">
      <c r="B1012" s="66" t="s">
        <v>645</v>
      </c>
    </row>
    <row r="1013" spans="1:5" ht="12.75">
      <c r="B1013" s="14" t="s">
        <v>1435</v>
      </c>
    </row>
    <row r="1014" spans="1:5" ht="12.75">
      <c r="B1014" s="655" t="s">
        <v>1436</v>
      </c>
    </row>
    <row r="1016" spans="1:5" ht="12.75">
      <c r="B1016" s="14"/>
    </row>
    <row r="1017" spans="1:5" s="92" customFormat="1" ht="51.75">
      <c r="A1017" s="52" t="s">
        <v>1437</v>
      </c>
      <c r="B1017" s="685" t="s">
        <v>533</v>
      </c>
      <c r="C1017" s="685" t="s">
        <v>543</v>
      </c>
      <c r="D1017" s="685" t="s">
        <v>522</v>
      </c>
      <c r="E1017" s="291" t="s">
        <v>535</v>
      </c>
    </row>
    <row r="1018" spans="1:5" ht="12.75">
      <c r="A1018" s="201"/>
      <c r="B1018" s="646">
        <f>0.30226/100</f>
        <v>3.0225999999999999E-3</v>
      </c>
      <c r="C1018" s="646">
        <f>0.004318/100</f>
        <v>4.3179999999999997E-5</v>
      </c>
      <c r="D1018" s="646">
        <f>0.0254420787339632/100</f>
        <v>2.5442078733963202E-4</v>
      </c>
      <c r="E1018" s="191">
        <f>0.5124762528/100</f>
        <v>5.1247625279999993E-3</v>
      </c>
    </row>
    <row r="1019" spans="1:5" ht="12.75">
      <c r="B1019" s="14" t="s">
        <v>570</v>
      </c>
    </row>
    <row r="1020" spans="1:5" ht="12.75">
      <c r="B1020" s="14" t="s">
        <v>1402</v>
      </c>
    </row>
    <row r="1021" spans="1:5" ht="12.75">
      <c r="A1021" s="148"/>
      <c r="B1021" s="66" t="s">
        <v>1403</v>
      </c>
    </row>
    <row r="1022" spans="1:5" ht="12.75">
      <c r="A1022" s="148"/>
      <c r="B1022" s="655" t="s">
        <v>656</v>
      </c>
    </row>
    <row r="1023" spans="1:5" ht="12.75">
      <c r="A1023" s="148"/>
      <c r="B1023" s="328" t="s">
        <v>1438</v>
      </c>
    </row>
    <row r="1024" spans="1:5" ht="12.75">
      <c r="B1024" s="14" t="s">
        <v>1416</v>
      </c>
    </row>
    <row r="1025" spans="1:66" ht="12.75">
      <c r="B1025" s="328" t="s">
        <v>1439</v>
      </c>
    </row>
    <row r="1026" spans="1:66" ht="12.75">
      <c r="B1026" s="328" t="s">
        <v>1440</v>
      </c>
    </row>
    <row r="1027" spans="1:66" ht="12.75">
      <c r="B1027" s="14"/>
    </row>
    <row r="1028" spans="1:66" ht="12.75">
      <c r="B1028" s="14"/>
    </row>
    <row r="1029" spans="1:66" s="92" customFormat="1" ht="38.25">
      <c r="A1029" s="742" t="s">
        <v>1441</v>
      </c>
      <c r="B1029" s="307" t="s">
        <v>1442</v>
      </c>
      <c r="C1029" s="307" t="s">
        <v>1443</v>
      </c>
      <c r="D1029" s="324" t="s">
        <v>1444</v>
      </c>
    </row>
    <row r="1030" spans="1:66" ht="12.75">
      <c r="A1030" s="274" t="s">
        <v>407</v>
      </c>
      <c r="B1030" s="14">
        <v>109</v>
      </c>
      <c r="C1030" s="14">
        <v>130</v>
      </c>
      <c r="D1030" s="175">
        <f>C1030/B1030</f>
        <v>1.1926605504587156</v>
      </c>
    </row>
    <row r="1031" spans="1:66" s="92" customFormat="1" ht="51.75">
      <c r="A1031" s="52" t="s">
        <v>1445</v>
      </c>
      <c r="B1031" s="221" t="s">
        <v>873</v>
      </c>
      <c r="C1031" s="685" t="s">
        <v>533</v>
      </c>
      <c r="D1031" s="685" t="s">
        <v>543</v>
      </c>
      <c r="E1031" s="685" t="s">
        <v>522</v>
      </c>
      <c r="F1031" s="291" t="s">
        <v>535</v>
      </c>
    </row>
    <row r="1032" spans="1:66" ht="12.75">
      <c r="A1032" s="661" t="s">
        <v>1446</v>
      </c>
      <c r="B1032" s="175">
        <v>86</v>
      </c>
      <c r="C1032" s="148">
        <f>0.41108/100</f>
        <v>4.1108000000000004E-3</v>
      </c>
      <c r="D1032" s="148">
        <f t="shared" ref="D1032:D1033" si="196">0</f>
        <v>0</v>
      </c>
      <c r="E1032" s="148">
        <f>E1033*(B1032/B1033)</f>
        <v>2.2323326446008546E-4</v>
      </c>
      <c r="F1032" s="3">
        <f>1.85/453.592</f>
        <v>4.0785551773399884E-3</v>
      </c>
    </row>
    <row r="1033" spans="1:66" ht="12.75">
      <c r="A1033" s="190" t="s">
        <v>406</v>
      </c>
      <c r="B1033" s="176">
        <v>130</v>
      </c>
      <c r="C1033" s="646">
        <f>C1032*(B1033/B1032)</f>
        <v>6.2140000000000008E-3</v>
      </c>
      <c r="D1033" s="646">
        <f t="shared" si="196"/>
        <v>0</v>
      </c>
      <c r="E1033" s="646">
        <f>0.0337445632323385/100</f>
        <v>3.3744563232338502E-4</v>
      </c>
      <c r="F1033" s="191">
        <f>1.56/453.592*D1030</f>
        <v>4.1018149762685327E-3</v>
      </c>
    </row>
    <row r="1034" spans="1:66" ht="12.75">
      <c r="B1034" s="14" t="s">
        <v>570</v>
      </c>
    </row>
    <row r="1035" spans="1:66" ht="12.75">
      <c r="B1035" s="655" t="s">
        <v>656</v>
      </c>
    </row>
    <row r="1036" spans="1:66" ht="12.75">
      <c r="B1036" s="14" t="s">
        <v>1402</v>
      </c>
    </row>
    <row r="1037" spans="1:66" ht="12.75">
      <c r="B1037" s="66" t="s">
        <v>1403</v>
      </c>
    </row>
    <row r="1038" spans="1:66" ht="12.75">
      <c r="B1038" s="14" t="s">
        <v>1447</v>
      </c>
    </row>
    <row r="1039" spans="1:66" ht="12.75">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row>
    <row r="1040" spans="1:66" ht="30" customHeight="1">
      <c r="A1040" s="38" t="s">
        <v>1448</v>
      </c>
      <c r="C1040" s="14"/>
      <c r="I1040" s="14"/>
      <c r="J1040" s="14"/>
      <c r="L1040" s="43"/>
      <c r="M1040" s="43"/>
      <c r="N1040" s="43"/>
      <c r="O1040" s="43"/>
      <c r="P1040" s="43"/>
      <c r="R1040" s="14"/>
      <c r="S1040" s="43"/>
      <c r="T1040" s="43"/>
      <c r="U1040" s="43"/>
      <c r="V1040" s="43"/>
      <c r="X1040" s="14"/>
      <c r="AC1040" s="14"/>
      <c r="AD1040" s="14"/>
      <c r="AE1040" s="14"/>
      <c r="AK1040" s="14"/>
      <c r="AL1040" s="43"/>
      <c r="AM1040" s="43"/>
      <c r="AN1040" s="43"/>
      <c r="AO1040" s="43"/>
      <c r="AP1040" s="14"/>
      <c r="AQ1040" s="14"/>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row>
    <row r="1041" spans="1:66" ht="12.75">
      <c r="A1041" s="14"/>
      <c r="I1041" s="14"/>
      <c r="J1041" s="14"/>
      <c r="L1041" s="43"/>
      <c r="M1041" s="43"/>
      <c r="N1041" s="43"/>
      <c r="O1041" s="43"/>
      <c r="P1041" s="43"/>
      <c r="R1041" s="14"/>
      <c r="S1041" s="43"/>
      <c r="T1041" s="43"/>
      <c r="U1041" s="43"/>
      <c r="V1041" s="43"/>
      <c r="X1041" s="14"/>
      <c r="AC1041" s="14"/>
      <c r="AD1041" s="14"/>
      <c r="AE1041" s="14"/>
      <c r="AK1041" s="14"/>
      <c r="AL1041" s="43"/>
      <c r="AM1041" s="43"/>
      <c r="AN1041" s="43"/>
      <c r="AO1041" s="43"/>
      <c r="AP1041" s="14"/>
      <c r="AQ1041" s="14"/>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row>
    <row r="1042" spans="1:66" s="92" customFormat="1" ht="75">
      <c r="A1042" s="721" t="s">
        <v>1449</v>
      </c>
      <c r="B1042" s="202" t="s">
        <v>623</v>
      </c>
      <c r="C1042" s="202" t="s">
        <v>624</v>
      </c>
      <c r="D1042" s="344" t="s">
        <v>625</v>
      </c>
      <c r="E1042" s="202" t="s">
        <v>626</v>
      </c>
      <c r="F1042" s="202" t="s">
        <v>624</v>
      </c>
      <c r="G1042" s="345" t="s">
        <v>534</v>
      </c>
      <c r="H1042" s="202" t="s">
        <v>955</v>
      </c>
      <c r="I1042" s="202" t="s">
        <v>624</v>
      </c>
      <c r="J1042" s="344" t="s">
        <v>720</v>
      </c>
      <c r="K1042" s="202" t="s">
        <v>957</v>
      </c>
      <c r="L1042" s="202" t="s">
        <v>624</v>
      </c>
      <c r="M1042" s="346" t="s">
        <v>722</v>
      </c>
      <c r="N1042" s="971"/>
      <c r="O1042" s="971"/>
      <c r="P1042" s="971"/>
      <c r="R1042" s="81"/>
      <c r="S1042" s="971"/>
      <c r="T1042" s="971"/>
      <c r="U1042" s="971"/>
      <c r="V1042" s="971"/>
      <c r="X1042" s="81"/>
      <c r="AC1042" s="81"/>
      <c r="AD1042" s="81"/>
      <c r="AE1042" s="81"/>
      <c r="AK1042" s="81"/>
      <c r="AL1042" s="971"/>
      <c r="AM1042" s="971"/>
      <c r="AN1042" s="971"/>
      <c r="AO1042" s="971"/>
      <c r="AP1042" s="81"/>
      <c r="AQ1042" s="81"/>
      <c r="AS1042" s="971"/>
      <c r="AT1042" s="971"/>
      <c r="AU1042" s="971"/>
      <c r="AV1042" s="971"/>
      <c r="AW1042" s="971"/>
      <c r="AX1042" s="971"/>
      <c r="AY1042" s="971"/>
      <c r="AZ1042" s="971"/>
      <c r="BA1042" s="971"/>
      <c r="BB1042" s="971"/>
      <c r="BC1042" s="971"/>
      <c r="BD1042" s="971"/>
      <c r="BE1042" s="971"/>
      <c r="BF1042" s="971"/>
      <c r="BG1042" s="971"/>
      <c r="BH1042" s="971"/>
      <c r="BI1042" s="971"/>
      <c r="BJ1042" s="971"/>
      <c r="BK1042" s="971"/>
      <c r="BL1042" s="971"/>
      <c r="BM1042" s="971"/>
      <c r="BN1042" s="971"/>
    </row>
    <row r="1043" spans="1:66" ht="12.75">
      <c r="A1043" s="46" t="s">
        <v>1450</v>
      </c>
      <c r="B1043" s="17" t="s">
        <v>1451</v>
      </c>
      <c r="C1043" s="17" t="s">
        <v>960</v>
      </c>
      <c r="D1043" s="659">
        <f>0.6/10</f>
        <v>0.06</v>
      </c>
      <c r="E1043" s="17"/>
      <c r="F1043" s="17"/>
      <c r="G1043" s="659">
        <f>(SUM(G1044:G1045))/2</f>
        <v>2.1098099999999995</v>
      </c>
      <c r="H1043" s="17" t="s">
        <v>1452</v>
      </c>
      <c r="I1043" s="17" t="s">
        <v>959</v>
      </c>
      <c r="J1043" s="659">
        <f>21/10000</f>
        <v>2.0999999999999999E-3</v>
      </c>
      <c r="K1043" s="17" t="s">
        <v>1453</v>
      </c>
      <c r="L1043" s="17" t="s">
        <v>960</v>
      </c>
      <c r="M1043" s="643">
        <f>0.49/10</f>
        <v>4.9000000000000002E-2</v>
      </c>
      <c r="N1043" s="43"/>
      <c r="O1043" s="43"/>
      <c r="P1043" s="43"/>
      <c r="R1043" s="14"/>
      <c r="S1043" s="43"/>
      <c r="T1043" s="43"/>
      <c r="U1043" s="43"/>
      <c r="V1043" s="43"/>
      <c r="X1043" s="14"/>
      <c r="AC1043" s="14"/>
      <c r="AD1043" s="14"/>
      <c r="AE1043" s="14"/>
      <c r="AK1043" s="14"/>
      <c r="AL1043" s="43"/>
      <c r="AM1043" s="43"/>
      <c r="AN1043" s="43"/>
      <c r="AO1043" s="43"/>
      <c r="AP1043" s="14"/>
      <c r="AQ1043" s="14"/>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row>
    <row r="1044" spans="1:66" ht="12.75">
      <c r="A1044" s="46" t="s">
        <v>1454</v>
      </c>
      <c r="B1044" s="17"/>
      <c r="C1044" s="17"/>
      <c r="D1044" s="123">
        <f>0.0005892 *100</f>
        <v>5.892E-2</v>
      </c>
      <c r="E1044" s="17"/>
      <c r="F1044" s="17"/>
      <c r="G1044" s="17">
        <f>0.0102569 *100</f>
        <v>1.02569</v>
      </c>
      <c r="H1044" s="17"/>
      <c r="I1044" s="17"/>
      <c r="J1044" s="123">
        <f t="shared" ref="J1044:J1045" si="197">0.000026*100</f>
        <v>2.5999999999999999E-3</v>
      </c>
      <c r="K1044" s="17"/>
      <c r="L1044" s="17"/>
      <c r="M1044" s="124">
        <f>0.00012*100</f>
        <v>1.2E-2</v>
      </c>
      <c r="N1044" s="43"/>
      <c r="O1044" s="43"/>
      <c r="P1044" s="43"/>
      <c r="R1044" s="14"/>
      <c r="S1044" s="43"/>
      <c r="T1044" s="43"/>
      <c r="U1044" s="43"/>
      <c r="V1044" s="43"/>
      <c r="X1044" s="14"/>
      <c r="AC1044" s="14"/>
      <c r="AD1044" s="14"/>
      <c r="AE1044" s="14"/>
      <c r="AK1044" s="14"/>
      <c r="AL1044" s="43"/>
      <c r="AM1044" s="43"/>
      <c r="AN1044" s="43"/>
      <c r="AO1044" s="43"/>
      <c r="AP1044" s="14"/>
      <c r="AQ1044" s="14"/>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row>
    <row r="1045" spans="1:66" ht="12.75">
      <c r="A1045" s="72" t="s">
        <v>1455</v>
      </c>
      <c r="B1045" s="71"/>
      <c r="C1045" s="71"/>
      <c r="D1045" s="750">
        <f>0.0015086*100</f>
        <v>0.15085999999999999</v>
      </c>
      <c r="E1045" s="71"/>
      <c r="F1045" s="71"/>
      <c r="G1045" s="71">
        <f>0.0319393*100</f>
        <v>3.1939299999999995</v>
      </c>
      <c r="H1045" s="71"/>
      <c r="I1045" s="71"/>
      <c r="J1045" s="750">
        <f t="shared" si="197"/>
        <v>2.5999999999999999E-3</v>
      </c>
      <c r="K1045" s="71"/>
      <c r="L1045" s="71"/>
      <c r="M1045" s="751">
        <f>0.00036*100</f>
        <v>3.6000000000000004E-2</v>
      </c>
      <c r="N1045" s="43"/>
      <c r="O1045" s="43"/>
      <c r="P1045" s="43"/>
      <c r="R1045" s="14"/>
      <c r="S1045" s="43"/>
      <c r="T1045" s="43"/>
      <c r="U1045" s="43"/>
      <c r="V1045" s="43"/>
      <c r="X1045" s="14"/>
      <c r="AC1045" s="14"/>
      <c r="AD1045" s="14"/>
      <c r="AE1045" s="14"/>
      <c r="AK1045" s="14"/>
      <c r="AL1045" s="43"/>
      <c r="AM1045" s="43"/>
      <c r="AN1045" s="43"/>
      <c r="AO1045" s="43"/>
      <c r="AP1045" s="14"/>
      <c r="AQ1045" s="14"/>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row>
    <row r="1046" spans="1:66" s="92" customFormat="1" ht="60">
      <c r="A1046" s="131" t="s">
        <v>1456</v>
      </c>
      <c r="B1046" s="318" t="s">
        <v>533</v>
      </c>
      <c r="C1046" s="318" t="s">
        <v>543</v>
      </c>
      <c r="D1046" s="318" t="s">
        <v>522</v>
      </c>
      <c r="E1046" s="319" t="s">
        <v>535</v>
      </c>
      <c r="I1046" s="81"/>
      <c r="J1046" s="81"/>
      <c r="L1046" s="971"/>
      <c r="M1046" s="971"/>
      <c r="N1046" s="971"/>
      <c r="O1046" s="971"/>
      <c r="P1046" s="971"/>
      <c r="R1046" s="81"/>
      <c r="S1046" s="971"/>
      <c r="T1046" s="971"/>
      <c r="U1046" s="971"/>
      <c r="V1046" s="971"/>
      <c r="X1046" s="81"/>
      <c r="AC1046" s="81"/>
      <c r="AD1046" s="81"/>
      <c r="AE1046" s="81"/>
      <c r="AK1046" s="81"/>
      <c r="AL1046" s="971"/>
      <c r="AM1046" s="971"/>
      <c r="AN1046" s="971"/>
      <c r="AO1046" s="971"/>
      <c r="AP1046" s="81"/>
      <c r="AQ1046" s="81"/>
      <c r="AS1046" s="971"/>
      <c r="AT1046" s="971"/>
      <c r="AU1046" s="971"/>
      <c r="AV1046" s="971"/>
      <c r="AW1046" s="971"/>
      <c r="AX1046" s="971"/>
      <c r="AY1046" s="971"/>
      <c r="AZ1046" s="971"/>
      <c r="BA1046" s="971"/>
      <c r="BB1046" s="971"/>
      <c r="BC1046" s="971"/>
      <c r="BD1046" s="971"/>
      <c r="BE1046" s="971"/>
      <c r="BF1046" s="971"/>
      <c r="BG1046" s="971"/>
      <c r="BH1046" s="971"/>
      <c r="BI1046" s="971"/>
      <c r="BJ1046" s="971"/>
      <c r="BK1046" s="971"/>
      <c r="BL1046" s="971"/>
      <c r="BM1046" s="971"/>
      <c r="BN1046" s="971"/>
    </row>
    <row r="1047" spans="1:66" ht="12.75">
      <c r="A1047" s="616" t="s">
        <v>1455</v>
      </c>
      <c r="B1047" s="148">
        <f>0.150858595194085/100</f>
        <v>1.5085859519408502E-3</v>
      </c>
      <c r="C1047" s="148">
        <f>3.19393099199014/100</f>
        <v>3.1939309919901404E-2</v>
      </c>
      <c r="D1047" s="148">
        <f>21/1000000/0.61</f>
        <v>3.4426229508196721E-5</v>
      </c>
      <c r="E1047" s="357">
        <f>0.16*0.00220462/0.61</f>
        <v>5.7826098360655735E-4</v>
      </c>
      <c r="I1047" s="14"/>
      <c r="J1047" s="14"/>
      <c r="L1047" s="43"/>
      <c r="M1047" s="43"/>
      <c r="N1047" s="43"/>
      <c r="O1047" s="43"/>
      <c r="P1047" s="43"/>
      <c r="R1047" s="14"/>
      <c r="S1047" s="43"/>
      <c r="T1047" s="43"/>
      <c r="U1047" s="43"/>
      <c r="V1047" s="43"/>
      <c r="X1047" s="14"/>
      <c r="AC1047" s="14"/>
      <c r="AD1047" s="14"/>
      <c r="AE1047" s="14"/>
      <c r="AK1047" s="14"/>
      <c r="AL1047" s="43"/>
      <c r="AM1047" s="43"/>
      <c r="AN1047" s="43"/>
      <c r="AO1047" s="43"/>
      <c r="AP1047" s="14"/>
      <c r="AQ1047" s="14"/>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row>
    <row r="1048" spans="1:66" ht="12.75">
      <c r="A1048" s="616" t="s">
        <v>1457</v>
      </c>
      <c r="B1048" s="148">
        <f>0.6/1000/0.74</f>
        <v>8.1081081081081077E-4</v>
      </c>
      <c r="C1048" s="148">
        <f>AVERAGE(C1047,C1049)/0.74</f>
        <v>2.8510934410257097E-2</v>
      </c>
      <c r="D1048" s="148">
        <f>21/1000000/0.74</f>
        <v>2.8378378378378378E-5</v>
      </c>
      <c r="E1048" s="357">
        <f>0.12*0.00220462/0.74</f>
        <v>3.5750594594594591E-4</v>
      </c>
      <c r="I1048" s="14"/>
      <c r="J1048" s="14"/>
      <c r="L1048" s="43"/>
      <c r="M1048" s="43"/>
      <c r="N1048" s="43"/>
      <c r="O1048" s="43"/>
      <c r="P1048" s="43"/>
      <c r="R1048" s="14"/>
      <c r="S1048" s="43"/>
      <c r="T1048" s="43"/>
      <c r="U1048" s="43"/>
      <c r="V1048" s="43"/>
      <c r="X1048" s="14"/>
      <c r="AC1048" s="14"/>
      <c r="AD1048" s="14"/>
      <c r="AE1048" s="14"/>
      <c r="AK1048" s="14"/>
      <c r="AL1048" s="43"/>
      <c r="AM1048" s="43"/>
      <c r="AN1048" s="43"/>
      <c r="AO1048" s="43"/>
      <c r="AP1048" s="14"/>
      <c r="AQ1048" s="14"/>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row>
    <row r="1049" spans="1:66" ht="12.75">
      <c r="A1049" s="616" t="s">
        <v>1454</v>
      </c>
      <c r="B1049" s="148">
        <f>0.0589168020212958/100</f>
        <v>5.8916802021295798E-4</v>
      </c>
      <c r="C1049" s="148">
        <f>1.02568730072791/100</f>
        <v>1.0256873007279099E-2</v>
      </c>
      <c r="D1049" s="148">
        <f>26/1000000/0.79</f>
        <v>3.2911392405063288E-5</v>
      </c>
      <c r="E1049" s="357">
        <f>0.06*0.00220462/0.79</f>
        <v>1.6743949367088607E-4</v>
      </c>
      <c r="I1049" s="14"/>
      <c r="J1049" s="14"/>
      <c r="L1049" s="43"/>
      <c r="M1049" s="43"/>
      <c r="N1049" s="43"/>
      <c r="O1049" s="43"/>
      <c r="P1049" s="43"/>
      <c r="R1049" s="14"/>
      <c r="S1049" s="43"/>
      <c r="T1049" s="43"/>
      <c r="U1049" s="43"/>
      <c r="V1049" s="43"/>
      <c r="X1049" s="14"/>
      <c r="AC1049" s="14"/>
      <c r="AD1049" s="14"/>
      <c r="AE1049" s="14"/>
      <c r="AK1049" s="14"/>
      <c r="AL1049" s="43"/>
      <c r="AM1049" s="43"/>
      <c r="AN1049" s="43"/>
      <c r="AO1049" s="43"/>
      <c r="AP1049" s="14"/>
      <c r="AQ1049" s="14"/>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row>
    <row r="1050" spans="1:66" ht="12.75">
      <c r="A1050" s="4" t="s">
        <v>1458</v>
      </c>
      <c r="B1050" s="646">
        <f>0.214888098999473/100</f>
        <v>2.14888098999473E-3</v>
      </c>
      <c r="C1050" s="646">
        <f>5.17706687730384/100</f>
        <v>5.1770668773038403E-2</v>
      </c>
      <c r="D1050" s="646">
        <f>21/1000000/0.45</f>
        <v>4.6666666666666665E-5</v>
      </c>
      <c r="E1050" s="191">
        <f>0.14*0.00220462/0.45</f>
        <v>6.8588177777777789E-4</v>
      </c>
      <c r="I1050" s="14"/>
      <c r="J1050" s="14"/>
      <c r="L1050" s="43"/>
      <c r="M1050" s="43"/>
      <c r="N1050" s="43"/>
      <c r="O1050" s="43"/>
      <c r="P1050" s="43"/>
      <c r="R1050" s="14"/>
      <c r="S1050" s="43"/>
      <c r="T1050" s="43"/>
      <c r="U1050" s="43"/>
      <c r="V1050" s="43"/>
      <c r="X1050" s="14"/>
      <c r="AC1050" s="14"/>
      <c r="AD1050" s="14"/>
      <c r="AE1050" s="14"/>
      <c r="AK1050" s="14"/>
      <c r="AL1050" s="43"/>
      <c r="AM1050" s="43"/>
      <c r="AN1050" s="43"/>
      <c r="AO1050" s="43"/>
      <c r="AP1050" s="14"/>
      <c r="AQ1050" s="14"/>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row>
    <row r="1051" spans="1:66" ht="12.75">
      <c r="A1051" s="14" t="s">
        <v>538</v>
      </c>
      <c r="B1051" s="14" t="s">
        <v>570</v>
      </c>
      <c r="I1051" s="14"/>
      <c r="J1051" s="14"/>
      <c r="L1051" s="43"/>
      <c r="M1051" s="43"/>
      <c r="N1051" s="43"/>
      <c r="O1051" s="43"/>
      <c r="P1051" s="43"/>
      <c r="R1051" s="14"/>
      <c r="S1051" s="43"/>
      <c r="T1051" s="43"/>
      <c r="U1051" s="43"/>
      <c r="V1051" s="43"/>
      <c r="X1051" s="14"/>
      <c r="AC1051" s="14"/>
      <c r="AD1051" s="14"/>
      <c r="AE1051" s="14"/>
      <c r="AK1051" s="14"/>
      <c r="AL1051" s="43"/>
      <c r="AM1051" s="43"/>
      <c r="AN1051" s="43"/>
      <c r="AO1051" s="43"/>
      <c r="AP1051" s="14"/>
      <c r="AQ1051" s="14"/>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row>
    <row r="1052" spans="1:66" ht="12.75">
      <c r="A1052" s="14"/>
      <c r="B1052" s="66" t="s">
        <v>1459</v>
      </c>
      <c r="I1052" s="14"/>
      <c r="J1052" s="14"/>
      <c r="L1052" s="43"/>
      <c r="M1052" s="43"/>
      <c r="N1052" s="43"/>
      <c r="O1052" s="43"/>
      <c r="P1052" s="43"/>
      <c r="R1052" s="14"/>
      <c r="S1052" s="43"/>
      <c r="T1052" s="43"/>
      <c r="U1052" s="43"/>
      <c r="V1052" s="43"/>
      <c r="X1052" s="14"/>
      <c r="AC1052" s="14"/>
      <c r="AD1052" s="14"/>
      <c r="AE1052" s="14"/>
      <c r="AK1052" s="14"/>
      <c r="AL1052" s="43"/>
      <c r="AM1052" s="43"/>
      <c r="AN1052" s="43"/>
      <c r="AO1052" s="43"/>
      <c r="AP1052" s="14"/>
      <c r="AQ1052" s="14"/>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row>
    <row r="1053" spans="1:66" ht="12.75">
      <c r="A1053" s="14"/>
      <c r="B1053" s="14" t="s">
        <v>867</v>
      </c>
      <c r="I1053" s="14"/>
      <c r="J1053" s="14"/>
      <c r="L1053" s="43"/>
      <c r="M1053" s="43"/>
      <c r="N1053" s="43"/>
      <c r="O1053" s="43"/>
      <c r="P1053" s="43"/>
      <c r="R1053" s="14"/>
      <c r="S1053" s="43"/>
      <c r="T1053" s="43"/>
      <c r="U1053" s="43"/>
      <c r="V1053" s="43"/>
      <c r="X1053" s="14"/>
      <c r="AC1053" s="14"/>
      <c r="AD1053" s="14"/>
      <c r="AE1053" s="14"/>
      <c r="AK1053" s="14"/>
      <c r="AL1053" s="43"/>
      <c r="AM1053" s="43"/>
      <c r="AN1053" s="43"/>
      <c r="AO1053" s="43"/>
      <c r="AP1053" s="14"/>
      <c r="AQ1053" s="14"/>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row>
    <row r="1054" spans="1:66" ht="12.75">
      <c r="A1054" s="14"/>
      <c r="B1054" s="66" t="s">
        <v>1460</v>
      </c>
      <c r="I1054" s="14"/>
      <c r="J1054" s="14"/>
      <c r="L1054" s="43"/>
      <c r="M1054" s="43"/>
      <c r="N1054" s="43"/>
      <c r="O1054" s="43"/>
      <c r="P1054" s="43"/>
      <c r="R1054" s="14"/>
      <c r="S1054" s="43"/>
      <c r="T1054" s="43"/>
      <c r="U1054" s="43"/>
      <c r="V1054" s="43"/>
      <c r="X1054" s="14"/>
      <c r="AC1054" s="14"/>
      <c r="AD1054" s="14"/>
      <c r="AE1054" s="14"/>
      <c r="AK1054" s="14"/>
      <c r="AL1054" s="43"/>
      <c r="AM1054" s="43"/>
      <c r="AN1054" s="43"/>
      <c r="AO1054" s="43"/>
      <c r="AP1054" s="14"/>
      <c r="AQ1054" s="14"/>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row>
    <row r="1055" spans="1:66" ht="12.75">
      <c r="B1055" s="655" t="s">
        <v>1461</v>
      </c>
      <c r="I1055" s="14"/>
      <c r="J1055" s="14"/>
      <c r="L1055" s="43"/>
      <c r="M1055" s="43"/>
      <c r="N1055" s="43"/>
      <c r="O1055" s="43"/>
      <c r="P1055" s="43"/>
      <c r="R1055" s="14"/>
      <c r="S1055" s="43"/>
      <c r="T1055" s="43"/>
      <c r="U1055" s="43"/>
      <c r="V1055" s="43"/>
      <c r="X1055" s="14"/>
      <c r="AC1055" s="14"/>
      <c r="AD1055" s="14"/>
      <c r="AE1055" s="14"/>
      <c r="AK1055" s="14"/>
      <c r="AL1055" s="43"/>
      <c r="AM1055" s="43"/>
      <c r="AN1055" s="43"/>
      <c r="AO1055" s="43"/>
      <c r="AP1055" s="14"/>
      <c r="AQ1055" s="14"/>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row>
    <row r="1056" spans="1:66" ht="12.75">
      <c r="A1056" s="14"/>
      <c r="I1056" s="14"/>
      <c r="J1056" s="14"/>
      <c r="L1056" s="43"/>
      <c r="M1056" s="43"/>
      <c r="N1056" s="43"/>
      <c r="O1056" s="43"/>
      <c r="P1056" s="43"/>
      <c r="R1056" s="14"/>
      <c r="S1056" s="43"/>
      <c r="T1056" s="43"/>
      <c r="U1056" s="43"/>
      <c r="V1056" s="43"/>
      <c r="X1056" s="14"/>
      <c r="AC1056" s="14"/>
      <c r="AD1056" s="14"/>
      <c r="AE1056" s="14"/>
      <c r="AK1056" s="14"/>
      <c r="AL1056" s="43"/>
      <c r="AM1056" s="43"/>
      <c r="AN1056" s="43"/>
      <c r="AO1056" s="43"/>
      <c r="AP1056" s="14"/>
      <c r="AQ1056" s="14"/>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row>
    <row r="1057" spans="1:66" ht="12.75">
      <c r="I1057" s="14"/>
      <c r="J1057" s="14"/>
      <c r="L1057" s="43"/>
      <c r="M1057" s="43"/>
      <c r="N1057" s="43"/>
      <c r="O1057" s="43"/>
      <c r="P1057" s="43"/>
      <c r="R1057" s="14"/>
      <c r="S1057" s="43"/>
      <c r="T1057" s="43"/>
      <c r="U1057" s="43"/>
      <c r="V1057" s="43"/>
      <c r="X1057" s="14"/>
      <c r="AC1057" s="14"/>
      <c r="AD1057" s="14"/>
      <c r="AE1057" s="14"/>
      <c r="AK1057" s="14"/>
      <c r="AL1057" s="43"/>
      <c r="AM1057" s="43"/>
      <c r="AN1057" s="43"/>
      <c r="AO1057" s="43"/>
      <c r="AP1057" s="14"/>
      <c r="AQ1057" s="14"/>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row>
    <row r="1058" spans="1:66" s="92" customFormat="1" ht="60">
      <c r="A1058" s="52" t="s">
        <v>1462</v>
      </c>
      <c r="B1058" s="641" t="s">
        <v>533</v>
      </c>
      <c r="C1058" s="641" t="s">
        <v>543</v>
      </c>
      <c r="D1058" s="641" t="s">
        <v>522</v>
      </c>
      <c r="E1058" s="48" t="s">
        <v>535</v>
      </c>
      <c r="I1058" s="81"/>
      <c r="J1058" s="81"/>
      <c r="L1058" s="971"/>
      <c r="M1058" s="971"/>
      <c r="N1058" s="971"/>
      <c r="O1058" s="971"/>
      <c r="P1058" s="971"/>
      <c r="R1058" s="81"/>
      <c r="S1058" s="971"/>
      <c r="T1058" s="971"/>
      <c r="U1058" s="971"/>
      <c r="V1058" s="971"/>
      <c r="X1058" s="81"/>
      <c r="AC1058" s="81"/>
      <c r="AD1058" s="81"/>
      <c r="AE1058" s="81"/>
      <c r="AK1058" s="81"/>
      <c r="AL1058" s="971"/>
      <c r="AM1058" s="971"/>
      <c r="AN1058" s="971"/>
      <c r="AO1058" s="971"/>
      <c r="AP1058" s="81"/>
      <c r="AQ1058" s="81"/>
      <c r="AS1058" s="971"/>
      <c r="AT1058" s="971"/>
      <c r="AU1058" s="971"/>
      <c r="AV1058" s="971"/>
      <c r="AW1058" s="971"/>
      <c r="AX1058" s="971"/>
      <c r="AY1058" s="971"/>
      <c r="AZ1058" s="971"/>
      <c r="BA1058" s="971"/>
      <c r="BB1058" s="971"/>
      <c r="BC1058" s="971"/>
      <c r="BD1058" s="971"/>
      <c r="BE1058" s="971"/>
      <c r="BF1058" s="971"/>
      <c r="BG1058" s="971"/>
      <c r="BH1058" s="971"/>
      <c r="BI1058" s="971"/>
      <c r="BJ1058" s="971"/>
      <c r="BK1058" s="971"/>
      <c r="BL1058" s="971"/>
      <c r="BM1058" s="971"/>
      <c r="BN1058" s="971"/>
    </row>
    <row r="1059" spans="1:66" ht="12.75">
      <c r="A1059" s="63"/>
      <c r="B1059" s="617">
        <f>0.05498/100</f>
        <v>5.4980000000000003E-4</v>
      </c>
      <c r="C1059" s="617">
        <f>1.010611/100</f>
        <v>1.010611E-2</v>
      </c>
      <c r="D1059" s="617">
        <f>28/1000000/0.82</f>
        <v>3.4146341463414633E-5</v>
      </c>
      <c r="E1059" s="5">
        <f>0.05*0.00220462/0.82</f>
        <v>1.3442804878048784E-4</v>
      </c>
      <c r="I1059" s="14"/>
      <c r="J1059" s="14"/>
      <c r="L1059" s="43"/>
      <c r="M1059" s="43"/>
      <c r="N1059" s="43"/>
      <c r="O1059" s="43"/>
      <c r="P1059" s="43"/>
      <c r="R1059" s="14"/>
      <c r="S1059" s="43"/>
      <c r="T1059" s="43"/>
      <c r="U1059" s="43"/>
      <c r="V1059" s="43"/>
      <c r="X1059" s="14"/>
      <c r="AC1059" s="14"/>
      <c r="AD1059" s="14"/>
      <c r="AE1059" s="14"/>
      <c r="AK1059" s="14"/>
      <c r="AL1059" s="43"/>
      <c r="AM1059" s="43"/>
      <c r="AN1059" s="43"/>
      <c r="AO1059" s="43"/>
      <c r="AP1059" s="14"/>
      <c r="AQ1059" s="14"/>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row>
    <row r="1060" spans="1:66" ht="12.75">
      <c r="A1060" s="14" t="s">
        <v>538</v>
      </c>
      <c r="B1060" s="14" t="s">
        <v>570</v>
      </c>
      <c r="C1060" s="14"/>
      <c r="I1060" s="14"/>
      <c r="J1060" s="14"/>
      <c r="L1060" s="43"/>
      <c r="M1060" s="43"/>
      <c r="N1060" s="43"/>
      <c r="O1060" s="43"/>
      <c r="P1060" s="43"/>
      <c r="R1060" s="14"/>
      <c r="S1060" s="43"/>
      <c r="T1060" s="43"/>
      <c r="U1060" s="43"/>
      <c r="V1060" s="43"/>
      <c r="X1060" s="14"/>
      <c r="AC1060" s="14"/>
      <c r="AD1060" s="14"/>
      <c r="AE1060" s="14"/>
      <c r="AK1060" s="14"/>
      <c r="AL1060" s="43"/>
      <c r="AM1060" s="43"/>
      <c r="AN1060" s="43"/>
      <c r="AO1060" s="43"/>
      <c r="AP1060" s="14"/>
      <c r="AQ1060" s="14"/>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row>
    <row r="1061" spans="1:66" ht="12.75">
      <c r="A1061" s="14"/>
      <c r="B1061" s="14" t="s">
        <v>571</v>
      </c>
      <c r="C1061" s="14"/>
      <c r="I1061" s="14"/>
      <c r="J1061" s="14"/>
      <c r="L1061" s="43"/>
      <c r="M1061" s="43"/>
      <c r="N1061" s="43"/>
      <c r="O1061" s="43"/>
      <c r="P1061" s="43"/>
      <c r="R1061" s="14"/>
      <c r="S1061" s="43"/>
      <c r="T1061" s="43"/>
      <c r="U1061" s="43"/>
      <c r="V1061" s="43"/>
      <c r="X1061" s="14"/>
      <c r="AC1061" s="14"/>
      <c r="AD1061" s="14"/>
      <c r="AE1061" s="14"/>
      <c r="AK1061" s="14"/>
      <c r="AL1061" s="43"/>
      <c r="AM1061" s="43"/>
      <c r="AN1061" s="43"/>
      <c r="AO1061" s="43"/>
      <c r="AP1061" s="14"/>
      <c r="AQ1061" s="14"/>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row>
    <row r="1062" spans="1:66" ht="12.75">
      <c r="A1062" s="14"/>
      <c r="B1062" s="655" t="s">
        <v>656</v>
      </c>
      <c r="C1062" s="14"/>
      <c r="I1062" s="14"/>
      <c r="J1062" s="14"/>
      <c r="L1062" s="43"/>
      <c r="M1062" s="43"/>
      <c r="N1062" s="43"/>
      <c r="O1062" s="43"/>
      <c r="P1062" s="43"/>
      <c r="R1062" s="14"/>
      <c r="S1062" s="43"/>
      <c r="T1062" s="43"/>
      <c r="U1062" s="43"/>
      <c r="V1062" s="43"/>
      <c r="X1062" s="14"/>
      <c r="AC1062" s="14"/>
      <c r="AD1062" s="14"/>
      <c r="AE1062" s="14"/>
      <c r="AK1062" s="14"/>
      <c r="AL1062" s="43"/>
      <c r="AM1062" s="43"/>
      <c r="AN1062" s="43"/>
      <c r="AO1062" s="43"/>
      <c r="AP1062" s="14"/>
      <c r="AQ1062" s="14"/>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row>
    <row r="1063" spans="1:66" ht="12.75">
      <c r="A1063" s="14"/>
      <c r="B1063" s="655" t="s">
        <v>1461</v>
      </c>
      <c r="C1063" s="14"/>
      <c r="I1063" s="14"/>
      <c r="J1063" s="14"/>
      <c r="L1063" s="43"/>
      <c r="M1063" s="43"/>
      <c r="N1063" s="43"/>
      <c r="O1063" s="43"/>
      <c r="P1063" s="43"/>
      <c r="R1063" s="14"/>
      <c r="S1063" s="43"/>
      <c r="T1063" s="43"/>
      <c r="U1063" s="43"/>
      <c r="V1063" s="43"/>
      <c r="X1063" s="14"/>
      <c r="AC1063" s="14"/>
      <c r="AD1063" s="14"/>
      <c r="AE1063" s="14"/>
      <c r="AK1063" s="14"/>
      <c r="AL1063" s="43"/>
      <c r="AM1063" s="43"/>
      <c r="AN1063" s="43"/>
      <c r="AO1063" s="43"/>
      <c r="AP1063" s="14"/>
      <c r="AQ1063" s="14"/>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row>
    <row r="1064" spans="1:66">
      <c r="A1064" s="84"/>
      <c r="B1064" s="14"/>
      <c r="C1064" s="14"/>
      <c r="D1064" s="64"/>
      <c r="E1064" s="64"/>
      <c r="F1064" s="64"/>
      <c r="G1064" s="64"/>
      <c r="L1064" s="43"/>
      <c r="M1064" s="43"/>
      <c r="N1064" s="43"/>
      <c r="O1064" s="43"/>
      <c r="P1064" s="43"/>
      <c r="R1064" s="14"/>
      <c r="S1064" s="43"/>
      <c r="T1064" s="43"/>
      <c r="U1064" s="43"/>
      <c r="V1064" s="43"/>
      <c r="X1064" s="14"/>
      <c r="AC1064" s="14"/>
      <c r="AD1064" s="14"/>
      <c r="AE1064" s="14"/>
      <c r="AK1064" s="14"/>
      <c r="AL1064" s="43"/>
      <c r="AM1064" s="43"/>
      <c r="AN1064" s="43"/>
      <c r="AO1064" s="43"/>
      <c r="AP1064" s="14"/>
      <c r="AQ1064" s="14"/>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row>
    <row r="1065" spans="1:66" ht="15">
      <c r="A1065" s="14"/>
      <c r="D1065" s="64"/>
      <c r="E1065" s="64"/>
      <c r="F1065" s="64"/>
      <c r="G1065" s="64"/>
      <c r="L1065" s="43"/>
      <c r="M1065" s="43"/>
      <c r="N1065" s="43"/>
      <c r="O1065" s="43"/>
      <c r="P1065" s="43"/>
      <c r="R1065" s="14"/>
      <c r="S1065" s="43"/>
      <c r="T1065" s="43"/>
      <c r="U1065" s="43"/>
      <c r="V1065" s="43"/>
      <c r="X1065" s="14"/>
      <c r="AC1065" s="14"/>
      <c r="AD1065" s="14"/>
      <c r="AE1065" s="14"/>
      <c r="AK1065" s="14"/>
      <c r="AL1065" s="43"/>
      <c r="AM1065" s="43"/>
      <c r="AN1065" s="43"/>
      <c r="AO1065" s="43"/>
      <c r="AP1065" s="14"/>
      <c r="AQ1065" s="14"/>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row>
    <row r="1066" spans="1:66" s="92" customFormat="1" ht="75">
      <c r="A1066" s="47" t="s">
        <v>1463</v>
      </c>
      <c r="B1066" s="644" t="s">
        <v>1464</v>
      </c>
      <c r="C1066" s="644" t="s">
        <v>913</v>
      </c>
      <c r="D1066" s="641" t="s">
        <v>533</v>
      </c>
      <c r="E1066" s="641" t="s">
        <v>543</v>
      </c>
      <c r="F1066" s="641" t="s">
        <v>603</v>
      </c>
      <c r="G1066" s="48" t="s">
        <v>535</v>
      </c>
      <c r="L1066" s="971"/>
      <c r="M1066" s="971"/>
      <c r="N1066" s="971"/>
      <c r="O1066" s="971"/>
      <c r="P1066" s="971"/>
      <c r="R1066" s="81"/>
      <c r="S1066" s="971"/>
      <c r="T1066" s="971"/>
      <c r="U1066" s="971"/>
      <c r="V1066" s="971"/>
      <c r="X1066" s="81"/>
      <c r="AC1066" s="81"/>
      <c r="AD1066" s="81"/>
      <c r="AE1066" s="81"/>
      <c r="AK1066" s="81"/>
      <c r="AL1066" s="971"/>
      <c r="AM1066" s="971"/>
      <c r="AN1066" s="971"/>
      <c r="AO1066" s="971"/>
      <c r="AP1066" s="81"/>
      <c r="AQ1066" s="81"/>
      <c r="AS1066" s="971"/>
      <c r="AT1066" s="971"/>
      <c r="AU1066" s="971"/>
      <c r="AV1066" s="971"/>
      <c r="AW1066" s="971"/>
      <c r="AX1066" s="971"/>
      <c r="AY1066" s="971"/>
      <c r="AZ1066" s="971"/>
      <c r="BA1066" s="971"/>
      <c r="BB1066" s="971"/>
      <c r="BC1066" s="971"/>
      <c r="BD1066" s="971"/>
      <c r="BE1066" s="971"/>
      <c r="BF1066" s="971"/>
      <c r="BG1066" s="971"/>
      <c r="BH1066" s="971"/>
      <c r="BI1066" s="971"/>
      <c r="BJ1066" s="971"/>
      <c r="BK1066" s="971"/>
      <c r="BL1066" s="971"/>
      <c r="BM1066" s="971"/>
      <c r="BN1066" s="971"/>
    </row>
    <row r="1067" spans="1:66" ht="12.75">
      <c r="A1067" s="616" t="s">
        <v>569</v>
      </c>
      <c r="B1067" s="14">
        <v>41</v>
      </c>
      <c r="C1067" s="14">
        <v>100</v>
      </c>
      <c r="D1067" s="14">
        <f t="shared" ref="D1067:E1067" si="198">B1059</f>
        <v>5.4980000000000003E-4</v>
      </c>
      <c r="E1067">
        <f t="shared" si="198"/>
        <v>1.010611E-2</v>
      </c>
      <c r="F1067">
        <v>3.4146341463414633E-5</v>
      </c>
      <c r="G1067" s="3">
        <v>1.3442804878048784E-4</v>
      </c>
      <c r="L1067" s="43"/>
      <c r="M1067" s="43"/>
      <c r="N1067" s="43"/>
      <c r="O1067" s="43"/>
      <c r="P1067" s="43"/>
      <c r="R1067" s="14"/>
      <c r="S1067" s="43"/>
      <c r="T1067" s="43"/>
      <c r="U1067" s="43"/>
      <c r="V1067" s="43"/>
      <c r="X1067" s="14"/>
      <c r="AC1067" s="14"/>
      <c r="AD1067" s="14"/>
      <c r="AE1067" s="14"/>
      <c r="AK1067" s="14"/>
      <c r="AL1067" s="43"/>
      <c r="AM1067" s="43"/>
      <c r="AN1067" s="43"/>
      <c r="AO1067" s="43"/>
      <c r="AP1067" s="14"/>
      <c r="AQ1067" s="14"/>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row>
    <row r="1068" spans="1:66" ht="12.75">
      <c r="A1068" s="4" t="s">
        <v>1465</v>
      </c>
      <c r="B1068" s="617">
        <v>35</v>
      </c>
      <c r="C1068" s="617">
        <v>100</v>
      </c>
      <c r="D1068" s="646">
        <f t="shared" ref="D1068:G1068" si="199">D1067*$B1068/$B1067</f>
        <v>4.6934146341463416E-4</v>
      </c>
      <c r="E1068" s="646">
        <f t="shared" si="199"/>
        <v>8.6271670731707314E-3</v>
      </c>
      <c r="F1068" s="646">
        <f t="shared" si="199"/>
        <v>2.9149315883402736E-5</v>
      </c>
      <c r="G1068" s="191">
        <f t="shared" si="199"/>
        <v>1.1475565139797742E-4</v>
      </c>
      <c r="L1068" s="43"/>
      <c r="M1068" s="43"/>
      <c r="N1068" s="43"/>
      <c r="O1068" s="43"/>
      <c r="P1068" s="43"/>
      <c r="R1068" s="14"/>
      <c r="S1068" s="43"/>
      <c r="T1068" s="43"/>
      <c r="U1068" s="43"/>
      <c r="V1068" s="43"/>
      <c r="X1068" s="14"/>
      <c r="AC1068" s="14"/>
      <c r="AD1068" s="14"/>
      <c r="AE1068" s="14"/>
      <c r="AK1068" s="14"/>
      <c r="AL1068" s="43"/>
      <c r="AM1068" s="43"/>
      <c r="AN1068" s="43"/>
      <c r="AO1068" s="43"/>
      <c r="AP1068" s="14"/>
      <c r="AQ1068" s="14"/>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row>
    <row r="1069" spans="1:66" ht="12.75">
      <c r="A1069" s="14" t="s">
        <v>538</v>
      </c>
      <c r="B1069" s="655" t="s">
        <v>1466</v>
      </c>
      <c r="C1069" s="14"/>
      <c r="I1069" s="14"/>
      <c r="J1069" s="14"/>
      <c r="L1069" s="43"/>
      <c r="M1069" s="43"/>
      <c r="N1069" s="43"/>
      <c r="O1069" s="43"/>
      <c r="P1069" s="43"/>
      <c r="R1069" s="14"/>
      <c r="S1069" s="43"/>
      <c r="T1069" s="43"/>
      <c r="U1069" s="43"/>
      <c r="V1069" s="43"/>
      <c r="X1069" s="14"/>
      <c r="AC1069" s="14"/>
      <c r="AD1069" s="14"/>
      <c r="AE1069" s="14"/>
      <c r="AK1069" s="14"/>
      <c r="AL1069" s="43"/>
      <c r="AM1069" s="43"/>
      <c r="AN1069" s="43"/>
      <c r="AO1069" s="43"/>
      <c r="AP1069" s="14"/>
      <c r="AQ1069" s="14"/>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row>
    <row r="1070" spans="1:66" ht="12.75">
      <c r="A1070" s="14"/>
      <c r="B1070" s="655" t="s">
        <v>1467</v>
      </c>
      <c r="C1070" s="14"/>
      <c r="I1070" s="14"/>
      <c r="J1070" s="14"/>
      <c r="L1070" s="43"/>
      <c r="M1070" s="43"/>
      <c r="N1070" s="43"/>
      <c r="O1070" s="43"/>
      <c r="P1070" s="43"/>
      <c r="R1070" s="14"/>
      <c r="S1070" s="43"/>
      <c r="T1070" s="43"/>
      <c r="U1070" s="43"/>
      <c r="V1070" s="43"/>
      <c r="X1070" s="14"/>
      <c r="AC1070" s="14"/>
      <c r="AD1070" s="14"/>
      <c r="AE1070" s="14"/>
      <c r="AK1070" s="14"/>
      <c r="AL1070" s="43"/>
      <c r="AM1070" s="43"/>
      <c r="AN1070" s="43"/>
      <c r="AO1070" s="43"/>
      <c r="AP1070" s="14"/>
      <c r="AQ1070" s="14"/>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row>
    <row r="1071" spans="1:66" ht="12.75">
      <c r="A1071" s="14"/>
      <c r="I1071" s="14"/>
      <c r="J1071" s="14"/>
      <c r="L1071" s="43"/>
      <c r="M1071" s="43"/>
      <c r="N1071" s="43"/>
      <c r="O1071" s="43"/>
      <c r="P1071" s="43"/>
      <c r="R1071" s="14"/>
      <c r="S1071" s="43"/>
      <c r="T1071" s="43"/>
      <c r="U1071" s="43"/>
      <c r="V1071" s="43"/>
      <c r="X1071" s="14"/>
      <c r="AC1071" s="14"/>
      <c r="AD1071" s="14"/>
      <c r="AE1071" s="14"/>
      <c r="AK1071" s="14"/>
      <c r="AL1071" s="43"/>
      <c r="AM1071" s="43"/>
      <c r="AN1071" s="43"/>
      <c r="AO1071" s="43"/>
      <c r="AP1071" s="14"/>
      <c r="AQ1071" s="14"/>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row>
    <row r="1072" spans="1:66" ht="12.75">
      <c r="K1072" s="59"/>
      <c r="V1072" s="59"/>
      <c r="AG1072" s="59"/>
      <c r="AR1072" s="59"/>
      <c r="BC1072" s="59"/>
      <c r="BD1072" s="43"/>
      <c r="BE1072" s="43"/>
      <c r="BF1072" s="43"/>
      <c r="BG1072" s="43"/>
      <c r="BH1072" s="43"/>
      <c r="BI1072" s="43"/>
      <c r="BJ1072" s="43"/>
      <c r="BK1072" s="43"/>
      <c r="BL1072" s="43"/>
      <c r="BM1072" s="43"/>
      <c r="BN1072" s="43"/>
    </row>
    <row r="1073" spans="1:66" s="92" customFormat="1" ht="39">
      <c r="A1073" s="210" t="s">
        <v>1071</v>
      </c>
      <c r="B1073" s="202" t="s">
        <v>1072</v>
      </c>
      <c r="C1073" s="202" t="s">
        <v>894</v>
      </c>
      <c r="D1073" s="202" t="s">
        <v>1073</v>
      </c>
      <c r="E1073" s="209" t="s">
        <v>1074</v>
      </c>
      <c r="F1073" s="210" t="s">
        <v>1468</v>
      </c>
      <c r="G1073" s="202" t="s">
        <v>1076</v>
      </c>
      <c r="H1073" s="202" t="s">
        <v>1077</v>
      </c>
      <c r="I1073" s="202" t="s">
        <v>1078</v>
      </c>
      <c r="J1073" s="202" t="s">
        <v>1079</v>
      </c>
      <c r="K1073" s="720" t="s">
        <v>1080</v>
      </c>
      <c r="V1073" s="998"/>
      <c r="AG1073" s="998"/>
      <c r="AR1073" s="998"/>
      <c r="BC1073" s="998"/>
      <c r="BD1073" s="971"/>
      <c r="BE1073" s="971"/>
      <c r="BF1073" s="971"/>
      <c r="BG1073" s="971"/>
      <c r="BH1073" s="971"/>
      <c r="BI1073" s="971"/>
      <c r="BJ1073" s="971"/>
      <c r="BK1073" s="971"/>
      <c r="BL1073" s="971"/>
      <c r="BM1073" s="971"/>
      <c r="BN1073" s="971"/>
    </row>
    <row r="1074" spans="1:66" ht="15">
      <c r="A1074" s="157" t="s">
        <v>1469</v>
      </c>
      <c r="B1074" s="17">
        <f>0.16</f>
        <v>0.16</v>
      </c>
      <c r="C1074" s="17">
        <f>B1074/453.592</f>
        <v>3.5273990722940442E-4</v>
      </c>
      <c r="D1074" s="17">
        <f>C1074*0.25</f>
        <v>8.8184976807351105E-5</v>
      </c>
      <c r="E1074" s="77"/>
      <c r="F1074" s="157" t="s">
        <v>1085</v>
      </c>
      <c r="G1074" s="17">
        <f>MEDIAN(18,28)</f>
        <v>23</v>
      </c>
      <c r="H1074" s="17"/>
      <c r="I1074" s="17"/>
      <c r="J1074" s="17"/>
      <c r="K1074" s="211"/>
      <c r="V1074" s="57"/>
      <c r="AG1074" s="57"/>
      <c r="AR1074" s="57"/>
      <c r="BC1074" s="57"/>
      <c r="BD1074" s="43"/>
      <c r="BE1074" s="43"/>
      <c r="BF1074" s="43"/>
      <c r="BG1074" s="43"/>
      <c r="BH1074" s="43"/>
      <c r="BI1074" s="43"/>
      <c r="BJ1074" s="43"/>
      <c r="BK1074" s="43"/>
      <c r="BL1074" s="43"/>
      <c r="BM1074" s="43"/>
      <c r="BN1074" s="43"/>
    </row>
    <row r="1075" spans="1:66" ht="15">
      <c r="A1075" s="157"/>
      <c r="B1075" s="17"/>
      <c r="C1075" s="17"/>
      <c r="D1075" s="17"/>
      <c r="E1075" s="77"/>
      <c r="F1075" s="157" t="s">
        <v>1088</v>
      </c>
      <c r="G1075" s="17">
        <f>MEDIAN(20,25)</f>
        <v>22.5</v>
      </c>
      <c r="H1075" s="17"/>
      <c r="I1075" s="17"/>
      <c r="J1075" s="17"/>
      <c r="K1075" s="212"/>
      <c r="V1075" s="214"/>
      <c r="AG1075" s="214"/>
      <c r="AR1075" s="214"/>
      <c r="BC1075" s="214"/>
      <c r="BD1075" s="43"/>
      <c r="BE1075" s="43"/>
      <c r="BF1075" s="43"/>
      <c r="BG1075" s="43"/>
      <c r="BH1075" s="43"/>
      <c r="BI1075" s="43"/>
      <c r="BJ1075" s="43"/>
      <c r="BK1075" s="43"/>
      <c r="BL1075" s="43"/>
      <c r="BM1075" s="43"/>
      <c r="BN1075" s="43"/>
    </row>
    <row r="1076" spans="1:66" ht="15">
      <c r="A1076" s="157"/>
      <c r="B1076" s="17"/>
      <c r="C1076" s="17"/>
      <c r="D1076" s="17"/>
      <c r="E1076" s="77"/>
      <c r="F1076" s="157"/>
      <c r="G1076" s="17"/>
      <c r="H1076" s="17"/>
      <c r="I1076" s="17"/>
      <c r="J1076" s="17"/>
      <c r="K1076" s="211"/>
      <c r="P1076" s="148"/>
      <c r="V1076" s="148"/>
      <c r="AA1076" s="148"/>
      <c r="AG1076" s="148"/>
      <c r="AL1076" s="148"/>
      <c r="AR1076" s="148"/>
      <c r="AW1076" s="148"/>
      <c r="BC1076" s="148"/>
      <c r="BD1076" s="43"/>
      <c r="BE1076" s="43"/>
      <c r="BF1076" s="43"/>
      <c r="BG1076" s="43"/>
      <c r="BH1076" s="43"/>
      <c r="BI1076" s="43"/>
      <c r="BJ1076" s="43"/>
      <c r="BK1076" s="43"/>
      <c r="BL1076" s="43"/>
      <c r="BM1076" s="43"/>
      <c r="BN1076" s="43"/>
    </row>
    <row r="1077" spans="1:66">
      <c r="A1077" s="157"/>
      <c r="B1077" s="17"/>
      <c r="C1077" s="17"/>
      <c r="D1077" s="17"/>
      <c r="E1077" s="643"/>
      <c r="F1077" s="157" t="s">
        <v>600</v>
      </c>
      <c r="G1077" s="17">
        <f>AVERAGE(G1074:G1075)</f>
        <v>22.75</v>
      </c>
      <c r="H1077" s="71">
        <f>G1077*27154</f>
        <v>617753.5</v>
      </c>
      <c r="I1077" s="71">
        <f>H1077*0.00378541</f>
        <v>2338.450276435</v>
      </c>
      <c r="J1077" s="71">
        <f>I1077/4046.86</f>
        <v>0.57784313676158794</v>
      </c>
      <c r="K1077" s="688">
        <f>J1077*D1079</f>
        <v>1.1079180583843809E-2</v>
      </c>
      <c r="L1077" s="314"/>
      <c r="O1077" s="64"/>
      <c r="P1077" s="64"/>
      <c r="Q1077" s="64"/>
      <c r="R1077" s="64"/>
      <c r="V1077" s="148"/>
      <c r="W1077" s="314"/>
      <c r="Z1077" s="64"/>
      <c r="AA1077" s="64"/>
      <c r="AB1077" s="64"/>
      <c r="AC1077" s="64"/>
      <c r="AG1077" s="148"/>
      <c r="AH1077" s="314"/>
      <c r="AK1077" s="64"/>
      <c r="AL1077" s="64"/>
      <c r="AM1077" s="64"/>
      <c r="AN1077" s="64"/>
      <c r="AR1077" s="148"/>
      <c r="AS1077" s="314"/>
      <c r="AV1077" s="64"/>
      <c r="AW1077" s="64"/>
      <c r="AX1077" s="64"/>
      <c r="AY1077" s="64"/>
      <c r="BC1077" s="148"/>
      <c r="BD1077" s="43"/>
      <c r="BE1077" s="43"/>
      <c r="BF1077" s="43"/>
      <c r="BG1077" s="43"/>
      <c r="BH1077" s="43"/>
      <c r="BI1077" s="43"/>
      <c r="BJ1077" s="43"/>
      <c r="BK1077" s="43"/>
      <c r="BL1077" s="43"/>
      <c r="BM1077" s="43"/>
      <c r="BN1077" s="43"/>
    </row>
    <row r="1078" spans="1:66" s="92" customFormat="1" ht="75">
      <c r="A1078" s="984" t="s">
        <v>1470</v>
      </c>
      <c r="B1078" s="221" t="s">
        <v>732</v>
      </c>
      <c r="C1078" s="221" t="s">
        <v>1471</v>
      </c>
      <c r="D1078" s="641" t="s">
        <v>533</v>
      </c>
      <c r="E1078" s="641" t="s">
        <v>543</v>
      </c>
      <c r="F1078" s="641" t="s">
        <v>522</v>
      </c>
      <c r="G1078" s="48" t="s">
        <v>535</v>
      </c>
      <c r="K1078" s="6"/>
      <c r="V1078" s="6"/>
      <c r="AG1078" s="6"/>
      <c r="AR1078" s="6"/>
      <c r="BC1078" s="6"/>
      <c r="BD1078" s="971"/>
      <c r="BE1078" s="971"/>
      <c r="BF1078" s="971"/>
      <c r="BG1078" s="971"/>
      <c r="BH1078" s="971"/>
      <c r="BI1078" s="971"/>
      <c r="BJ1078" s="971"/>
      <c r="BK1078" s="971"/>
      <c r="BL1078" s="971"/>
      <c r="BM1078" s="971"/>
      <c r="BN1078" s="971"/>
    </row>
    <row r="1079" spans="1:66" ht="12.75">
      <c r="A1079" s="216" t="s">
        <v>1472</v>
      </c>
      <c r="B1079" s="175">
        <v>86</v>
      </c>
      <c r="C1079" s="175">
        <v>76</v>
      </c>
      <c r="D1079">
        <v>1.9173335943617798E-2</v>
      </c>
      <c r="E1079">
        <v>0.313690942312712</v>
      </c>
      <c r="F1079">
        <v>1.1079180583843809E-2</v>
      </c>
      <c r="G1079" s="164">
        <v>5.0603450202140727E-5</v>
      </c>
      <c r="K1079" s="148"/>
      <c r="L1079" s="43"/>
      <c r="M1079" s="43"/>
      <c r="N1079" s="43"/>
      <c r="O1079" s="43"/>
      <c r="P1079" s="43"/>
      <c r="R1079" s="14"/>
      <c r="S1079" s="43"/>
      <c r="T1079" s="43"/>
      <c r="U1079" s="43"/>
      <c r="V1079" s="43"/>
      <c r="X1079" s="14"/>
      <c r="AC1079" s="14"/>
      <c r="AD1079" s="14"/>
      <c r="AE1079" s="14"/>
      <c r="AK1079" s="14"/>
      <c r="AL1079" s="43"/>
      <c r="AM1079" s="43"/>
      <c r="AN1079" s="43"/>
      <c r="AO1079" s="43"/>
      <c r="AP1079" s="14"/>
      <c r="AQ1079" s="14"/>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row>
    <row r="1080" spans="1:66" ht="12.75">
      <c r="A1080" s="752" t="s">
        <v>1473</v>
      </c>
      <c r="B1080" s="176">
        <v>81</v>
      </c>
      <c r="C1080" s="176">
        <v>77</v>
      </c>
      <c r="D1080" s="646">
        <f t="shared" ref="D1080:G1080" si="200">D1079*$B1080/$B1079</f>
        <v>1.8058607109686532E-2</v>
      </c>
      <c r="E1080" s="646">
        <f t="shared" si="200"/>
        <v>0.29545309682941479</v>
      </c>
      <c r="F1080" s="646">
        <f t="shared" si="200"/>
        <v>1.0435042177806379E-2</v>
      </c>
      <c r="G1080" s="191">
        <f t="shared" si="200"/>
        <v>4.7661389143876732E-5</v>
      </c>
      <c r="H1080" s="14"/>
      <c r="J1080" s="14"/>
      <c r="K1080" s="148"/>
      <c r="L1080" s="43"/>
      <c r="M1080" s="43"/>
      <c r="N1080" s="43"/>
      <c r="O1080" s="43"/>
      <c r="P1080" s="43"/>
      <c r="R1080" s="14"/>
      <c r="S1080" s="43"/>
      <c r="T1080" s="43"/>
      <c r="U1080" s="43"/>
      <c r="V1080" s="43"/>
      <c r="X1080" s="14"/>
      <c r="AC1080" s="14"/>
      <c r="AD1080" s="14"/>
      <c r="AE1080" s="14"/>
      <c r="AK1080" s="14"/>
      <c r="AL1080" s="43"/>
      <c r="AM1080" s="43"/>
      <c r="AN1080" s="43"/>
      <c r="AO1080" s="43"/>
      <c r="AP1080" s="14"/>
      <c r="AQ1080" s="14"/>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row>
    <row r="1081" spans="1:66" ht="12.75">
      <c r="A1081" s="14" t="s">
        <v>538</v>
      </c>
      <c r="B1081" s="14" t="s">
        <v>570</v>
      </c>
      <c r="C1081" s="14"/>
      <c r="I1081" s="14"/>
      <c r="J1081" s="14"/>
      <c r="L1081" s="43"/>
      <c r="M1081" s="43"/>
      <c r="N1081" s="43"/>
      <c r="O1081" s="43"/>
      <c r="P1081" s="43"/>
      <c r="R1081" s="14"/>
      <c r="S1081" s="43"/>
      <c r="T1081" s="43"/>
      <c r="U1081" s="43"/>
      <c r="V1081" s="43"/>
      <c r="X1081" s="14"/>
      <c r="AC1081" s="14"/>
      <c r="AD1081" s="14"/>
      <c r="AE1081" s="14"/>
      <c r="AK1081" s="14"/>
      <c r="AL1081" s="43"/>
      <c r="AM1081" s="43"/>
      <c r="AN1081" s="43"/>
      <c r="AO1081" s="43"/>
      <c r="AP1081" s="14"/>
      <c r="AQ1081" s="14"/>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row>
    <row r="1082" spans="1:66" ht="12.75">
      <c r="A1082" s="14"/>
      <c r="B1082" s="14" t="s">
        <v>1474</v>
      </c>
      <c r="C1082" s="14"/>
      <c r="I1082" s="14"/>
      <c r="J1082" s="14"/>
      <c r="L1082" s="43"/>
      <c r="M1082" s="43"/>
      <c r="N1082" s="43"/>
      <c r="O1082" s="43"/>
      <c r="P1082" s="43"/>
      <c r="R1082" s="14"/>
      <c r="S1082" s="43"/>
      <c r="T1082" s="43"/>
      <c r="U1082" s="43"/>
      <c r="V1082" s="43"/>
      <c r="X1082" s="14"/>
      <c r="AC1082" s="14"/>
      <c r="AD1082" s="14"/>
      <c r="AE1082" s="14"/>
      <c r="AK1082" s="14"/>
      <c r="AL1082" s="43"/>
      <c r="AM1082" s="43"/>
      <c r="AN1082" s="43"/>
      <c r="AO1082" s="43"/>
      <c r="AP1082" s="14"/>
      <c r="AQ1082" s="14"/>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row>
    <row r="1083" spans="1:66" ht="12.75">
      <c r="A1083" s="14"/>
      <c r="B1083" s="14" t="s">
        <v>1475</v>
      </c>
      <c r="C1083" s="14"/>
      <c r="I1083" s="14"/>
      <c r="J1083" s="14"/>
      <c r="L1083" s="43"/>
      <c r="M1083" s="43"/>
      <c r="N1083" s="43"/>
      <c r="O1083" s="43"/>
      <c r="P1083" s="43"/>
      <c r="R1083" s="14"/>
      <c r="S1083" s="43"/>
      <c r="T1083" s="43"/>
      <c r="U1083" s="43"/>
      <c r="V1083" s="43"/>
      <c r="X1083" s="14"/>
      <c r="AC1083" s="14"/>
      <c r="AD1083" s="14"/>
      <c r="AE1083" s="14"/>
      <c r="AK1083" s="14"/>
      <c r="AL1083" s="43"/>
      <c r="AM1083" s="43"/>
      <c r="AN1083" s="43"/>
      <c r="AO1083" s="43"/>
      <c r="AP1083" s="14"/>
      <c r="AQ1083" s="14"/>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row>
    <row r="1084" spans="1:66" ht="12.75">
      <c r="A1084" s="14"/>
      <c r="B1084" s="14" t="s">
        <v>1476</v>
      </c>
      <c r="C1084" s="14"/>
      <c r="I1084" s="14"/>
      <c r="J1084" s="14"/>
      <c r="L1084" s="43"/>
      <c r="M1084" s="43"/>
      <c r="N1084" s="43"/>
      <c r="O1084" s="43"/>
      <c r="P1084" s="43"/>
      <c r="R1084" s="14"/>
      <c r="S1084" s="43"/>
      <c r="T1084" s="43"/>
      <c r="U1084" s="43"/>
      <c r="V1084" s="43"/>
      <c r="X1084" s="14"/>
      <c r="AC1084" s="14"/>
      <c r="AD1084" s="14"/>
      <c r="AE1084" s="14"/>
      <c r="AK1084" s="14"/>
      <c r="AL1084" s="43"/>
      <c r="AM1084" s="43"/>
      <c r="AN1084" s="43"/>
      <c r="AO1084" s="43"/>
      <c r="AP1084" s="14"/>
      <c r="AQ1084" s="14"/>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row>
    <row r="1085" spans="1:66" ht="12.75">
      <c r="B1085" s="14" t="s">
        <v>1477</v>
      </c>
      <c r="I1085" s="14"/>
      <c r="J1085" s="14"/>
      <c r="L1085" s="43"/>
      <c r="M1085" s="43"/>
      <c r="N1085" s="43"/>
      <c r="O1085" s="43"/>
      <c r="P1085" s="43"/>
      <c r="R1085" s="14"/>
      <c r="S1085" s="43"/>
      <c r="T1085" s="43"/>
      <c r="U1085" s="43"/>
      <c r="V1085" s="43"/>
      <c r="X1085" s="14"/>
      <c r="AC1085" s="14"/>
      <c r="AD1085" s="14"/>
      <c r="AE1085" s="14"/>
      <c r="AK1085" s="14"/>
      <c r="AL1085" s="43"/>
      <c r="AM1085" s="43"/>
      <c r="AN1085" s="43"/>
      <c r="AO1085" s="43"/>
      <c r="AP1085" s="14"/>
      <c r="AQ1085" s="14"/>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row>
    <row r="1086" spans="1:66" ht="12.75">
      <c r="I1086" s="14"/>
      <c r="J1086" s="14"/>
      <c r="L1086" s="43"/>
      <c r="M1086" s="43"/>
      <c r="N1086" s="43"/>
      <c r="O1086" s="43"/>
      <c r="P1086" s="43"/>
      <c r="R1086" s="14"/>
      <c r="S1086" s="43"/>
      <c r="T1086" s="43"/>
      <c r="U1086" s="43"/>
      <c r="V1086" s="43"/>
      <c r="X1086" s="14"/>
      <c r="AC1086" s="14"/>
      <c r="AD1086" s="14"/>
      <c r="AE1086" s="14"/>
      <c r="AK1086" s="14"/>
      <c r="AL1086" s="43"/>
      <c r="AM1086" s="43"/>
      <c r="AN1086" s="43"/>
      <c r="AO1086" s="43"/>
      <c r="AP1086" s="14"/>
      <c r="AQ1086" s="14"/>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row>
    <row r="1087" spans="1:66" ht="12.75">
      <c r="I1087" s="14"/>
      <c r="J1087" s="14"/>
      <c r="L1087" s="43"/>
      <c r="M1087" s="43"/>
      <c r="N1087" s="43"/>
      <c r="O1087" s="43"/>
      <c r="P1087" s="43"/>
      <c r="R1087" s="14"/>
      <c r="S1087" s="43"/>
      <c r="T1087" s="43"/>
      <c r="U1087" s="43"/>
      <c r="V1087" s="43"/>
      <c r="X1087" s="14"/>
      <c r="AC1087" s="14"/>
      <c r="AD1087" s="14"/>
      <c r="AE1087" s="14"/>
      <c r="AK1087" s="14"/>
      <c r="AL1087" s="43"/>
      <c r="AM1087" s="43"/>
      <c r="AN1087" s="43"/>
      <c r="AO1087" s="43"/>
      <c r="AP1087" s="14"/>
      <c r="AQ1087" s="14"/>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row>
    <row r="1088" spans="1:66" s="92" customFormat="1" ht="38.25">
      <c r="A1088" s="208" t="s">
        <v>1478</v>
      </c>
      <c r="B1088" s="202" t="s">
        <v>1479</v>
      </c>
      <c r="C1088" s="202" t="s">
        <v>1077</v>
      </c>
      <c r="D1088" s="202" t="s">
        <v>1078</v>
      </c>
      <c r="E1088" s="202" t="s">
        <v>1079</v>
      </c>
      <c r="F1088" s="999" t="s">
        <v>1480</v>
      </c>
      <c r="G1088" s="1000" t="s">
        <v>1481</v>
      </c>
      <c r="H1088" s="720" t="s">
        <v>1482</v>
      </c>
      <c r="I1088" s="81"/>
      <c r="J1088" s="81"/>
      <c r="L1088" s="971"/>
      <c r="M1088" s="971"/>
      <c r="N1088" s="971"/>
      <c r="O1088" s="971"/>
      <c r="P1088" s="971"/>
      <c r="R1088" s="81"/>
      <c r="S1088" s="971"/>
      <c r="T1088" s="971"/>
      <c r="U1088" s="971"/>
      <c r="V1088" s="971"/>
      <c r="X1088" s="81"/>
      <c r="AC1088" s="81"/>
      <c r="AD1088" s="81"/>
      <c r="AE1088" s="81"/>
      <c r="AK1088" s="81"/>
      <c r="AL1088" s="971"/>
      <c r="AM1088" s="971"/>
      <c r="AN1088" s="971"/>
      <c r="AO1088" s="971"/>
      <c r="AP1088" s="81"/>
      <c r="AQ1088" s="81"/>
      <c r="AS1088" s="971"/>
      <c r="AT1088" s="971"/>
      <c r="AU1088" s="971"/>
      <c r="AV1088" s="971"/>
      <c r="AW1088" s="971"/>
      <c r="AX1088" s="971"/>
      <c r="AY1088" s="971"/>
      <c r="AZ1088" s="971"/>
      <c r="BA1088" s="971"/>
      <c r="BB1088" s="971"/>
      <c r="BC1088" s="971"/>
      <c r="BD1088" s="971"/>
      <c r="BE1088" s="971"/>
      <c r="BF1088" s="971"/>
      <c r="BG1088" s="971"/>
      <c r="BH1088" s="971"/>
      <c r="BI1088" s="971"/>
      <c r="BJ1088" s="971"/>
      <c r="BK1088" s="971"/>
      <c r="BL1088" s="971"/>
      <c r="BM1088" s="971"/>
      <c r="BN1088" s="971"/>
    </row>
    <row r="1089" spans="1:66" ht="12.75">
      <c r="A1089" s="70"/>
      <c r="B1089" s="45">
        <f>(AVERAGE((AVERAGE(2.5,3.5)),(AVERAGE(1.5,2.5))))</f>
        <v>2.5</v>
      </c>
      <c r="C1089" s="17">
        <f>B1089*27154</f>
        <v>67885</v>
      </c>
      <c r="D1089" s="17">
        <f>C1089*0.00378541</f>
        <v>256.97255784999999</v>
      </c>
      <c r="E1089" s="17">
        <f>D1089/4046.86</f>
        <v>6.3499245797976694E-2</v>
      </c>
      <c r="F1089" s="347">
        <f>1/35.5</f>
        <v>2.8169014084507043E-2</v>
      </c>
      <c r="G1089" s="137">
        <f>F1089*4046.86/907185</f>
        <v>1.2565910628816411E-4</v>
      </c>
      <c r="H1089" s="688">
        <f>E1089*G1089</f>
        <v>7.9792584769462126E-6</v>
      </c>
      <c r="I1089" s="14"/>
      <c r="J1089" s="14"/>
      <c r="L1089" s="43"/>
      <c r="M1089" s="43"/>
      <c r="N1089" s="43"/>
      <c r="O1089" s="43"/>
      <c r="P1089" s="43"/>
      <c r="R1089" s="14"/>
      <c r="S1089" s="43"/>
      <c r="T1089" s="43"/>
      <c r="U1089" s="43"/>
      <c r="V1089" s="43"/>
      <c r="X1089" s="14"/>
      <c r="AC1089" s="14"/>
      <c r="AD1089" s="14"/>
      <c r="AE1089" s="14"/>
      <c r="AK1089" s="14"/>
      <c r="AL1089" s="43"/>
      <c r="AM1089" s="43"/>
      <c r="AN1089" s="43"/>
      <c r="AO1089" s="43"/>
      <c r="AP1089" s="14"/>
      <c r="AQ1089" s="14"/>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row>
    <row r="1090" spans="1:66" s="92" customFormat="1" ht="60">
      <c r="A1090" s="52" t="s">
        <v>1483</v>
      </c>
      <c r="B1090" s="641" t="s">
        <v>533</v>
      </c>
      <c r="C1090" s="641" t="s">
        <v>543</v>
      </c>
      <c r="D1090" s="641" t="s">
        <v>522</v>
      </c>
      <c r="E1090" s="48" t="s">
        <v>535</v>
      </c>
      <c r="I1090" s="81"/>
      <c r="J1090" s="81"/>
      <c r="L1090" s="971"/>
      <c r="M1090" s="971"/>
      <c r="N1090" s="971"/>
      <c r="O1090" s="971"/>
      <c r="P1090" s="971"/>
      <c r="R1090" s="81"/>
      <c r="S1090" s="971"/>
      <c r="T1090" s="971"/>
      <c r="U1090" s="971"/>
      <c r="V1090" s="971"/>
      <c r="X1090" s="81"/>
      <c r="AC1090" s="81"/>
      <c r="AD1090" s="81"/>
      <c r="AE1090" s="81"/>
      <c r="AK1090" s="81"/>
      <c r="AL1090" s="971"/>
      <c r="AM1090" s="971"/>
      <c r="AN1090" s="971"/>
      <c r="AO1090" s="971"/>
      <c r="AP1090" s="81"/>
      <c r="AQ1090" s="81"/>
      <c r="AS1090" s="971"/>
      <c r="AT1090" s="971"/>
      <c r="AU1090" s="971"/>
      <c r="AV1090" s="971"/>
      <c r="AW1090" s="971"/>
      <c r="AX1090" s="971"/>
      <c r="AY1090" s="971"/>
      <c r="AZ1090" s="971"/>
      <c r="BA1090" s="971"/>
      <c r="BB1090" s="971"/>
      <c r="BC1090" s="971"/>
      <c r="BD1090" s="971"/>
      <c r="BE1090" s="971"/>
      <c r="BF1090" s="971"/>
      <c r="BG1090" s="971"/>
      <c r="BH1090" s="971"/>
      <c r="BI1090" s="971"/>
      <c r="BJ1090" s="971"/>
      <c r="BK1090" s="971"/>
      <c r="BL1090" s="971"/>
      <c r="BM1090" s="971"/>
      <c r="BN1090" s="971"/>
    </row>
    <row r="1091" spans="1:66" ht="12.75">
      <c r="A1091" s="63"/>
      <c r="B1091" s="617">
        <f>0.028944733420026/100</f>
        <v>2.8944733420025999E-4</v>
      </c>
      <c r="C1091" s="617">
        <f>0.981794538361509/100</f>
        <v>9.8179453836150891E-3</v>
      </c>
      <c r="D1091" s="617">
        <f>H1089/0.75</f>
        <v>1.0639011302594951E-5</v>
      </c>
      <c r="E1091" s="5">
        <f>0.05*0.00220462/0.75</f>
        <v>1.4697466666666669E-4</v>
      </c>
      <c r="I1091" s="14"/>
      <c r="J1091" s="14"/>
      <c r="L1091" s="43"/>
      <c r="M1091" s="43"/>
      <c r="N1091" s="43"/>
      <c r="O1091" s="43"/>
      <c r="P1091" s="43"/>
      <c r="R1091" s="14"/>
      <c r="S1091" s="43"/>
      <c r="T1091" s="43"/>
      <c r="U1091" s="43"/>
      <c r="V1091" s="43"/>
      <c r="X1091" s="14"/>
      <c r="AC1091" s="14"/>
      <c r="AD1091" s="14"/>
      <c r="AE1091" s="14"/>
      <c r="AK1091" s="14"/>
      <c r="AL1091" s="43"/>
      <c r="AM1091" s="43"/>
      <c r="AN1091" s="43"/>
      <c r="AO1091" s="43"/>
      <c r="AP1091" s="14"/>
      <c r="AQ1091" s="14"/>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row>
    <row r="1092" spans="1:66" ht="12.75">
      <c r="A1092" s="14" t="s">
        <v>538</v>
      </c>
      <c r="B1092" s="14" t="s">
        <v>570</v>
      </c>
      <c r="I1092" s="14"/>
      <c r="J1092" s="14"/>
      <c r="L1092" s="43"/>
      <c r="M1092" s="43"/>
      <c r="N1092" s="43"/>
      <c r="O1092" s="43"/>
      <c r="P1092" s="43"/>
      <c r="R1092" s="14"/>
      <c r="S1092" s="43"/>
      <c r="T1092" s="43"/>
      <c r="U1092" s="43"/>
      <c r="V1092" s="43"/>
      <c r="X1092" s="14"/>
      <c r="AC1092" s="14"/>
      <c r="AD1092" s="14"/>
      <c r="AE1092" s="14"/>
      <c r="AK1092" s="14"/>
      <c r="AL1092" s="43"/>
      <c r="AM1092" s="43"/>
      <c r="AN1092" s="43"/>
      <c r="AO1092" s="43"/>
      <c r="AP1092" s="14"/>
      <c r="AQ1092" s="14"/>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row>
    <row r="1093" spans="1:66" ht="12.75">
      <c r="B1093" s="14" t="s">
        <v>1484</v>
      </c>
      <c r="I1093" s="14"/>
      <c r="J1093" s="14"/>
      <c r="L1093" s="43"/>
      <c r="M1093" s="43"/>
      <c r="N1093" s="43"/>
      <c r="O1093" s="43"/>
      <c r="P1093" s="43"/>
      <c r="R1093" s="14"/>
      <c r="S1093" s="43"/>
      <c r="T1093" s="43"/>
      <c r="U1093" s="43"/>
      <c r="V1093" s="43"/>
      <c r="X1093" s="14"/>
      <c r="AC1093" s="14"/>
      <c r="AD1093" s="14"/>
      <c r="AE1093" s="14"/>
      <c r="AK1093" s="14"/>
      <c r="AL1093" s="43"/>
      <c r="AM1093" s="43"/>
      <c r="AN1093" s="43"/>
      <c r="AO1093" s="43"/>
      <c r="AP1093" s="14"/>
      <c r="AQ1093" s="14"/>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row>
    <row r="1094" spans="1:66" ht="12.75">
      <c r="B1094" s="655" t="s">
        <v>1461</v>
      </c>
      <c r="I1094" s="14"/>
      <c r="J1094" s="14"/>
      <c r="L1094" s="43"/>
      <c r="M1094" s="43"/>
      <c r="N1094" s="43"/>
      <c r="O1094" s="43"/>
      <c r="P1094" s="43"/>
      <c r="R1094" s="14"/>
      <c r="S1094" s="43"/>
      <c r="T1094" s="43"/>
      <c r="U1094" s="43"/>
      <c r="V1094" s="43"/>
      <c r="X1094" s="14"/>
      <c r="AC1094" s="14"/>
      <c r="AD1094" s="14"/>
      <c r="AE1094" s="14"/>
      <c r="AK1094" s="14"/>
      <c r="AL1094" s="43"/>
      <c r="AM1094" s="43"/>
      <c r="AN1094" s="43"/>
      <c r="AO1094" s="43"/>
      <c r="AP1094" s="14"/>
      <c r="AQ1094" s="14"/>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row>
    <row r="1095" spans="1:66" ht="12.75">
      <c r="B1095" s="655" t="s">
        <v>1485</v>
      </c>
      <c r="I1095" s="14"/>
      <c r="J1095" s="14"/>
      <c r="L1095" s="43"/>
      <c r="M1095" s="43"/>
      <c r="N1095" s="43"/>
      <c r="O1095" s="43"/>
      <c r="P1095" s="43"/>
      <c r="R1095" s="14"/>
      <c r="S1095" s="43"/>
      <c r="T1095" s="43"/>
      <c r="U1095" s="43"/>
      <c r="V1095" s="43"/>
      <c r="X1095" s="14"/>
      <c r="AC1095" s="14"/>
      <c r="AD1095" s="14"/>
      <c r="AE1095" s="14"/>
      <c r="AK1095" s="14"/>
      <c r="AL1095" s="43"/>
      <c r="AM1095" s="43"/>
      <c r="AN1095" s="43"/>
      <c r="AO1095" s="43"/>
      <c r="AP1095" s="14"/>
      <c r="AQ1095" s="14"/>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row>
    <row r="1096" spans="1:66" ht="12.75">
      <c r="I1096" s="14"/>
      <c r="J1096" s="14"/>
      <c r="L1096" s="43"/>
      <c r="M1096" s="43"/>
      <c r="N1096" s="43"/>
      <c r="O1096" s="43"/>
      <c r="P1096" s="43"/>
      <c r="R1096" s="14"/>
      <c r="S1096" s="43"/>
      <c r="T1096" s="43"/>
      <c r="U1096" s="43"/>
      <c r="V1096" s="43"/>
      <c r="X1096" s="14"/>
      <c r="AC1096" s="14"/>
      <c r="AD1096" s="14"/>
      <c r="AE1096" s="14"/>
      <c r="AK1096" s="14"/>
      <c r="AL1096" s="43"/>
      <c r="AM1096" s="43"/>
      <c r="AN1096" s="43"/>
      <c r="AO1096" s="43"/>
      <c r="AP1096" s="14"/>
      <c r="AQ1096" s="14"/>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row>
    <row r="1097" spans="1:66" ht="12.75">
      <c r="I1097" s="14"/>
      <c r="J1097" s="14"/>
      <c r="L1097" s="43"/>
      <c r="M1097" s="43"/>
      <c r="N1097" s="43"/>
      <c r="O1097" s="43"/>
      <c r="P1097" s="43"/>
      <c r="R1097" s="14"/>
      <c r="S1097" s="43"/>
      <c r="T1097" s="43"/>
      <c r="U1097" s="43"/>
      <c r="V1097" s="43"/>
      <c r="X1097" s="14"/>
      <c r="AC1097" s="14"/>
      <c r="AD1097" s="14"/>
      <c r="AE1097" s="14"/>
      <c r="AK1097" s="14"/>
      <c r="AL1097" s="43"/>
      <c r="AM1097" s="43"/>
      <c r="AN1097" s="43"/>
      <c r="AO1097" s="43"/>
      <c r="AP1097" s="14"/>
      <c r="AQ1097" s="14"/>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row>
    <row r="1098" spans="1:66" s="92" customFormat="1" ht="60">
      <c r="A1098" s="52" t="s">
        <v>1486</v>
      </c>
      <c r="B1098" s="641" t="s">
        <v>533</v>
      </c>
      <c r="C1098" s="641" t="s">
        <v>543</v>
      </c>
      <c r="D1098" s="641" t="s">
        <v>522</v>
      </c>
      <c r="E1098" s="48" t="s">
        <v>535</v>
      </c>
      <c r="F1098" s="64"/>
      <c r="I1098" s="81"/>
      <c r="J1098" s="81"/>
      <c r="L1098" s="971"/>
      <c r="M1098" s="971"/>
      <c r="N1098" s="971"/>
      <c r="O1098" s="971"/>
      <c r="P1098" s="971"/>
      <c r="R1098" s="81"/>
      <c r="S1098" s="971"/>
      <c r="T1098" s="971"/>
      <c r="U1098" s="971"/>
      <c r="V1098" s="971"/>
      <c r="X1098" s="81"/>
      <c r="AC1098" s="81"/>
      <c r="AD1098" s="81"/>
      <c r="AE1098" s="81"/>
      <c r="AK1098" s="81"/>
      <c r="AL1098" s="971"/>
      <c r="AM1098" s="971"/>
      <c r="AN1098" s="971"/>
      <c r="AO1098" s="971"/>
      <c r="AP1098" s="81"/>
      <c r="AQ1098" s="81"/>
      <c r="AS1098" s="971"/>
      <c r="AT1098" s="971"/>
      <c r="AU1098" s="971"/>
      <c r="AV1098" s="971"/>
      <c r="AW1098" s="971"/>
      <c r="AX1098" s="971"/>
      <c r="AY1098" s="971"/>
      <c r="AZ1098" s="971"/>
      <c r="BA1098" s="971"/>
      <c r="BB1098" s="971"/>
      <c r="BC1098" s="971"/>
      <c r="BD1098" s="971"/>
      <c r="BE1098" s="971"/>
      <c r="BF1098" s="971"/>
      <c r="BG1098" s="971"/>
      <c r="BH1098" s="971"/>
      <c r="BI1098" s="971"/>
      <c r="BJ1098" s="971"/>
      <c r="BK1098" s="971"/>
      <c r="BL1098" s="971"/>
      <c r="BM1098" s="971"/>
      <c r="BN1098" s="971"/>
    </row>
    <row r="1099" spans="1:66" ht="15">
      <c r="A1099" s="63"/>
      <c r="B1099" s="617">
        <f>0.134142446240241/100</f>
        <v>1.3414244624024099E-3</v>
      </c>
      <c r="C1099" s="617">
        <f>1.61713007350591/100</f>
        <v>1.61713007350591E-2</v>
      </c>
      <c r="D1099" s="617">
        <f>42/1000000</f>
        <v>4.1999999999999998E-5</v>
      </c>
      <c r="E1099" s="5">
        <f>0.06*0.00220462</f>
        <v>1.3227719999999999E-4</v>
      </c>
      <c r="F1099" s="64"/>
      <c r="I1099" s="14"/>
      <c r="J1099" s="14"/>
      <c r="L1099" s="43"/>
      <c r="M1099" s="43"/>
      <c r="N1099" s="43"/>
      <c r="O1099" s="43"/>
      <c r="P1099" s="43"/>
      <c r="R1099" s="14"/>
      <c r="S1099" s="43"/>
      <c r="T1099" s="43"/>
      <c r="U1099" s="43"/>
      <c r="V1099" s="43"/>
      <c r="X1099" s="14"/>
      <c r="AC1099" s="14"/>
      <c r="AD1099" s="14"/>
      <c r="AE1099" s="14"/>
      <c r="AK1099" s="14"/>
      <c r="AL1099" s="43"/>
      <c r="AM1099" s="43"/>
      <c r="AN1099" s="43"/>
      <c r="AO1099" s="43"/>
      <c r="AP1099" s="14"/>
      <c r="AQ1099" s="14"/>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row>
    <row r="1100" spans="1:66" ht="15">
      <c r="A1100" s="14" t="s">
        <v>538</v>
      </c>
      <c r="B1100" s="14" t="s">
        <v>570</v>
      </c>
      <c r="C1100" s="64"/>
      <c r="D1100" s="64"/>
      <c r="E1100" s="64"/>
      <c r="F1100" s="64"/>
      <c r="I1100" s="14"/>
      <c r="J1100" s="14"/>
      <c r="L1100" s="43"/>
      <c r="M1100" s="43"/>
      <c r="N1100" s="43"/>
      <c r="O1100" s="43"/>
      <c r="P1100" s="43"/>
      <c r="R1100" s="14"/>
      <c r="S1100" s="43"/>
      <c r="T1100" s="43"/>
      <c r="U1100" s="43"/>
      <c r="V1100" s="43"/>
      <c r="X1100" s="14"/>
      <c r="AC1100" s="14"/>
      <c r="AD1100" s="14"/>
      <c r="AE1100" s="14"/>
      <c r="AK1100" s="14"/>
      <c r="AL1100" s="43"/>
      <c r="AM1100" s="43"/>
      <c r="AN1100" s="43"/>
      <c r="AO1100" s="43"/>
      <c r="AP1100" s="14"/>
      <c r="AQ1100" s="14"/>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row>
    <row r="1101" spans="1:66" ht="15">
      <c r="B1101" s="66" t="s">
        <v>1459</v>
      </c>
      <c r="C1101" s="64"/>
      <c r="D1101" s="64"/>
      <c r="E1101" s="64"/>
      <c r="F1101" s="64"/>
      <c r="I1101" s="14"/>
      <c r="J1101" s="14"/>
      <c r="L1101" s="43"/>
      <c r="M1101" s="43"/>
      <c r="N1101" s="43"/>
      <c r="O1101" s="43"/>
      <c r="P1101" s="43"/>
      <c r="R1101" s="14"/>
      <c r="S1101" s="43"/>
      <c r="T1101" s="43"/>
      <c r="U1101" s="43"/>
      <c r="V1101" s="43"/>
      <c r="X1101" s="14"/>
      <c r="AC1101" s="14"/>
      <c r="AD1101" s="14"/>
      <c r="AE1101" s="14"/>
      <c r="AK1101" s="14"/>
      <c r="AL1101" s="43"/>
      <c r="AM1101" s="43"/>
      <c r="AN1101" s="43"/>
      <c r="AO1101" s="43"/>
      <c r="AP1101" s="14"/>
      <c r="AQ1101" s="14"/>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row>
    <row r="1102" spans="1:66" ht="15">
      <c r="B1102" s="14" t="s">
        <v>867</v>
      </c>
      <c r="C1102" s="64"/>
      <c r="D1102" s="64"/>
      <c r="E1102" s="64"/>
      <c r="F1102" s="64"/>
      <c r="I1102" s="14"/>
      <c r="J1102" s="14"/>
      <c r="L1102" s="43"/>
      <c r="M1102" s="43"/>
      <c r="N1102" s="43"/>
      <c r="O1102" s="43"/>
      <c r="P1102" s="43"/>
      <c r="R1102" s="14"/>
      <c r="S1102" s="43"/>
      <c r="T1102" s="43"/>
      <c r="U1102" s="43"/>
      <c r="V1102" s="43"/>
      <c r="X1102" s="14"/>
      <c r="AC1102" s="14"/>
      <c r="AD1102" s="14"/>
      <c r="AE1102" s="14"/>
      <c r="AK1102" s="14"/>
      <c r="AL1102" s="43"/>
      <c r="AM1102" s="43"/>
      <c r="AN1102" s="43"/>
      <c r="AO1102" s="43"/>
      <c r="AP1102" s="14"/>
      <c r="AQ1102" s="14"/>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row>
    <row r="1103" spans="1:66">
      <c r="A1103" s="314"/>
      <c r="B1103" s="14"/>
      <c r="C1103" s="64"/>
      <c r="D1103" s="64"/>
      <c r="E1103" s="64"/>
      <c r="F1103" s="64"/>
      <c r="I1103" s="14"/>
      <c r="J1103" s="14"/>
      <c r="L1103" s="43"/>
      <c r="M1103" s="43"/>
      <c r="N1103" s="43"/>
      <c r="O1103" s="43"/>
      <c r="P1103" s="43"/>
      <c r="R1103" s="14"/>
      <c r="S1103" s="43"/>
      <c r="T1103" s="43"/>
      <c r="U1103" s="43"/>
      <c r="V1103" s="43"/>
      <c r="X1103" s="14"/>
      <c r="AC1103" s="14"/>
      <c r="AD1103" s="14"/>
      <c r="AE1103" s="14"/>
      <c r="AK1103" s="14"/>
      <c r="AL1103" s="43"/>
      <c r="AM1103" s="43"/>
      <c r="AN1103" s="43"/>
      <c r="AO1103" s="43"/>
      <c r="AP1103" s="14"/>
      <c r="AQ1103" s="14"/>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row>
    <row r="1104" spans="1:66">
      <c r="A1104" s="314"/>
      <c r="B1104" s="14"/>
      <c r="C1104" s="64"/>
      <c r="D1104" s="64"/>
      <c r="E1104" s="64"/>
      <c r="F1104" s="64"/>
      <c r="I1104" s="14"/>
      <c r="J1104" s="14"/>
      <c r="L1104" s="43"/>
      <c r="M1104" s="43"/>
      <c r="N1104" s="43"/>
      <c r="O1104" s="43"/>
      <c r="P1104" s="43"/>
      <c r="R1104" s="14"/>
      <c r="S1104" s="43"/>
      <c r="T1104" s="43"/>
      <c r="U1104" s="43"/>
      <c r="V1104" s="43"/>
      <c r="X1104" s="14"/>
      <c r="AC1104" s="14"/>
      <c r="AD1104" s="14"/>
      <c r="AE1104" s="14"/>
      <c r="AK1104" s="14"/>
      <c r="AL1104" s="43"/>
      <c r="AM1104" s="43"/>
      <c r="AN1104" s="43"/>
      <c r="AO1104" s="43"/>
      <c r="AP1104" s="14"/>
      <c r="AQ1104" s="14"/>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row>
    <row r="1105" spans="1:66" s="92" customFormat="1" ht="60">
      <c r="A1105" s="52" t="s">
        <v>1487</v>
      </c>
      <c r="B1105" s="221" t="s">
        <v>732</v>
      </c>
      <c r="C1105" s="641" t="s">
        <v>533</v>
      </c>
      <c r="D1105" s="641" t="s">
        <v>543</v>
      </c>
      <c r="E1105" s="641" t="s">
        <v>522</v>
      </c>
      <c r="F1105" s="48" t="s">
        <v>535</v>
      </c>
      <c r="I1105" s="81"/>
      <c r="J1105" s="81"/>
      <c r="L1105" s="971"/>
      <c r="M1105" s="971"/>
      <c r="N1105" s="971"/>
      <c r="O1105" s="971"/>
      <c r="P1105" s="971"/>
      <c r="R1105" s="81"/>
      <c r="S1105" s="971"/>
      <c r="T1105" s="971"/>
      <c r="U1105" s="971"/>
      <c r="V1105" s="971"/>
      <c r="X1105" s="81"/>
      <c r="AC1105" s="81"/>
      <c r="AD1105" s="81"/>
      <c r="AE1105" s="81"/>
      <c r="AK1105" s="81"/>
      <c r="AL1105" s="971"/>
      <c r="AM1105" s="971"/>
      <c r="AN1105" s="971"/>
      <c r="AO1105" s="971"/>
      <c r="AP1105" s="81"/>
      <c r="AQ1105" s="81"/>
      <c r="AS1105" s="971"/>
      <c r="AT1105" s="971"/>
      <c r="AU1105" s="971"/>
      <c r="AV1105" s="971"/>
      <c r="AW1105" s="971"/>
      <c r="AX1105" s="971"/>
      <c r="AY1105" s="971"/>
      <c r="AZ1105" s="971"/>
      <c r="BA1105" s="971"/>
      <c r="BB1105" s="971"/>
      <c r="BC1105" s="971"/>
      <c r="BD1105" s="971"/>
      <c r="BE1105" s="971"/>
      <c r="BF1105" s="971"/>
      <c r="BG1105" s="971"/>
      <c r="BH1105" s="971"/>
      <c r="BI1105" s="971"/>
      <c r="BJ1105" s="971"/>
      <c r="BK1105" s="971"/>
      <c r="BL1105" s="971"/>
      <c r="BM1105" s="971"/>
      <c r="BN1105" s="971"/>
    </row>
    <row r="1106" spans="1:66" ht="12.75">
      <c r="A1106" s="62" t="s">
        <v>1488</v>
      </c>
      <c r="B1106" s="175">
        <v>331</v>
      </c>
      <c r="C1106">
        <f t="shared" ref="C1106:F1106" si="201">C1107*$B1106/$B1107</f>
        <v>3.5869956401399267E-3</v>
      </c>
      <c r="D1106">
        <f t="shared" si="201"/>
        <v>5.9424698083949859E-2</v>
      </c>
      <c r="E1106">
        <f t="shared" si="201"/>
        <v>2.0682712335107616E-4</v>
      </c>
      <c r="F1106" s="3">
        <f t="shared" si="201"/>
        <v>2.4206091537452754E-3</v>
      </c>
      <c r="I1106" s="14"/>
      <c r="J1106" s="14"/>
      <c r="L1106" s="43"/>
      <c r="M1106" s="43"/>
      <c r="N1106" s="43"/>
      <c r="O1106" s="43"/>
      <c r="P1106" s="43"/>
      <c r="R1106" s="14"/>
      <c r="S1106" s="43"/>
      <c r="T1106" s="43"/>
      <c r="U1106" s="43"/>
      <c r="V1106" s="43"/>
      <c r="X1106" s="14"/>
      <c r="AC1106" s="14"/>
      <c r="AD1106" s="14"/>
      <c r="AE1106" s="14"/>
      <c r="AK1106" s="14"/>
      <c r="AL1106" s="43"/>
      <c r="AM1106" s="43"/>
      <c r="AN1106" s="43"/>
      <c r="AO1106" s="43"/>
      <c r="AP1106" s="14"/>
      <c r="AQ1106" s="14"/>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row>
    <row r="1107" spans="1:66" ht="12.75">
      <c r="A1107" s="63" t="s">
        <v>1489</v>
      </c>
      <c r="B1107" s="176">
        <v>149</v>
      </c>
      <c r="C1107" s="646">
        <f>0.161468988030468/100</f>
        <v>1.6146898803046799E-3</v>
      </c>
      <c r="D1107" s="646">
        <f>2.67500906782735/100</f>
        <v>2.6750090678273501E-2</v>
      </c>
      <c r="E1107" s="646">
        <f>81/1000000/0.87</f>
        <v>9.3103448275862075E-5</v>
      </c>
      <c r="F1107" s="191">
        <f>0.43*0.00220462/0.87</f>
        <v>1.0896397701149426E-3</v>
      </c>
      <c r="I1107" s="14"/>
      <c r="J1107" s="14"/>
      <c r="L1107" s="43"/>
      <c r="M1107" s="43"/>
      <c r="N1107" s="43"/>
      <c r="O1107" s="43"/>
      <c r="P1107" s="43"/>
      <c r="R1107" s="14"/>
      <c r="S1107" s="43"/>
      <c r="T1107" s="43"/>
      <c r="U1107" s="43"/>
      <c r="V1107" s="43"/>
      <c r="X1107" s="14"/>
      <c r="AC1107" s="14"/>
      <c r="AD1107" s="14"/>
      <c r="AE1107" s="14"/>
      <c r="AK1107" s="14"/>
      <c r="AL1107" s="43"/>
      <c r="AM1107" s="43"/>
      <c r="AN1107" s="43"/>
      <c r="AO1107" s="43"/>
      <c r="AP1107" s="14"/>
      <c r="AQ1107" s="14"/>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row>
    <row r="1108" spans="1:66" ht="12.75">
      <c r="A1108" s="14" t="s">
        <v>538</v>
      </c>
      <c r="B1108" s="14" t="s">
        <v>570</v>
      </c>
      <c r="I1108" s="14"/>
      <c r="J1108" s="14"/>
      <c r="L1108" s="43"/>
      <c r="M1108" s="43"/>
      <c r="N1108" s="43"/>
      <c r="O1108" s="43"/>
      <c r="P1108" s="43"/>
      <c r="R1108" s="14"/>
      <c r="S1108" s="43"/>
      <c r="T1108" s="43"/>
      <c r="U1108" s="43"/>
      <c r="V1108" s="43"/>
      <c r="X1108" s="14"/>
      <c r="AC1108" s="14"/>
      <c r="AD1108" s="14"/>
      <c r="AE1108" s="14"/>
      <c r="AK1108" s="14"/>
      <c r="AL1108" s="43"/>
      <c r="AM1108" s="43"/>
      <c r="AN1108" s="43"/>
      <c r="AO1108" s="43"/>
      <c r="AP1108" s="14"/>
      <c r="AQ1108" s="14"/>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row>
    <row r="1109" spans="1:66" ht="12.75">
      <c r="B1109" s="66" t="s">
        <v>1459</v>
      </c>
      <c r="I1109" s="14"/>
      <c r="J1109" s="14"/>
      <c r="L1109" s="43"/>
      <c r="M1109" s="43"/>
      <c r="N1109" s="43"/>
      <c r="O1109" s="43"/>
      <c r="P1109" s="43"/>
      <c r="R1109" s="14"/>
      <c r="S1109" s="43"/>
      <c r="T1109" s="43"/>
      <c r="U1109" s="43"/>
      <c r="V1109" s="43"/>
      <c r="X1109" s="14"/>
      <c r="AC1109" s="14"/>
      <c r="AD1109" s="14"/>
      <c r="AE1109" s="14"/>
      <c r="AK1109" s="14"/>
      <c r="AL1109" s="43"/>
      <c r="AM1109" s="43"/>
      <c r="AN1109" s="43"/>
      <c r="AO1109" s="43"/>
      <c r="AP1109" s="14"/>
      <c r="AQ1109" s="14"/>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row>
    <row r="1110" spans="1:66" ht="12.75">
      <c r="B1110" s="14" t="s">
        <v>867</v>
      </c>
      <c r="I1110" s="14"/>
      <c r="J1110" s="14"/>
      <c r="L1110" s="43"/>
      <c r="M1110" s="43"/>
      <c r="N1110" s="43"/>
      <c r="O1110" s="43"/>
      <c r="P1110" s="43"/>
      <c r="R1110" s="14"/>
      <c r="S1110" s="43"/>
      <c r="T1110" s="43"/>
      <c r="U1110" s="43"/>
      <c r="V1110" s="43"/>
      <c r="X1110" s="14"/>
      <c r="AC1110" s="14"/>
      <c r="AD1110" s="14"/>
      <c r="AE1110" s="14"/>
      <c r="AK1110" s="14"/>
      <c r="AL1110" s="43"/>
      <c r="AM1110" s="43"/>
      <c r="AN1110" s="43"/>
      <c r="AO1110" s="43"/>
      <c r="AP1110" s="14"/>
      <c r="AQ1110" s="14"/>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row>
    <row r="1111" spans="1:66" ht="12.75">
      <c r="B1111" s="655" t="s">
        <v>1490</v>
      </c>
      <c r="I1111" s="14"/>
      <c r="J1111" s="14"/>
      <c r="L1111" s="43"/>
      <c r="M1111" s="43"/>
      <c r="N1111" s="43"/>
      <c r="O1111" s="43"/>
      <c r="P1111" s="43"/>
      <c r="R1111" s="14"/>
      <c r="S1111" s="43"/>
      <c r="T1111" s="43"/>
      <c r="U1111" s="43"/>
      <c r="V1111" s="43"/>
      <c r="X1111" s="14"/>
      <c r="AC1111" s="14"/>
      <c r="AD1111" s="14"/>
      <c r="AE1111" s="14"/>
      <c r="AK1111" s="14"/>
      <c r="AL1111" s="43"/>
      <c r="AM1111" s="43"/>
      <c r="AN1111" s="43"/>
      <c r="AO1111" s="43"/>
      <c r="AP1111" s="14"/>
      <c r="AQ1111" s="14"/>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row>
    <row r="1112" spans="1:66" ht="12.75">
      <c r="B1112" s="655" t="s">
        <v>1461</v>
      </c>
      <c r="I1112" s="14"/>
      <c r="J1112" s="14"/>
      <c r="L1112" s="43"/>
      <c r="M1112" s="43"/>
      <c r="N1112" s="43"/>
      <c r="O1112" s="43"/>
      <c r="P1112" s="43"/>
      <c r="R1112" s="14"/>
      <c r="S1112" s="43"/>
      <c r="T1112" s="43"/>
      <c r="U1112" s="43"/>
      <c r="V1112" s="43"/>
      <c r="X1112" s="14"/>
      <c r="AC1112" s="14"/>
      <c r="AD1112" s="14"/>
      <c r="AE1112" s="14"/>
      <c r="AK1112" s="14"/>
      <c r="AL1112" s="43"/>
      <c r="AM1112" s="43"/>
      <c r="AN1112" s="43"/>
      <c r="AO1112" s="43"/>
      <c r="AP1112" s="14"/>
      <c r="AQ1112" s="14"/>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row>
    <row r="1113" spans="1:66" ht="12.75">
      <c r="I1113" s="14"/>
      <c r="J1113" s="14"/>
      <c r="L1113" s="43"/>
      <c r="M1113" s="43"/>
      <c r="N1113" s="43"/>
      <c r="O1113" s="43"/>
      <c r="P1113" s="43"/>
      <c r="R1113" s="14"/>
      <c r="S1113" s="43"/>
      <c r="T1113" s="43"/>
      <c r="U1113" s="43"/>
      <c r="V1113" s="43"/>
      <c r="X1113" s="14"/>
      <c r="AC1113" s="14"/>
      <c r="AD1113" s="14"/>
      <c r="AE1113" s="14"/>
      <c r="AK1113" s="14"/>
      <c r="AL1113" s="43"/>
      <c r="AM1113" s="43"/>
      <c r="AN1113" s="43"/>
      <c r="AO1113" s="43"/>
      <c r="AP1113" s="14"/>
      <c r="AQ1113" s="14"/>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row>
    <row r="1114" spans="1:66" ht="12.75">
      <c r="I1114" s="14"/>
      <c r="J1114" s="14"/>
      <c r="L1114" s="43"/>
      <c r="M1114" s="43"/>
      <c r="N1114" s="43"/>
      <c r="O1114" s="43"/>
      <c r="P1114" s="43"/>
      <c r="R1114" s="14"/>
      <c r="S1114" s="43"/>
      <c r="T1114" s="43"/>
      <c r="U1114" s="43"/>
      <c r="V1114" s="43"/>
      <c r="X1114" s="14"/>
      <c r="AC1114" s="14"/>
      <c r="AD1114" s="14"/>
      <c r="AE1114" s="14"/>
      <c r="AK1114" s="14"/>
      <c r="AL1114" s="43"/>
      <c r="AM1114" s="43"/>
      <c r="AN1114" s="43"/>
      <c r="AO1114" s="43"/>
      <c r="AP1114" s="14"/>
      <c r="AQ1114" s="14"/>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row>
    <row r="1115" spans="1:66" s="92" customFormat="1" ht="60">
      <c r="A1115" s="52" t="s">
        <v>1491</v>
      </c>
      <c r="B1115" s="641" t="s">
        <v>533</v>
      </c>
      <c r="C1115" s="641" t="s">
        <v>543</v>
      </c>
      <c r="D1115" s="641" t="s">
        <v>522</v>
      </c>
      <c r="E1115" s="48" t="s">
        <v>535</v>
      </c>
      <c r="U1115" s="971"/>
      <c r="V1115" s="971"/>
      <c r="X1115" s="81"/>
      <c r="AC1115" s="81"/>
      <c r="AD1115" s="81"/>
      <c r="AE1115" s="81"/>
      <c r="AK1115" s="81"/>
      <c r="AL1115" s="971"/>
      <c r="AM1115" s="971"/>
      <c r="AN1115" s="971"/>
      <c r="AO1115" s="971"/>
      <c r="AP1115" s="81"/>
      <c r="AQ1115" s="81"/>
      <c r="AS1115" s="971"/>
      <c r="AT1115" s="971"/>
      <c r="AU1115" s="971"/>
      <c r="AV1115" s="971"/>
      <c r="AW1115" s="971"/>
      <c r="AX1115" s="971"/>
      <c r="AY1115" s="971"/>
      <c r="AZ1115" s="971"/>
      <c r="BA1115" s="971"/>
      <c r="BB1115" s="971"/>
      <c r="BC1115" s="971"/>
      <c r="BD1115" s="971"/>
      <c r="BE1115" s="971"/>
      <c r="BF1115" s="971"/>
      <c r="BG1115" s="971"/>
      <c r="BH1115" s="971"/>
      <c r="BI1115" s="971"/>
      <c r="BJ1115" s="971"/>
      <c r="BK1115" s="971"/>
      <c r="BL1115" s="971"/>
      <c r="BM1115" s="971"/>
      <c r="BN1115" s="971"/>
    </row>
    <row r="1116" spans="1:66" ht="12.75">
      <c r="A1116" s="616" t="s">
        <v>470</v>
      </c>
      <c r="B1116">
        <f>0.118463585451115/100/0.74</f>
        <v>1.6008592628529055E-3</v>
      </c>
      <c r="C1116">
        <f>2.05790685391039/100/0.74</f>
        <v>2.7809552079870136E-2</v>
      </c>
      <c r="D1116">
        <f>14/1000000/0.74</f>
        <v>1.8918918918918918E-5</v>
      </c>
      <c r="E1116" s="3">
        <f>0.15*0.00220462/0.74</f>
        <v>4.4688243243243248E-4</v>
      </c>
      <c r="U1116" s="43"/>
      <c r="V1116" s="43"/>
      <c r="X1116" s="14"/>
      <c r="AC1116" s="14"/>
      <c r="AD1116" s="14"/>
      <c r="AE1116" s="14"/>
      <c r="AK1116" s="14"/>
      <c r="AL1116" s="43"/>
      <c r="AM1116" s="43"/>
      <c r="AN1116" s="43"/>
      <c r="AO1116" s="43"/>
      <c r="AP1116" s="14"/>
      <c r="AQ1116" s="14"/>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row>
    <row r="1117" spans="1:66" ht="12.75">
      <c r="A1117" s="4" t="s">
        <v>481</v>
      </c>
      <c r="B1117" s="617">
        <f>0.118463585451115/100/0.68</f>
        <v>1.7421115507516912E-3</v>
      </c>
      <c r="C1117" s="617">
        <f>2.05790685391039/100/0.68</f>
        <v>3.0263336086917496E-2</v>
      </c>
      <c r="D1117" s="617">
        <f>14/1000000/0.68</f>
        <v>2.0588235294117645E-5</v>
      </c>
      <c r="E1117" s="5">
        <f>0.15*0.00220462/0.68</f>
        <v>4.8631323529411762E-4</v>
      </c>
      <c r="U1117" s="43"/>
      <c r="V1117" s="43"/>
      <c r="X1117" s="14"/>
      <c r="AC1117" s="14"/>
      <c r="AD1117" s="14"/>
      <c r="AE1117" s="14"/>
      <c r="AK1117" s="14"/>
      <c r="AL1117" s="43"/>
      <c r="AM1117" s="43"/>
      <c r="AN1117" s="43"/>
      <c r="AO1117" s="43"/>
      <c r="AP1117" s="14"/>
      <c r="AQ1117" s="14"/>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row>
    <row r="1118" spans="1:66" ht="12.75">
      <c r="A1118" s="14" t="s">
        <v>1492</v>
      </c>
      <c r="B1118" s="14" t="s">
        <v>570</v>
      </c>
      <c r="U1118" s="43"/>
      <c r="V1118" s="43"/>
      <c r="X1118" s="14"/>
      <c r="AC1118" s="14"/>
      <c r="AD1118" s="14"/>
      <c r="AE1118" s="14"/>
      <c r="AK1118" s="14"/>
      <c r="AL1118" s="43"/>
      <c r="AM1118" s="43"/>
      <c r="AN1118" s="43"/>
      <c r="AO1118" s="43"/>
      <c r="AP1118" s="14"/>
      <c r="AQ1118" s="14"/>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row>
    <row r="1119" spans="1:66" ht="12.75">
      <c r="B1119" s="66" t="s">
        <v>1459</v>
      </c>
      <c r="U1119" s="43"/>
      <c r="V1119" s="43"/>
      <c r="X1119" s="14"/>
      <c r="AC1119" s="14"/>
      <c r="AD1119" s="14"/>
      <c r="AE1119" s="14"/>
      <c r="AK1119" s="14"/>
      <c r="AL1119" s="43"/>
      <c r="AM1119" s="43"/>
      <c r="AN1119" s="43"/>
      <c r="AO1119" s="43"/>
      <c r="AP1119" s="14"/>
      <c r="AQ1119" s="14"/>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row>
    <row r="1120" spans="1:66" ht="12.75">
      <c r="B1120" s="14" t="s">
        <v>867</v>
      </c>
      <c r="U1120" s="43"/>
      <c r="V1120" s="43"/>
      <c r="X1120" s="14"/>
      <c r="AC1120" s="14"/>
      <c r="AD1120" s="14"/>
      <c r="AE1120" s="14"/>
      <c r="AK1120" s="14"/>
      <c r="AL1120" s="43"/>
      <c r="AM1120" s="43"/>
      <c r="AN1120" s="43"/>
      <c r="AO1120" s="43"/>
      <c r="AP1120" s="14"/>
      <c r="AQ1120" s="14"/>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row>
    <row r="1121" spans="1:66" ht="12.75">
      <c r="B1121" s="14" t="s">
        <v>361</v>
      </c>
      <c r="U1121" s="43"/>
      <c r="V1121" s="43"/>
      <c r="X1121" s="14"/>
      <c r="AC1121" s="14"/>
      <c r="AD1121" s="14"/>
      <c r="AE1121" s="14"/>
      <c r="AK1121" s="14"/>
      <c r="AL1121" s="43"/>
      <c r="AM1121" s="43"/>
      <c r="AN1121" s="43"/>
      <c r="AO1121" s="43"/>
      <c r="AP1121" s="14"/>
      <c r="AQ1121" s="14"/>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row>
    <row r="1122" spans="1:66" ht="12.75">
      <c r="B1122" s="655" t="s">
        <v>1461</v>
      </c>
      <c r="U1122" s="43"/>
      <c r="V1122" s="43"/>
      <c r="X1122" s="14"/>
      <c r="AC1122" s="14"/>
      <c r="AD1122" s="14"/>
      <c r="AE1122" s="14"/>
      <c r="AK1122" s="14"/>
      <c r="AL1122" s="43"/>
      <c r="AM1122" s="43"/>
      <c r="AN1122" s="43"/>
      <c r="AO1122" s="43"/>
      <c r="AP1122" s="14"/>
      <c r="AQ1122" s="14"/>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row>
    <row r="1123" spans="1:66" ht="12.75">
      <c r="I1123" s="14"/>
      <c r="J1123" s="14"/>
      <c r="L1123" s="43"/>
      <c r="M1123" s="43"/>
      <c r="N1123" s="43"/>
      <c r="O1123" s="43"/>
      <c r="P1123" s="43"/>
      <c r="R1123" s="14"/>
      <c r="S1123" s="43"/>
      <c r="T1123" s="43"/>
      <c r="U1123" s="43"/>
      <c r="V1123" s="43"/>
      <c r="X1123" s="14"/>
      <c r="AC1123" s="14"/>
      <c r="AD1123" s="14"/>
      <c r="AE1123" s="14"/>
      <c r="AK1123" s="14"/>
      <c r="AL1123" s="43"/>
      <c r="AM1123" s="43"/>
      <c r="AN1123" s="43"/>
      <c r="AO1123" s="43"/>
      <c r="AP1123" s="14"/>
      <c r="AQ1123" s="14"/>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row>
    <row r="1124" spans="1:66" ht="12.75">
      <c r="I1124" s="14"/>
      <c r="J1124" s="14"/>
      <c r="L1124" s="43"/>
      <c r="M1124" s="43"/>
      <c r="N1124" s="43"/>
      <c r="O1124" s="43"/>
      <c r="P1124" s="43"/>
      <c r="R1124" s="14"/>
      <c r="S1124" s="43"/>
      <c r="T1124" s="43"/>
      <c r="U1124" s="43"/>
      <c r="V1124" s="43"/>
      <c r="X1124" s="14"/>
      <c r="AC1124" s="14"/>
      <c r="AD1124" s="14"/>
      <c r="AE1124" s="14"/>
      <c r="AK1124" s="14"/>
      <c r="AL1124" s="43"/>
      <c r="AM1124" s="43"/>
      <c r="AN1124" s="43"/>
      <c r="AO1124" s="43"/>
      <c r="AP1124" s="14"/>
      <c r="AQ1124" s="14"/>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row>
    <row r="1125" spans="1:66" s="92" customFormat="1" ht="25.5">
      <c r="A1125" s="210" t="s">
        <v>1493</v>
      </c>
      <c r="B1125" s="202" t="s">
        <v>1494</v>
      </c>
      <c r="C1125" s="209" t="s">
        <v>766</v>
      </c>
      <c r="D1125" s="1000" t="s">
        <v>1495</v>
      </c>
      <c r="E1125" s="202" t="s">
        <v>1496</v>
      </c>
      <c r="F1125" s="202" t="s">
        <v>1497</v>
      </c>
      <c r="G1125" s="209" t="s">
        <v>1498</v>
      </c>
      <c r="H1125" s="202" t="s">
        <v>1499</v>
      </c>
      <c r="I1125" s="202" t="s">
        <v>1479</v>
      </c>
      <c r="J1125" s="202" t="s">
        <v>1077</v>
      </c>
      <c r="K1125" s="202" t="s">
        <v>1078</v>
      </c>
      <c r="L1125" s="202" t="s">
        <v>1079</v>
      </c>
      <c r="M1125" s="720" t="s">
        <v>1500</v>
      </c>
      <c r="N1125" s="971"/>
      <c r="O1125" s="971"/>
      <c r="P1125" s="971"/>
      <c r="R1125" s="81"/>
      <c r="S1125" s="971"/>
      <c r="T1125" s="971"/>
      <c r="U1125" s="971"/>
      <c r="V1125" s="971"/>
      <c r="X1125" s="81"/>
      <c r="AC1125" s="81"/>
      <c r="AD1125" s="81"/>
      <c r="AE1125" s="81"/>
      <c r="AK1125" s="81"/>
      <c r="AL1125" s="971"/>
      <c r="AM1125" s="971"/>
      <c r="AN1125" s="971"/>
      <c r="AO1125" s="971"/>
      <c r="AP1125" s="81"/>
      <c r="AQ1125" s="81"/>
      <c r="AS1125" s="971"/>
      <c r="AT1125" s="971"/>
      <c r="AU1125" s="971"/>
      <c r="AV1125" s="971"/>
      <c r="AW1125" s="971"/>
      <c r="AX1125" s="971"/>
      <c r="AY1125" s="971"/>
      <c r="AZ1125" s="971"/>
      <c r="BA1125" s="971"/>
      <c r="BB1125" s="971"/>
      <c r="BC1125" s="971"/>
      <c r="BD1125" s="971"/>
      <c r="BE1125" s="971"/>
      <c r="BF1125" s="971"/>
      <c r="BG1125" s="971"/>
      <c r="BH1125" s="971"/>
      <c r="BI1125" s="971"/>
      <c r="BJ1125" s="971"/>
      <c r="BK1125" s="971"/>
      <c r="BL1125" s="971"/>
      <c r="BM1125" s="971"/>
      <c r="BN1125" s="971"/>
    </row>
    <row r="1126" spans="1:66" ht="12.75">
      <c r="A1126" s="157"/>
      <c r="B1126" s="17">
        <f>1/16</f>
        <v>6.25E-2</v>
      </c>
      <c r="C1126" s="643">
        <f>B1126*4046.86/907185</f>
        <v>2.7880614207686415E-4</v>
      </c>
      <c r="D1126" s="121" t="s">
        <v>1501</v>
      </c>
      <c r="E1126" s="17">
        <f>612*0.08</f>
        <v>48.96</v>
      </c>
      <c r="F1126" s="17">
        <f>(SUM(E1126:E1127))*453.592/4046.86</f>
        <v>10.509082577603376</v>
      </c>
      <c r="G1126" s="643">
        <f>F1126*C1126</f>
        <v>2.9299967702287846E-3</v>
      </c>
      <c r="H1126" s="117"/>
      <c r="I1126" s="117">
        <v>15</v>
      </c>
      <c r="J1126" s="71">
        <f>I1126*27154</f>
        <v>407310</v>
      </c>
      <c r="K1126" s="71">
        <f>J1126*0.00378541</f>
        <v>1541.8353471</v>
      </c>
      <c r="L1126" s="71">
        <f>K1126/4046.86</f>
        <v>0.38099547478786022</v>
      </c>
      <c r="M1126" s="688">
        <f>L1126*C1126</f>
        <v>1.0622387847434646E-4</v>
      </c>
      <c r="N1126" s="43"/>
      <c r="O1126" s="43"/>
      <c r="P1126" s="43"/>
      <c r="R1126" s="14"/>
      <c r="S1126" s="43"/>
      <c r="T1126" s="43"/>
      <c r="U1126" s="43"/>
      <c r="V1126" s="43"/>
      <c r="X1126" s="14"/>
      <c r="AC1126" s="14"/>
      <c r="AD1126" s="14"/>
      <c r="AE1126" s="14"/>
      <c r="AK1126" s="14"/>
      <c r="AL1126" s="43"/>
      <c r="AM1126" s="43"/>
      <c r="AN1126" s="43"/>
      <c r="AO1126" s="43"/>
      <c r="AP1126" s="14"/>
      <c r="AQ1126" s="14"/>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row>
    <row r="1127" spans="1:66" ht="12.75">
      <c r="A1127" s="348"/>
      <c r="B1127" s="71"/>
      <c r="C1127" s="73"/>
      <c r="D1127" s="137" t="s">
        <v>1502</v>
      </c>
      <c r="E1127" s="71">
        <f>140*0.32</f>
        <v>44.800000000000004</v>
      </c>
      <c r="F1127" s="71"/>
      <c r="G1127" s="73"/>
      <c r="J1127" s="14"/>
      <c r="L1127" s="43"/>
      <c r="M1127" s="43"/>
      <c r="N1127" s="43"/>
      <c r="O1127" s="43"/>
      <c r="P1127" s="43"/>
      <c r="R1127" s="14"/>
      <c r="S1127" s="43"/>
      <c r="T1127" s="43"/>
      <c r="U1127" s="43"/>
      <c r="V1127" s="43"/>
      <c r="X1127" s="14"/>
      <c r="AC1127" s="14"/>
      <c r="AD1127" s="14"/>
      <c r="AE1127" s="14"/>
      <c r="AK1127" s="14"/>
      <c r="AL1127" s="43"/>
      <c r="AM1127" s="43"/>
      <c r="AN1127" s="43"/>
      <c r="AO1127" s="43"/>
      <c r="AP1127" s="14"/>
      <c r="AQ1127" s="14"/>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row>
    <row r="1128" spans="1:66" s="92" customFormat="1" ht="60">
      <c r="A1128" s="52" t="s">
        <v>1503</v>
      </c>
      <c r="B1128" s="641" t="s">
        <v>533</v>
      </c>
      <c r="C1128" s="641" t="s">
        <v>543</v>
      </c>
      <c r="D1128" s="641" t="s">
        <v>522</v>
      </c>
      <c r="E1128" s="48" t="s">
        <v>535</v>
      </c>
      <c r="J1128" s="81"/>
      <c r="L1128" s="971"/>
      <c r="M1128" s="971"/>
      <c r="N1128" s="971"/>
      <c r="O1128" s="971"/>
      <c r="P1128" s="971"/>
      <c r="R1128" s="81"/>
      <c r="S1128" s="971"/>
      <c r="T1128" s="971"/>
      <c r="U1128" s="971"/>
      <c r="V1128" s="971"/>
      <c r="X1128" s="81"/>
      <c r="AC1128" s="81"/>
      <c r="AD1128" s="81"/>
      <c r="AE1128" s="81"/>
      <c r="AK1128" s="81"/>
      <c r="AL1128" s="971"/>
      <c r="AM1128" s="971"/>
      <c r="AN1128" s="971"/>
      <c r="AO1128" s="971"/>
      <c r="AP1128" s="81"/>
      <c r="AQ1128" s="81"/>
      <c r="AS1128" s="971"/>
      <c r="AT1128" s="971"/>
      <c r="AU1128" s="971"/>
      <c r="AV1128" s="971"/>
      <c r="AW1128" s="971"/>
      <c r="AX1128" s="971"/>
      <c r="AY1128" s="971"/>
      <c r="AZ1128" s="971"/>
      <c r="BA1128" s="971"/>
      <c r="BB1128" s="971"/>
      <c r="BC1128" s="971"/>
      <c r="BD1128" s="971"/>
      <c r="BE1128" s="971"/>
      <c r="BF1128" s="971"/>
      <c r="BG1128" s="971"/>
      <c r="BH1128" s="971"/>
      <c r="BI1128" s="971"/>
      <c r="BJ1128" s="971"/>
      <c r="BK1128" s="971"/>
      <c r="BL1128" s="971"/>
      <c r="BM1128" s="971"/>
      <c r="BN1128" s="971"/>
    </row>
    <row r="1129" spans="1:66" ht="12.75">
      <c r="A1129" s="616" t="s">
        <v>473</v>
      </c>
      <c r="B1129">
        <f>C1126/0.74</f>
        <v>3.7676505686062725E-4</v>
      </c>
      <c r="C1129">
        <f>G1126/0.74</f>
        <v>3.9594550949037634E-3</v>
      </c>
      <c r="D1129">
        <f>M1126/0.74</f>
        <v>1.4354578172208981E-4</v>
      </c>
      <c r="E1129" s="3">
        <f>0.09*0.00220462/0.74</f>
        <v>2.6812945945945945E-4</v>
      </c>
      <c r="J1129" s="14"/>
      <c r="L1129" s="43"/>
      <c r="M1129" s="43"/>
      <c r="N1129" s="43"/>
      <c r="O1129" s="43"/>
      <c r="P1129" s="43"/>
      <c r="R1129" s="14"/>
      <c r="S1129" s="43"/>
      <c r="T1129" s="43"/>
      <c r="U1129" s="43"/>
      <c r="V1129" s="43"/>
      <c r="X1129" s="14"/>
      <c r="AC1129" s="14"/>
      <c r="AD1129" s="14"/>
      <c r="AE1129" s="14"/>
      <c r="AK1129" s="14"/>
      <c r="AL1129" s="43"/>
      <c r="AM1129" s="43"/>
      <c r="AN1129" s="43"/>
      <c r="AO1129" s="43"/>
      <c r="AP1129" s="14"/>
      <c r="AQ1129" s="14"/>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row>
    <row r="1130" spans="1:66" ht="12.75">
      <c r="A1130" s="4" t="s">
        <v>477</v>
      </c>
      <c r="B1130" s="617">
        <f>0.0843764215314633/100</f>
        <v>8.4376421531463298E-4</v>
      </c>
      <c r="C1130" s="617">
        <f>1.95539550164266/100</f>
        <v>1.9553955016426601E-2</v>
      </c>
      <c r="D1130" s="617">
        <f>28/1000000/0.67</f>
        <v>4.1791044776119397E-5</v>
      </c>
      <c r="E1130" s="5">
        <f>0.42*0.00220462/0.67</f>
        <v>1.3820005970149253E-3</v>
      </c>
      <c r="I1130" s="14"/>
      <c r="J1130" s="14"/>
      <c r="L1130" s="43"/>
      <c r="M1130" s="43"/>
      <c r="N1130" s="43"/>
      <c r="O1130" s="43"/>
      <c r="P1130" s="43"/>
      <c r="R1130" s="14"/>
      <c r="S1130" s="43"/>
      <c r="T1130" s="43"/>
      <c r="U1130" s="43"/>
      <c r="V1130" s="43"/>
      <c r="X1130" s="14"/>
      <c r="AC1130" s="14"/>
      <c r="AD1130" s="14"/>
      <c r="AE1130" s="14"/>
      <c r="AK1130" s="14"/>
      <c r="AL1130" s="43"/>
      <c r="AM1130" s="43"/>
      <c r="AN1130" s="43"/>
      <c r="AO1130" s="43"/>
      <c r="AP1130" s="14"/>
      <c r="AQ1130" s="14"/>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row>
    <row r="1131" spans="1:66" ht="12.75">
      <c r="A1131" s="14" t="s">
        <v>538</v>
      </c>
      <c r="B1131" s="14" t="s">
        <v>570</v>
      </c>
      <c r="I1131" s="14"/>
      <c r="J1131" s="14"/>
      <c r="L1131" s="43"/>
      <c r="M1131" s="43"/>
      <c r="N1131" s="43"/>
      <c r="O1131" s="43"/>
      <c r="P1131" s="43"/>
      <c r="R1131" s="14"/>
      <c r="S1131" s="43"/>
      <c r="T1131" s="43"/>
      <c r="U1131" s="43"/>
      <c r="V1131" s="43"/>
      <c r="X1131" s="14"/>
      <c r="AC1131" s="14"/>
      <c r="AD1131" s="14"/>
      <c r="AE1131" s="14"/>
      <c r="AK1131" s="14"/>
      <c r="AL1131" s="43"/>
      <c r="AM1131" s="43"/>
      <c r="AN1131" s="43"/>
      <c r="AO1131" s="43"/>
      <c r="AP1131" s="14"/>
      <c r="AQ1131" s="14"/>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row>
    <row r="1132" spans="1:66" ht="12.75">
      <c r="B1132" s="66" t="s">
        <v>1459</v>
      </c>
      <c r="I1132" s="14"/>
      <c r="J1132" s="14"/>
      <c r="L1132" s="43"/>
      <c r="M1132" s="43"/>
      <c r="N1132" s="43"/>
      <c r="O1132" s="43"/>
      <c r="P1132" s="43"/>
      <c r="R1132" s="14"/>
      <c r="S1132" s="43"/>
      <c r="T1132" s="43"/>
      <c r="U1132" s="43"/>
      <c r="V1132" s="43"/>
      <c r="X1132" s="14"/>
      <c r="AC1132" s="14"/>
      <c r="AD1132" s="14"/>
      <c r="AE1132" s="14"/>
      <c r="AK1132" s="14"/>
      <c r="AL1132" s="43"/>
      <c r="AM1132" s="43"/>
      <c r="AN1132" s="43"/>
      <c r="AO1132" s="43"/>
      <c r="AP1132" s="14"/>
      <c r="AQ1132" s="14"/>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row>
    <row r="1133" spans="1:66" ht="12.75">
      <c r="B1133" s="14" t="s">
        <v>867</v>
      </c>
      <c r="I1133" s="14"/>
      <c r="J1133" s="14"/>
      <c r="L1133" s="43"/>
      <c r="M1133" s="43"/>
      <c r="N1133" s="43"/>
      <c r="O1133" s="43"/>
      <c r="P1133" s="43"/>
      <c r="R1133" s="14"/>
      <c r="S1133" s="43"/>
      <c r="T1133" s="43"/>
      <c r="U1133" s="43"/>
      <c r="V1133" s="43"/>
      <c r="X1133" s="14"/>
      <c r="AC1133" s="14"/>
      <c r="AD1133" s="14"/>
      <c r="AE1133" s="14"/>
      <c r="AK1133" s="14"/>
      <c r="AL1133" s="43"/>
      <c r="AM1133" s="43"/>
      <c r="AN1133" s="43"/>
      <c r="AO1133" s="43"/>
      <c r="AP1133" s="14"/>
      <c r="AQ1133" s="14"/>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row>
    <row r="1134" spans="1:66" ht="12.75">
      <c r="B1134" s="655" t="s">
        <v>1504</v>
      </c>
      <c r="I1134" s="14"/>
      <c r="J1134" s="14"/>
      <c r="L1134" s="43"/>
      <c r="M1134" s="43"/>
      <c r="N1134" s="43"/>
      <c r="O1134" s="43"/>
      <c r="P1134" s="43"/>
      <c r="R1134" s="14"/>
      <c r="S1134" s="43"/>
      <c r="T1134" s="43"/>
      <c r="U1134" s="43"/>
      <c r="V1134" s="43"/>
      <c r="X1134" s="14"/>
      <c r="AC1134" s="14"/>
      <c r="AD1134" s="14"/>
      <c r="AE1134" s="14"/>
      <c r="AK1134" s="14"/>
      <c r="AL1134" s="43"/>
      <c r="AM1134" s="43"/>
      <c r="AN1134" s="43"/>
      <c r="AO1134" s="43"/>
      <c r="AP1134" s="14"/>
      <c r="AQ1134" s="14"/>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row>
    <row r="1135" spans="1:66" ht="12.75">
      <c r="B1135" s="655" t="s">
        <v>1461</v>
      </c>
      <c r="I1135" s="14"/>
      <c r="J1135" s="14"/>
      <c r="L1135" s="43"/>
      <c r="M1135" s="43"/>
      <c r="N1135" s="43"/>
      <c r="O1135" s="43"/>
      <c r="P1135" s="43"/>
      <c r="R1135" s="14"/>
      <c r="S1135" s="43"/>
      <c r="T1135" s="43"/>
      <c r="U1135" s="43"/>
      <c r="V1135" s="43"/>
      <c r="X1135" s="14"/>
      <c r="AC1135" s="14"/>
      <c r="AD1135" s="14"/>
      <c r="AE1135" s="14"/>
      <c r="AK1135" s="14"/>
      <c r="AL1135" s="43"/>
      <c r="AM1135" s="43"/>
      <c r="AN1135" s="43"/>
      <c r="AO1135" s="43"/>
      <c r="AP1135" s="14"/>
      <c r="AQ1135" s="14"/>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row>
    <row r="1136" spans="1:66">
      <c r="A1136" s="314"/>
      <c r="B1136" s="14"/>
      <c r="C1136" s="64"/>
      <c r="D1136" s="64"/>
      <c r="E1136" s="64"/>
      <c r="F1136" s="64"/>
      <c r="I1136" s="14"/>
      <c r="J1136" s="14"/>
      <c r="L1136" s="43"/>
      <c r="M1136" s="43"/>
      <c r="N1136" s="43"/>
      <c r="O1136" s="43"/>
      <c r="P1136" s="43"/>
      <c r="R1136" s="14"/>
      <c r="S1136" s="43"/>
      <c r="T1136" s="43"/>
      <c r="U1136" s="43"/>
      <c r="V1136" s="43"/>
      <c r="X1136" s="14"/>
      <c r="AC1136" s="14"/>
      <c r="AD1136" s="14"/>
      <c r="AE1136" s="14"/>
      <c r="AK1136" s="14"/>
      <c r="AL1136" s="43"/>
      <c r="AM1136" s="43"/>
      <c r="AN1136" s="43"/>
      <c r="AO1136" s="43"/>
      <c r="AP1136" s="14"/>
      <c r="AQ1136" s="14"/>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row>
    <row r="1137" spans="1:66">
      <c r="A1137" s="314"/>
      <c r="B1137" s="14"/>
      <c r="C1137" s="64"/>
      <c r="D1137" s="64"/>
      <c r="E1137" s="64"/>
      <c r="F1137" s="64"/>
      <c r="I1137" s="14"/>
      <c r="J1137" s="14"/>
      <c r="L1137" s="43"/>
      <c r="M1137" s="43"/>
      <c r="N1137" s="43"/>
      <c r="O1137" s="43"/>
      <c r="P1137" s="43"/>
      <c r="R1137" s="14"/>
      <c r="S1137" s="43"/>
      <c r="T1137" s="43"/>
      <c r="U1137" s="43"/>
      <c r="V1137" s="43"/>
      <c r="X1137" s="14"/>
      <c r="AC1137" s="14"/>
      <c r="AD1137" s="14"/>
      <c r="AE1137" s="14"/>
      <c r="AK1137" s="14"/>
      <c r="AL1137" s="43"/>
      <c r="AM1137" s="43"/>
      <c r="AN1137" s="43"/>
      <c r="AO1137" s="43"/>
      <c r="AP1137" s="14"/>
      <c r="AQ1137" s="14"/>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row>
    <row r="1138" spans="1:66" s="92" customFormat="1" ht="30">
      <c r="A1138" s="315" t="s">
        <v>1505</v>
      </c>
      <c r="B1138" s="202" t="s">
        <v>1506</v>
      </c>
      <c r="C1138" s="209" t="s">
        <v>766</v>
      </c>
      <c r="D1138" s="202" t="s">
        <v>1507</v>
      </c>
      <c r="E1138" s="349" t="s">
        <v>1508</v>
      </c>
      <c r="F1138" s="350" t="s">
        <v>1509</v>
      </c>
      <c r="G1138" s="202" t="s">
        <v>1510</v>
      </c>
      <c r="H1138" s="209" t="s">
        <v>1292</v>
      </c>
      <c r="I1138" s="315" t="s">
        <v>1511</v>
      </c>
      <c r="J1138" s="202" t="s">
        <v>1512</v>
      </c>
      <c r="K1138" s="209" t="s">
        <v>894</v>
      </c>
      <c r="L1138" s="971"/>
      <c r="M1138" s="81"/>
      <c r="N1138" s="81"/>
      <c r="O1138" s="81"/>
      <c r="P1138" s="81"/>
      <c r="Q1138" s="64"/>
      <c r="S1138" s="971"/>
      <c r="T1138" s="971"/>
      <c r="U1138" s="971"/>
      <c r="V1138" s="971"/>
      <c r="X1138" s="81"/>
      <c r="AC1138" s="81"/>
      <c r="AD1138" s="81"/>
      <c r="AE1138" s="81"/>
      <c r="AK1138" s="81"/>
      <c r="AL1138" s="971"/>
      <c r="AM1138" s="971"/>
      <c r="AN1138" s="971"/>
      <c r="AO1138" s="971"/>
      <c r="AP1138" s="81"/>
      <c r="AQ1138" s="81"/>
      <c r="AS1138" s="971"/>
      <c r="AT1138" s="971"/>
      <c r="AU1138" s="971"/>
      <c r="AV1138" s="971"/>
      <c r="AW1138" s="971"/>
      <c r="AX1138" s="971"/>
      <c r="AY1138" s="971"/>
      <c r="AZ1138" s="971"/>
      <c r="BA1138" s="971"/>
      <c r="BB1138" s="971"/>
      <c r="BC1138" s="971"/>
      <c r="BD1138" s="971"/>
      <c r="BE1138" s="971"/>
      <c r="BF1138" s="971"/>
      <c r="BG1138" s="971"/>
      <c r="BH1138" s="971"/>
      <c r="BI1138" s="971"/>
      <c r="BJ1138" s="971"/>
      <c r="BK1138" s="971"/>
      <c r="BL1138" s="971"/>
      <c r="BM1138" s="971"/>
      <c r="BN1138" s="971"/>
    </row>
    <row r="1139" spans="1:66" ht="15">
      <c r="A1139" s="46" t="s">
        <v>1513</v>
      </c>
      <c r="B1139" s="17">
        <f>0.366770139</f>
        <v>0.366770139</v>
      </c>
      <c r="C1139" s="643">
        <f>B1139/1000/0.97</f>
        <v>3.7811354536082471E-4</v>
      </c>
      <c r="D1139" s="17"/>
      <c r="E1139" s="643">
        <f>0.022/0.97</f>
        <v>2.268041237113402E-2</v>
      </c>
      <c r="F1139" s="351"/>
      <c r="G1139" s="117">
        <f>1.16</f>
        <v>1.1599999999999999</v>
      </c>
      <c r="H1139" s="690">
        <f>G1139*0.00378541/1000/0.97</f>
        <v>4.52688206185567E-6</v>
      </c>
      <c r="I1139" s="116"/>
      <c r="J1139" s="117">
        <v>2.13</v>
      </c>
      <c r="K1139" s="690">
        <f>J1139/1000/0.97</f>
        <v>2.1958762886597938E-3</v>
      </c>
      <c r="L1139" s="43"/>
      <c r="M1139" s="14"/>
      <c r="O1139" s="352"/>
      <c r="S1139" s="43"/>
      <c r="T1139" s="43"/>
      <c r="U1139" s="43"/>
      <c r="V1139" s="43"/>
      <c r="X1139" s="14"/>
      <c r="AC1139" s="14"/>
      <c r="AD1139" s="14"/>
      <c r="AE1139" s="14"/>
      <c r="AK1139" s="14"/>
      <c r="AL1139" s="43"/>
      <c r="AM1139" s="43"/>
      <c r="AN1139" s="43"/>
      <c r="AO1139" s="43"/>
      <c r="AP1139" s="14"/>
      <c r="AQ1139" s="14"/>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row>
    <row r="1140" spans="1:66" s="92" customFormat="1" ht="60">
      <c r="A1140" s="52" t="s">
        <v>1514</v>
      </c>
      <c r="B1140" s="641" t="s">
        <v>533</v>
      </c>
      <c r="C1140" s="641" t="s">
        <v>543</v>
      </c>
      <c r="D1140" s="641" t="s">
        <v>522</v>
      </c>
      <c r="E1140" s="48" t="s">
        <v>535</v>
      </c>
      <c r="F1140" s="64"/>
      <c r="I1140" s="81"/>
      <c r="J1140" s="81"/>
      <c r="L1140" s="971"/>
      <c r="M1140" s="971"/>
      <c r="N1140" s="971"/>
      <c r="O1140" s="971"/>
      <c r="P1140" s="971"/>
      <c r="R1140" s="81"/>
      <c r="S1140" s="971"/>
      <c r="T1140" s="971"/>
      <c r="U1140" s="971"/>
      <c r="V1140" s="971"/>
      <c r="X1140" s="81"/>
      <c r="AC1140" s="81"/>
      <c r="AD1140" s="81"/>
      <c r="AE1140" s="81"/>
      <c r="AK1140" s="81"/>
      <c r="AL1140" s="971"/>
      <c r="AM1140" s="971"/>
      <c r="AN1140" s="971"/>
      <c r="AO1140" s="971"/>
      <c r="AP1140" s="81"/>
      <c r="AQ1140" s="81"/>
      <c r="AS1140" s="971"/>
      <c r="AT1140" s="971"/>
      <c r="AU1140" s="971"/>
      <c r="AV1140" s="971"/>
      <c r="AW1140" s="971"/>
      <c r="AX1140" s="971"/>
      <c r="AY1140" s="971"/>
      <c r="AZ1140" s="971"/>
      <c r="BA1140" s="971"/>
      <c r="BB1140" s="971"/>
      <c r="BC1140" s="971"/>
      <c r="BD1140" s="971"/>
      <c r="BE1140" s="971"/>
      <c r="BF1140" s="971"/>
      <c r="BG1140" s="971"/>
      <c r="BH1140" s="971"/>
      <c r="BI1140" s="971"/>
      <c r="BJ1140" s="971"/>
      <c r="BK1140" s="971"/>
      <c r="BL1140" s="971"/>
      <c r="BM1140" s="971"/>
      <c r="BN1140" s="971"/>
    </row>
    <row r="1141" spans="1:66">
      <c r="A1141" s="353"/>
      <c r="B1141" s="617">
        <f>C1139</f>
        <v>3.7811354536082471E-4</v>
      </c>
      <c r="C1141" s="672">
        <f>E1139</f>
        <v>2.268041237113402E-2</v>
      </c>
      <c r="D1141" s="672">
        <f>H1139</f>
        <v>4.52688206185567E-6</v>
      </c>
      <c r="E1141" s="96">
        <f>K1139</f>
        <v>2.1958762886597938E-3</v>
      </c>
      <c r="F1141" s="64"/>
      <c r="I1141" s="14"/>
      <c r="J1141" s="14"/>
      <c r="L1141" s="43"/>
      <c r="M1141" s="43"/>
      <c r="N1141" s="43"/>
      <c r="O1141" s="43"/>
      <c r="P1141" s="43"/>
      <c r="R1141" s="14"/>
      <c r="S1141" s="43"/>
      <c r="T1141" s="43"/>
      <c r="U1141" s="43"/>
      <c r="V1141" s="43"/>
      <c r="X1141" s="14"/>
      <c r="AC1141" s="14"/>
      <c r="AD1141" s="14"/>
      <c r="AE1141" s="14"/>
      <c r="AK1141" s="14"/>
      <c r="AL1141" s="43"/>
      <c r="AM1141" s="43"/>
      <c r="AN1141" s="43"/>
      <c r="AO1141" s="43"/>
      <c r="AP1141" s="14"/>
      <c r="AQ1141" s="14"/>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row>
    <row r="1142" spans="1:66" ht="15">
      <c r="A1142" s="14" t="s">
        <v>538</v>
      </c>
      <c r="B1142" s="14" t="s">
        <v>1515</v>
      </c>
      <c r="C1142" s="64"/>
      <c r="D1142" s="64"/>
      <c r="E1142" s="64"/>
      <c r="F1142" s="64"/>
      <c r="I1142" s="14"/>
      <c r="J1142" s="14"/>
      <c r="L1142" s="43"/>
      <c r="M1142" s="43"/>
      <c r="N1142" s="43"/>
      <c r="O1142" s="43"/>
      <c r="P1142" s="43"/>
      <c r="R1142" s="14"/>
      <c r="S1142" s="43"/>
      <c r="T1142" s="43"/>
      <c r="U1142" s="43"/>
      <c r="V1142" s="43"/>
      <c r="X1142" s="14"/>
      <c r="AC1142" s="14"/>
      <c r="AD1142" s="14"/>
      <c r="AE1142" s="14"/>
      <c r="AK1142" s="14"/>
      <c r="AL1142" s="43"/>
      <c r="AM1142" s="43"/>
      <c r="AN1142" s="43"/>
      <c r="AO1142" s="43"/>
      <c r="AP1142" s="14"/>
      <c r="AQ1142" s="14"/>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row>
    <row r="1143" spans="1:66">
      <c r="A1143" s="314"/>
      <c r="B1143" s="655" t="s">
        <v>1516</v>
      </c>
      <c r="C1143" s="64"/>
      <c r="D1143" s="64"/>
      <c r="E1143" s="64"/>
      <c r="F1143" s="64"/>
      <c r="I1143" s="14"/>
      <c r="J1143" s="14"/>
      <c r="L1143" s="43"/>
      <c r="M1143" s="43"/>
      <c r="N1143" s="43"/>
      <c r="O1143" s="43"/>
      <c r="P1143" s="43"/>
      <c r="R1143" s="14"/>
      <c r="S1143" s="43"/>
      <c r="T1143" s="43"/>
      <c r="U1143" s="43"/>
      <c r="V1143" s="43"/>
      <c r="X1143" s="14"/>
      <c r="AC1143" s="14"/>
      <c r="AD1143" s="14"/>
      <c r="AE1143" s="14"/>
      <c r="AK1143" s="14"/>
      <c r="AL1143" s="43"/>
      <c r="AM1143" s="43"/>
      <c r="AN1143" s="43"/>
      <c r="AO1143" s="43"/>
      <c r="AP1143" s="14"/>
      <c r="AQ1143" s="14"/>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row>
    <row r="1144" spans="1:66">
      <c r="A1144" s="314"/>
      <c r="B1144" s="655" t="s">
        <v>1461</v>
      </c>
      <c r="C1144" s="64"/>
      <c r="D1144" s="64"/>
      <c r="E1144" s="64"/>
      <c r="F1144" s="64"/>
      <c r="I1144" s="14"/>
      <c r="J1144" s="14"/>
      <c r="L1144" s="43"/>
      <c r="M1144" s="43"/>
      <c r="N1144" s="43"/>
      <c r="O1144" s="43"/>
      <c r="P1144" s="43"/>
      <c r="R1144" s="14"/>
      <c r="S1144" s="43"/>
      <c r="T1144" s="43"/>
      <c r="U1144" s="43"/>
      <c r="V1144" s="43"/>
      <c r="X1144" s="14"/>
      <c r="AC1144" s="14"/>
      <c r="AD1144" s="14"/>
      <c r="AE1144" s="14"/>
      <c r="AK1144" s="14"/>
      <c r="AL1144" s="43"/>
      <c r="AM1144" s="43"/>
      <c r="AN1144" s="43"/>
      <c r="AO1144" s="43"/>
      <c r="AP1144" s="14"/>
      <c r="AQ1144" s="14"/>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row>
    <row r="1145" spans="1:66">
      <c r="A1145" s="314"/>
      <c r="C1145" s="64"/>
      <c r="D1145" s="64"/>
      <c r="E1145" s="64"/>
      <c r="F1145" s="64"/>
      <c r="I1145" s="14"/>
      <c r="J1145" s="14"/>
      <c r="L1145" s="43"/>
      <c r="M1145" s="43"/>
      <c r="N1145" s="43"/>
      <c r="O1145" s="43"/>
      <c r="P1145" s="43"/>
      <c r="R1145" s="14"/>
      <c r="S1145" s="43"/>
      <c r="T1145" s="43"/>
      <c r="U1145" s="43"/>
      <c r="V1145" s="43"/>
      <c r="X1145" s="14"/>
      <c r="AC1145" s="14"/>
      <c r="AD1145" s="14"/>
      <c r="AE1145" s="14"/>
      <c r="AK1145" s="14"/>
      <c r="AL1145" s="43"/>
      <c r="AM1145" s="43"/>
      <c r="AN1145" s="43"/>
      <c r="AO1145" s="43"/>
      <c r="AP1145" s="14"/>
      <c r="AQ1145" s="14"/>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row>
    <row r="1146" spans="1:66">
      <c r="A1146" s="314"/>
      <c r="B1146" s="14"/>
      <c r="C1146" s="64"/>
      <c r="D1146" s="64"/>
      <c r="E1146" s="64"/>
      <c r="F1146" s="64"/>
      <c r="I1146" s="14"/>
      <c r="J1146" s="14"/>
      <c r="L1146" s="43"/>
      <c r="M1146" s="43"/>
      <c r="N1146" s="43"/>
      <c r="O1146" s="43"/>
      <c r="P1146" s="43"/>
      <c r="R1146" s="14"/>
      <c r="S1146" s="43"/>
      <c r="T1146" s="43"/>
      <c r="U1146" s="43"/>
      <c r="V1146" s="43"/>
      <c r="X1146" s="14"/>
      <c r="AC1146" s="14"/>
      <c r="AD1146" s="14"/>
      <c r="AE1146" s="14"/>
      <c r="AK1146" s="14"/>
      <c r="AL1146" s="43"/>
      <c r="AM1146" s="43"/>
      <c r="AN1146" s="43"/>
      <c r="AO1146" s="43"/>
      <c r="AP1146" s="14"/>
      <c r="AQ1146" s="14"/>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row>
    <row r="1147" spans="1:66" s="92" customFormat="1" ht="60">
      <c r="A1147" s="52" t="s">
        <v>1517</v>
      </c>
      <c r="B1147" s="221" t="s">
        <v>732</v>
      </c>
      <c r="C1147" s="641" t="s">
        <v>533</v>
      </c>
      <c r="D1147" s="641" t="s">
        <v>543</v>
      </c>
      <c r="E1147" s="641" t="s">
        <v>522</v>
      </c>
      <c r="F1147" s="48" t="s">
        <v>535</v>
      </c>
      <c r="I1147" s="81"/>
      <c r="J1147" s="81"/>
      <c r="L1147" s="971"/>
      <c r="M1147" s="971"/>
      <c r="N1147" s="971"/>
      <c r="O1147" s="971"/>
      <c r="P1147" s="971"/>
      <c r="R1147" s="81"/>
      <c r="S1147" s="971"/>
      <c r="T1147" s="971"/>
      <c r="U1147" s="971"/>
      <c r="V1147" s="971"/>
      <c r="X1147" s="81"/>
      <c r="AC1147" s="81"/>
      <c r="AD1147" s="81"/>
      <c r="AE1147" s="81"/>
      <c r="AK1147" s="81"/>
      <c r="AL1147" s="971"/>
      <c r="AM1147" s="971"/>
      <c r="AN1147" s="971"/>
      <c r="AO1147" s="971"/>
      <c r="AP1147" s="81"/>
      <c r="AQ1147" s="81"/>
      <c r="AS1147" s="971"/>
      <c r="AT1147" s="971"/>
      <c r="AU1147" s="971"/>
      <c r="AV1147" s="971"/>
      <c r="AW1147" s="971"/>
      <c r="AX1147" s="971"/>
      <c r="AY1147" s="971"/>
      <c r="AZ1147" s="971"/>
      <c r="BA1147" s="971"/>
      <c r="BB1147" s="971"/>
      <c r="BC1147" s="971"/>
      <c r="BD1147" s="971"/>
      <c r="BE1147" s="971"/>
      <c r="BF1147" s="971"/>
      <c r="BG1147" s="971"/>
      <c r="BH1147" s="971"/>
      <c r="BI1147" s="971"/>
      <c r="BJ1147" s="971"/>
      <c r="BK1147" s="971"/>
      <c r="BL1147" s="971"/>
      <c r="BM1147" s="971"/>
      <c r="BN1147" s="971"/>
    </row>
    <row r="1148" spans="1:66" ht="12.75">
      <c r="A1148" s="62" t="s">
        <v>1518</v>
      </c>
      <c r="B1148" s="175">
        <v>341</v>
      </c>
      <c r="E1148" s="14">
        <f>88/1000000</f>
        <v>8.7999999999999998E-5</v>
      </c>
      <c r="F1148" s="3"/>
      <c r="I1148" s="14"/>
      <c r="J1148" s="14"/>
      <c r="L1148" s="43"/>
      <c r="M1148" s="43"/>
      <c r="N1148" s="43"/>
      <c r="O1148" s="43"/>
      <c r="P1148" s="43"/>
      <c r="R1148" s="14"/>
      <c r="S1148" s="43"/>
      <c r="T1148" s="43"/>
      <c r="U1148" s="43"/>
      <c r="V1148" s="43"/>
      <c r="X1148" s="14"/>
      <c r="AC1148" s="14"/>
      <c r="AD1148" s="14"/>
      <c r="AE1148" s="14"/>
      <c r="AK1148" s="14"/>
      <c r="AL1148" s="43"/>
      <c r="AM1148" s="43"/>
      <c r="AN1148" s="43"/>
      <c r="AO1148" s="43"/>
      <c r="AP1148" s="14"/>
      <c r="AQ1148" s="14"/>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row>
    <row r="1149" spans="1:66" ht="12.75">
      <c r="A1149" s="63" t="s">
        <v>1519</v>
      </c>
      <c r="B1149" s="176">
        <v>40</v>
      </c>
      <c r="C1149" s="646">
        <f>0.0477547736537224/100</f>
        <v>4.7754773653722405E-4</v>
      </c>
      <c r="D1149" s="646">
        <f>0.990488450261031/100</f>
        <v>9.9048845026103102E-3</v>
      </c>
      <c r="E1149" s="646">
        <f>E1148*B1149/B1148/0.89</f>
        <v>1.1598405219282348E-5</v>
      </c>
      <c r="F1149" s="191">
        <f>0.04*0.00220462/0.89</f>
        <v>9.908404494382022E-5</v>
      </c>
      <c r="I1149" s="14"/>
      <c r="J1149" s="14"/>
      <c r="L1149" s="43"/>
      <c r="M1149" s="43"/>
      <c r="N1149" s="43"/>
      <c r="O1149" s="43"/>
      <c r="P1149" s="43"/>
      <c r="R1149" s="14"/>
      <c r="S1149" s="43"/>
      <c r="T1149" s="43"/>
      <c r="U1149" s="43"/>
      <c r="V1149" s="43"/>
      <c r="X1149" s="14"/>
      <c r="AC1149" s="14"/>
      <c r="AD1149" s="14"/>
      <c r="AE1149" s="14"/>
      <c r="AK1149" s="14"/>
      <c r="AL1149" s="43"/>
      <c r="AM1149" s="43"/>
      <c r="AN1149" s="43"/>
      <c r="AO1149" s="43"/>
      <c r="AP1149" s="14"/>
      <c r="AQ1149" s="14"/>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row>
    <row r="1150" spans="1:66" ht="12.75">
      <c r="A1150" s="14" t="s">
        <v>538</v>
      </c>
      <c r="B1150" s="14" t="s">
        <v>570</v>
      </c>
      <c r="I1150" s="14"/>
      <c r="J1150" s="14"/>
      <c r="L1150" s="43"/>
      <c r="M1150" s="43"/>
      <c r="N1150" s="43"/>
      <c r="O1150" s="43"/>
      <c r="P1150" s="43"/>
      <c r="R1150" s="14"/>
      <c r="S1150" s="43"/>
      <c r="T1150" s="43"/>
      <c r="U1150" s="43"/>
      <c r="V1150" s="43"/>
      <c r="X1150" s="14"/>
      <c r="AC1150" s="14"/>
      <c r="AD1150" s="14"/>
      <c r="AE1150" s="14"/>
      <c r="AK1150" s="14"/>
      <c r="AL1150" s="43"/>
      <c r="AM1150" s="43"/>
      <c r="AN1150" s="43"/>
      <c r="AO1150" s="43"/>
      <c r="AP1150" s="14"/>
      <c r="AQ1150" s="14"/>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row>
    <row r="1151" spans="1:66" ht="12.75">
      <c r="B1151" s="66" t="s">
        <v>1459</v>
      </c>
      <c r="I1151" s="14"/>
      <c r="J1151" s="14"/>
      <c r="L1151" s="43"/>
      <c r="M1151" s="43"/>
      <c r="N1151" s="43"/>
      <c r="O1151" s="43"/>
      <c r="P1151" s="43"/>
      <c r="R1151" s="14"/>
      <c r="S1151" s="43"/>
      <c r="T1151" s="43"/>
      <c r="U1151" s="43"/>
      <c r="V1151" s="43"/>
      <c r="X1151" s="14"/>
      <c r="AC1151" s="14"/>
      <c r="AD1151" s="14"/>
      <c r="AE1151" s="14"/>
      <c r="AK1151" s="14"/>
      <c r="AL1151" s="43"/>
      <c r="AM1151" s="43"/>
      <c r="AN1151" s="43"/>
      <c r="AO1151" s="43"/>
      <c r="AP1151" s="14"/>
      <c r="AQ1151" s="14"/>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row>
    <row r="1152" spans="1:66" ht="12.75">
      <c r="B1152" s="14" t="s">
        <v>867</v>
      </c>
      <c r="I1152" s="14"/>
      <c r="J1152" s="14"/>
      <c r="L1152" s="43"/>
      <c r="M1152" s="43"/>
      <c r="N1152" s="43"/>
      <c r="O1152" s="43"/>
      <c r="P1152" s="43"/>
      <c r="R1152" s="14"/>
      <c r="S1152" s="43"/>
      <c r="T1152" s="43"/>
      <c r="U1152" s="43"/>
      <c r="V1152" s="43"/>
      <c r="X1152" s="14"/>
      <c r="AC1152" s="14"/>
      <c r="AD1152" s="14"/>
      <c r="AE1152" s="14"/>
      <c r="AK1152" s="14"/>
      <c r="AL1152" s="43"/>
      <c r="AM1152" s="43"/>
      <c r="AN1152" s="43"/>
      <c r="AO1152" s="43"/>
      <c r="AP1152" s="14"/>
      <c r="AQ1152" s="14"/>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row>
    <row r="1153" spans="1:66" ht="12.75">
      <c r="B1153" s="655" t="s">
        <v>1490</v>
      </c>
      <c r="I1153" s="14"/>
      <c r="J1153" s="14"/>
      <c r="L1153" s="43"/>
      <c r="M1153" s="43"/>
      <c r="N1153" s="43"/>
      <c r="O1153" s="43"/>
      <c r="P1153" s="43"/>
      <c r="R1153" s="14"/>
      <c r="S1153" s="43"/>
      <c r="T1153" s="43"/>
      <c r="U1153" s="43"/>
      <c r="V1153" s="43"/>
      <c r="X1153" s="14"/>
      <c r="AC1153" s="14"/>
      <c r="AD1153" s="14"/>
      <c r="AE1153" s="14"/>
      <c r="AK1153" s="14"/>
      <c r="AL1153" s="43"/>
      <c r="AM1153" s="43"/>
      <c r="AN1153" s="43"/>
      <c r="AO1153" s="43"/>
      <c r="AP1153" s="14"/>
      <c r="AQ1153" s="14"/>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row>
    <row r="1154" spans="1:66" ht="12.75">
      <c r="B1154" s="655" t="s">
        <v>1461</v>
      </c>
      <c r="I1154" s="14"/>
      <c r="J1154" s="14"/>
      <c r="L1154" s="43"/>
      <c r="M1154" s="43"/>
      <c r="N1154" s="43"/>
      <c r="O1154" s="43"/>
      <c r="P1154" s="43"/>
      <c r="R1154" s="14"/>
      <c r="S1154" s="43"/>
      <c r="T1154" s="43"/>
      <c r="U1154" s="43"/>
      <c r="V1154" s="43"/>
      <c r="X1154" s="14"/>
      <c r="AC1154" s="14"/>
      <c r="AD1154" s="14"/>
      <c r="AE1154" s="14"/>
      <c r="AK1154" s="14"/>
      <c r="AL1154" s="43"/>
      <c r="AM1154" s="43"/>
      <c r="AN1154" s="43"/>
      <c r="AO1154" s="43"/>
      <c r="AP1154" s="14"/>
      <c r="AQ1154" s="14"/>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row>
    <row r="1155" spans="1:66" ht="12.75">
      <c r="I1155" s="14"/>
      <c r="J1155" s="14"/>
      <c r="L1155" s="43"/>
      <c r="M1155" s="43"/>
      <c r="N1155" s="43"/>
      <c r="O1155" s="43"/>
      <c r="P1155" s="43"/>
      <c r="R1155" s="14"/>
      <c r="S1155" s="43"/>
      <c r="T1155" s="43"/>
      <c r="U1155" s="43"/>
      <c r="V1155" s="43"/>
      <c r="X1155" s="14"/>
      <c r="AC1155" s="14"/>
      <c r="AD1155" s="14"/>
      <c r="AE1155" s="14"/>
      <c r="AK1155" s="14"/>
      <c r="AL1155" s="43"/>
      <c r="AM1155" s="43"/>
      <c r="AN1155" s="43"/>
      <c r="AO1155" s="43"/>
      <c r="AP1155" s="14"/>
      <c r="AQ1155" s="14"/>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row>
    <row r="1156" spans="1:66" ht="12.75">
      <c r="I1156" s="14"/>
      <c r="J1156" s="14"/>
      <c r="L1156" s="43"/>
      <c r="M1156" s="43"/>
      <c r="N1156" s="43"/>
      <c r="O1156" s="43"/>
      <c r="P1156" s="43"/>
      <c r="R1156" s="14"/>
      <c r="S1156" s="43"/>
      <c r="T1156" s="43"/>
      <c r="U1156" s="43"/>
      <c r="V1156" s="43"/>
      <c r="X1156" s="14"/>
      <c r="AC1156" s="14"/>
      <c r="AD1156" s="14"/>
      <c r="AE1156" s="14"/>
      <c r="AK1156" s="14"/>
      <c r="AL1156" s="43"/>
      <c r="AM1156" s="43"/>
      <c r="AN1156" s="43"/>
      <c r="AO1156" s="43"/>
      <c r="AP1156" s="14"/>
      <c r="AQ1156" s="14"/>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row>
    <row r="1157" spans="1:66" s="92" customFormat="1" ht="39">
      <c r="A1157" s="392" t="s">
        <v>1520</v>
      </c>
      <c r="B1157" s="764" t="s">
        <v>732</v>
      </c>
      <c r="C1157" s="764"/>
      <c r="D1157" s="1001" t="s">
        <v>833</v>
      </c>
      <c r="E1157" s="1001" t="s">
        <v>834</v>
      </c>
      <c r="F1157" s="1001" t="s">
        <v>835</v>
      </c>
      <c r="G1157" s="1001" t="s">
        <v>836</v>
      </c>
      <c r="I1157" s="81"/>
      <c r="J1157" s="81"/>
      <c r="L1157" s="971"/>
      <c r="M1157" s="971"/>
      <c r="N1157" s="971"/>
      <c r="O1157" s="971"/>
      <c r="P1157" s="971"/>
      <c r="R1157" s="81"/>
      <c r="S1157" s="971"/>
      <c r="T1157" s="971"/>
      <c r="U1157" s="971"/>
      <c r="V1157" s="971"/>
      <c r="X1157" s="81"/>
      <c r="AC1157" s="81"/>
      <c r="AD1157" s="81"/>
      <c r="AE1157" s="81"/>
      <c r="AK1157" s="81"/>
      <c r="AL1157" s="971"/>
      <c r="AM1157" s="971"/>
      <c r="AN1157" s="971"/>
      <c r="AO1157" s="971"/>
      <c r="AP1157" s="81"/>
      <c r="AQ1157" s="81"/>
      <c r="AS1157" s="971"/>
      <c r="AT1157" s="971"/>
      <c r="AU1157" s="971"/>
      <c r="AV1157" s="971"/>
      <c r="AW1157" s="971"/>
      <c r="AX1157" s="971"/>
      <c r="AY1157" s="971"/>
      <c r="AZ1157" s="971"/>
      <c r="BA1157" s="971"/>
      <c r="BB1157" s="971"/>
      <c r="BC1157" s="971"/>
      <c r="BD1157" s="971"/>
      <c r="BE1157" s="971"/>
      <c r="BF1157" s="971"/>
      <c r="BG1157" s="971"/>
      <c r="BH1157" s="971"/>
      <c r="BI1157" s="971"/>
      <c r="BJ1157" s="971"/>
      <c r="BK1157" s="971"/>
      <c r="BL1157" s="971"/>
      <c r="BM1157" s="971"/>
      <c r="BN1157" s="971"/>
    </row>
    <row r="1158" spans="1:66" ht="12.75">
      <c r="A1158" s="399" t="s">
        <v>1073</v>
      </c>
      <c r="B1158" s="220">
        <v>36</v>
      </c>
      <c r="C1158" s="14"/>
      <c r="D1158">
        <f>0.118463585451115/100</f>
        <v>1.1846358545111501E-3</v>
      </c>
      <c r="E1158">
        <f>2.05790685391039/100</f>
        <v>2.0579068539103899E-2</v>
      </c>
      <c r="F1158">
        <f>14/1000000/0.74</f>
        <v>1.8918918918918918E-5</v>
      </c>
      <c r="G1158" s="3">
        <f>0.15*0.00220462/0.74</f>
        <v>4.4688243243243248E-4</v>
      </c>
      <c r="I1158" s="14"/>
      <c r="J1158" s="14"/>
      <c r="L1158" s="43"/>
      <c r="M1158" s="43"/>
      <c r="N1158" s="43"/>
      <c r="O1158" s="43"/>
      <c r="P1158" s="43"/>
      <c r="R1158" s="14"/>
      <c r="S1158" s="43"/>
      <c r="T1158" s="43"/>
      <c r="U1158" s="43"/>
      <c r="V1158" s="43"/>
      <c r="X1158" s="14"/>
      <c r="AC1158" s="14"/>
      <c r="AD1158" s="14"/>
      <c r="AE1158" s="14"/>
      <c r="AK1158" s="14"/>
      <c r="AL1158" s="43"/>
      <c r="AM1158" s="43"/>
      <c r="AN1158" s="43"/>
      <c r="AO1158" s="43"/>
      <c r="AP1158" s="14"/>
      <c r="AQ1158" s="14"/>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row>
    <row r="1159" spans="1:66" ht="12.75">
      <c r="A1159" s="754" t="s">
        <v>1521</v>
      </c>
      <c r="B1159" s="725">
        <v>292</v>
      </c>
      <c r="C1159" s="725">
        <f>B1159/B1158</f>
        <v>8.1111111111111107</v>
      </c>
      <c r="D1159" s="725">
        <f t="shared" ref="D1159:G1159" si="202">$C1159*D1158</f>
        <v>9.6087130421459947E-3</v>
      </c>
      <c r="E1159" s="725">
        <f t="shared" si="202"/>
        <v>0.16691911148384272</v>
      </c>
      <c r="F1159" s="725">
        <f t="shared" si="202"/>
        <v>1.5345345345345343E-4</v>
      </c>
      <c r="G1159" s="728">
        <f t="shared" si="202"/>
        <v>3.6247130630630633E-3</v>
      </c>
      <c r="I1159" s="14"/>
      <c r="J1159" s="14"/>
      <c r="L1159" s="43"/>
      <c r="M1159" s="43"/>
      <c r="N1159" s="43"/>
      <c r="O1159" s="43"/>
      <c r="P1159" s="43"/>
      <c r="R1159" s="14"/>
      <c r="S1159" s="43"/>
      <c r="T1159" s="43"/>
      <c r="U1159" s="43"/>
      <c r="V1159" s="43"/>
      <c r="X1159" s="14"/>
      <c r="AC1159" s="14"/>
      <c r="AD1159" s="14"/>
      <c r="AE1159" s="14"/>
      <c r="AK1159" s="14"/>
      <c r="AL1159" s="43"/>
      <c r="AM1159" s="43"/>
      <c r="AN1159" s="43"/>
      <c r="AO1159" s="43"/>
      <c r="AP1159" s="14"/>
      <c r="AQ1159" s="14"/>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row>
    <row r="1160" spans="1:66" ht="12.75">
      <c r="A1160" s="14" t="s">
        <v>538</v>
      </c>
      <c r="B1160" s="14" t="s">
        <v>1522</v>
      </c>
      <c r="I1160" s="14"/>
      <c r="J1160" s="14"/>
      <c r="L1160" s="43"/>
      <c r="M1160" s="43"/>
      <c r="N1160" s="43"/>
      <c r="O1160" s="43"/>
      <c r="P1160" s="43"/>
      <c r="R1160" s="14"/>
      <c r="S1160" s="43"/>
      <c r="T1160" s="43"/>
      <c r="U1160" s="43"/>
      <c r="V1160" s="43"/>
      <c r="X1160" s="14"/>
      <c r="AC1160" s="14"/>
      <c r="AD1160" s="14"/>
      <c r="AE1160" s="14"/>
      <c r="AK1160" s="14"/>
      <c r="AL1160" s="43"/>
      <c r="AM1160" s="43"/>
      <c r="AN1160" s="43"/>
      <c r="AO1160" s="43"/>
      <c r="AP1160" s="14"/>
      <c r="AQ1160" s="14"/>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row>
    <row r="1161" spans="1:66" ht="12.75">
      <c r="B1161" s="14" t="s">
        <v>570</v>
      </c>
      <c r="I1161" s="14"/>
      <c r="J1161" s="14"/>
      <c r="L1161" s="43"/>
      <c r="M1161" s="43"/>
      <c r="N1161" s="43"/>
      <c r="O1161" s="43"/>
      <c r="P1161" s="43"/>
      <c r="R1161" s="14"/>
      <c r="S1161" s="43"/>
      <c r="T1161" s="43"/>
      <c r="U1161" s="43"/>
      <c r="V1161" s="43"/>
      <c r="X1161" s="14"/>
      <c r="AC1161" s="14"/>
      <c r="AD1161" s="14"/>
      <c r="AE1161" s="14"/>
      <c r="AK1161" s="14"/>
      <c r="AL1161" s="43"/>
      <c r="AM1161" s="43"/>
      <c r="AN1161" s="43"/>
      <c r="AO1161" s="43"/>
      <c r="AP1161" s="14"/>
      <c r="AQ1161" s="14"/>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row>
    <row r="1162" spans="1:66" ht="12.75">
      <c r="B1162" s="66" t="s">
        <v>1459</v>
      </c>
      <c r="I1162" s="14"/>
      <c r="J1162" s="14"/>
      <c r="L1162" s="43"/>
      <c r="M1162" s="43"/>
      <c r="N1162" s="43"/>
      <c r="O1162" s="43"/>
      <c r="P1162" s="43"/>
      <c r="R1162" s="14"/>
      <c r="S1162" s="43"/>
      <c r="T1162" s="43"/>
      <c r="U1162" s="43"/>
      <c r="V1162" s="43"/>
      <c r="X1162" s="14"/>
      <c r="AC1162" s="14"/>
      <c r="AD1162" s="14"/>
      <c r="AE1162" s="14"/>
      <c r="AK1162" s="14"/>
      <c r="AL1162" s="43"/>
      <c r="AM1162" s="43"/>
      <c r="AN1162" s="43"/>
      <c r="AO1162" s="43"/>
      <c r="AP1162" s="14"/>
      <c r="AQ1162" s="14"/>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row>
    <row r="1163" spans="1:66" ht="12.75">
      <c r="B1163" s="14" t="s">
        <v>867</v>
      </c>
      <c r="I1163" s="14"/>
      <c r="J1163" s="14"/>
      <c r="L1163" s="43"/>
      <c r="M1163" s="43"/>
      <c r="N1163" s="43"/>
      <c r="O1163" s="43"/>
      <c r="P1163" s="43"/>
      <c r="R1163" s="14"/>
      <c r="S1163" s="43"/>
      <c r="T1163" s="43"/>
      <c r="U1163" s="43"/>
      <c r="V1163" s="43"/>
      <c r="X1163" s="14"/>
      <c r="AC1163" s="14"/>
      <c r="AD1163" s="14"/>
      <c r="AE1163" s="14"/>
      <c r="AK1163" s="14"/>
      <c r="AL1163" s="43"/>
      <c r="AM1163" s="43"/>
      <c r="AN1163" s="43"/>
      <c r="AO1163" s="43"/>
      <c r="AP1163" s="14"/>
      <c r="AQ1163" s="14"/>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row>
    <row r="1164" spans="1:66" ht="12.75">
      <c r="B1164" s="655" t="s">
        <v>1461</v>
      </c>
      <c r="I1164" s="14"/>
      <c r="J1164" s="14"/>
      <c r="L1164" s="43"/>
      <c r="M1164" s="43"/>
      <c r="N1164" s="43"/>
      <c r="O1164" s="43"/>
      <c r="P1164" s="43"/>
      <c r="R1164" s="14"/>
      <c r="S1164" s="43"/>
      <c r="T1164" s="43"/>
      <c r="U1164" s="43"/>
      <c r="V1164" s="43"/>
      <c r="X1164" s="14"/>
      <c r="AC1164" s="14"/>
      <c r="AD1164" s="14"/>
      <c r="AE1164" s="14"/>
      <c r="AK1164" s="14"/>
      <c r="AL1164" s="43"/>
      <c r="AM1164" s="43"/>
      <c r="AN1164" s="43"/>
      <c r="AO1164" s="43"/>
      <c r="AP1164" s="14"/>
      <c r="AQ1164" s="14"/>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row>
    <row r="1165" spans="1:66" ht="12.75">
      <c r="B1165" s="655" t="s">
        <v>1523</v>
      </c>
      <c r="I1165" s="14"/>
      <c r="J1165" s="14"/>
      <c r="L1165" s="43"/>
      <c r="M1165" s="43"/>
      <c r="N1165" s="43"/>
      <c r="O1165" s="43"/>
      <c r="P1165" s="43"/>
      <c r="R1165" s="14"/>
      <c r="S1165" s="43"/>
      <c r="T1165" s="43"/>
      <c r="U1165" s="43"/>
      <c r="V1165" s="43"/>
      <c r="X1165" s="14"/>
      <c r="AC1165" s="14"/>
      <c r="AD1165" s="14"/>
      <c r="AE1165" s="14"/>
      <c r="AK1165" s="14"/>
      <c r="AL1165" s="43"/>
      <c r="AM1165" s="43"/>
      <c r="AN1165" s="43"/>
      <c r="AO1165" s="43"/>
      <c r="AP1165" s="14"/>
      <c r="AQ1165" s="14"/>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row>
    <row r="1166" spans="1:66" ht="12.75">
      <c r="I1166" s="14"/>
      <c r="J1166" s="14"/>
      <c r="L1166" s="43"/>
      <c r="M1166" s="43"/>
      <c r="N1166" s="43"/>
      <c r="O1166" s="43"/>
      <c r="P1166" s="43"/>
      <c r="R1166" s="14"/>
      <c r="S1166" s="43"/>
      <c r="T1166" s="43"/>
      <c r="U1166" s="43"/>
      <c r="V1166" s="43"/>
      <c r="X1166" s="14"/>
      <c r="AC1166" s="14"/>
      <c r="AD1166" s="14"/>
      <c r="AE1166" s="14"/>
      <c r="AK1166" s="14"/>
      <c r="AL1166" s="43"/>
      <c r="AM1166" s="43"/>
      <c r="AN1166" s="43"/>
      <c r="AO1166" s="43"/>
      <c r="AP1166" s="14"/>
      <c r="AQ1166" s="14"/>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row>
    <row r="1167" spans="1:66" ht="12.75">
      <c r="I1167" s="14"/>
      <c r="J1167" s="14"/>
      <c r="L1167" s="43"/>
      <c r="M1167" s="43"/>
      <c r="N1167" s="43"/>
      <c r="O1167" s="43"/>
      <c r="P1167" s="43"/>
      <c r="R1167" s="14"/>
      <c r="S1167" s="43"/>
      <c r="T1167" s="43"/>
      <c r="U1167" s="43"/>
      <c r="V1167" s="43"/>
      <c r="X1167" s="14"/>
      <c r="AC1167" s="14"/>
      <c r="AD1167" s="14"/>
      <c r="AE1167" s="14"/>
      <c r="AK1167" s="14"/>
      <c r="AL1167" s="43"/>
      <c r="AM1167" s="43"/>
      <c r="AN1167" s="43"/>
      <c r="AO1167" s="43"/>
      <c r="AP1167" s="14"/>
      <c r="AQ1167" s="14"/>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row>
    <row r="1168" spans="1:66" s="92" customFormat="1" ht="60">
      <c r="A1168" s="52" t="s">
        <v>1524</v>
      </c>
      <c r="B1168" s="641" t="s">
        <v>533</v>
      </c>
      <c r="C1168" s="641" t="s">
        <v>543</v>
      </c>
      <c r="D1168" s="641" t="s">
        <v>522</v>
      </c>
      <c r="E1168" s="48" t="s">
        <v>535</v>
      </c>
      <c r="I1168" s="81"/>
      <c r="J1168" s="81"/>
      <c r="L1168" s="971"/>
      <c r="M1168" s="971"/>
      <c r="N1168" s="971"/>
      <c r="O1168" s="971"/>
      <c r="P1168" s="971"/>
      <c r="R1168" s="81"/>
      <c r="S1168" s="971"/>
      <c r="T1168" s="971"/>
      <c r="U1168" s="971"/>
      <c r="V1168" s="971"/>
      <c r="X1168" s="81"/>
      <c r="AC1168" s="81"/>
      <c r="AD1168" s="81"/>
      <c r="AE1168" s="81"/>
      <c r="AK1168" s="81"/>
      <c r="AL1168" s="971"/>
      <c r="AM1168" s="971"/>
      <c r="AN1168" s="971"/>
      <c r="AO1168" s="971"/>
      <c r="AP1168" s="81"/>
      <c r="AQ1168" s="81"/>
      <c r="AS1168" s="971"/>
      <c r="AT1168" s="971"/>
      <c r="AU1168" s="971"/>
      <c r="AV1168" s="971"/>
      <c r="AW1168" s="971"/>
      <c r="AX1168" s="971"/>
      <c r="AY1168" s="971"/>
      <c r="AZ1168" s="971"/>
      <c r="BA1168" s="971"/>
      <c r="BB1168" s="971"/>
      <c r="BC1168" s="971"/>
      <c r="BD1168" s="971"/>
      <c r="BE1168" s="971"/>
      <c r="BF1168" s="971"/>
      <c r="BG1168" s="971"/>
      <c r="BH1168" s="971"/>
      <c r="BI1168" s="971"/>
      <c r="BJ1168" s="971"/>
      <c r="BK1168" s="971"/>
      <c r="BL1168" s="971"/>
      <c r="BM1168" s="971"/>
      <c r="BN1168" s="971"/>
    </row>
    <row r="1169" spans="1:66" ht="12.75">
      <c r="A1169" s="161" t="s">
        <v>1525</v>
      </c>
      <c r="B1169" s="162">
        <f>0.0827397607461476/100</f>
        <v>8.2739760746147598E-4</v>
      </c>
      <c r="C1169" s="162">
        <f>1.988713166/100</f>
        <v>1.9887131659999998E-2</v>
      </c>
      <c r="D1169" s="162">
        <f>42/1000000/0.82</f>
        <v>5.1219512195121953E-5</v>
      </c>
      <c r="E1169" s="164">
        <f>0.12*0.00220462/0.82</f>
        <v>3.2262731707317075E-4</v>
      </c>
      <c r="I1169" s="14"/>
      <c r="J1169" s="14"/>
      <c r="L1169" s="43"/>
      <c r="M1169" s="43"/>
      <c r="N1169" s="43"/>
      <c r="O1169" s="43"/>
      <c r="P1169" s="43"/>
      <c r="R1169" s="14"/>
      <c r="S1169" s="43"/>
      <c r="T1169" s="43"/>
      <c r="U1169" s="43"/>
      <c r="V1169" s="43"/>
      <c r="X1169" s="14"/>
      <c r="AC1169" s="14"/>
      <c r="AD1169" s="14"/>
      <c r="AE1169" s="14"/>
      <c r="AK1169" s="14"/>
      <c r="AL1169" s="43"/>
      <c r="AM1169" s="43"/>
      <c r="AN1169" s="43"/>
      <c r="AO1169" s="43"/>
      <c r="AP1169" s="14"/>
      <c r="AQ1169" s="14"/>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row>
    <row r="1170" spans="1:66" ht="12.75">
      <c r="A1170" s="4" t="s">
        <v>1526</v>
      </c>
      <c r="B1170" s="617">
        <f>(0.0827397607461476/100)*0.82/0.85</f>
        <v>7.9819533896283569E-4</v>
      </c>
      <c r="C1170" s="617">
        <f>(1.988713166/100)/0.85*0.82</f>
        <v>1.9185232895529411E-2</v>
      </c>
      <c r="D1170" s="617">
        <f>42/1000000/0.85</f>
        <v>4.9411764705882349E-5</v>
      </c>
      <c r="E1170" s="5">
        <f>0.12*0.00220462/0.85</f>
        <v>3.1124047058823527E-4</v>
      </c>
      <c r="I1170" s="14"/>
      <c r="J1170" s="14"/>
      <c r="L1170" s="43"/>
      <c r="M1170" s="43"/>
      <c r="N1170" s="43"/>
      <c r="O1170" s="43"/>
      <c r="P1170" s="43"/>
      <c r="R1170" s="14"/>
      <c r="S1170" s="43"/>
      <c r="T1170" s="43"/>
      <c r="U1170" s="43"/>
      <c r="V1170" s="43"/>
      <c r="X1170" s="14"/>
      <c r="AC1170" s="14"/>
      <c r="AD1170" s="14"/>
      <c r="AE1170" s="14"/>
      <c r="AK1170" s="14"/>
      <c r="AL1170" s="43"/>
      <c r="AM1170" s="43"/>
      <c r="AN1170" s="43"/>
      <c r="AO1170" s="43"/>
      <c r="AP1170" s="14"/>
      <c r="AQ1170" s="14"/>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row>
    <row r="1171" spans="1:66" ht="12.75">
      <c r="A1171" s="14" t="s">
        <v>538</v>
      </c>
      <c r="B1171" s="14" t="s">
        <v>570</v>
      </c>
      <c r="I1171" s="14"/>
      <c r="J1171" s="14"/>
      <c r="L1171" s="43"/>
      <c r="M1171" s="43"/>
      <c r="N1171" s="43"/>
      <c r="O1171" s="43"/>
      <c r="P1171" s="43"/>
      <c r="R1171" s="14"/>
      <c r="S1171" s="43"/>
      <c r="T1171" s="43"/>
      <c r="U1171" s="43"/>
      <c r="V1171" s="43"/>
      <c r="X1171" s="14"/>
      <c r="AC1171" s="14"/>
      <c r="AD1171" s="14"/>
      <c r="AE1171" s="14"/>
      <c r="AK1171" s="14"/>
      <c r="AL1171" s="43"/>
      <c r="AM1171" s="43"/>
      <c r="AN1171" s="43"/>
      <c r="AO1171" s="43"/>
      <c r="AP1171" s="14"/>
      <c r="AQ1171" s="14"/>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row>
    <row r="1172" spans="1:66" ht="12.75">
      <c r="B1172" s="66" t="s">
        <v>1459</v>
      </c>
      <c r="I1172" s="14"/>
      <c r="J1172" s="14"/>
      <c r="L1172" s="43"/>
      <c r="M1172" s="43"/>
      <c r="N1172" s="43"/>
      <c r="O1172" s="43"/>
      <c r="P1172" s="43"/>
      <c r="R1172" s="14"/>
      <c r="S1172" s="43"/>
      <c r="T1172" s="43"/>
      <c r="U1172" s="43"/>
      <c r="V1172" s="43"/>
      <c r="X1172" s="14"/>
      <c r="AC1172" s="14"/>
      <c r="AD1172" s="14"/>
      <c r="AE1172" s="14"/>
      <c r="AK1172" s="14"/>
      <c r="AL1172" s="43"/>
      <c r="AM1172" s="43"/>
      <c r="AN1172" s="43"/>
      <c r="AO1172" s="43"/>
      <c r="AP1172" s="14"/>
      <c r="AQ1172" s="14"/>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row>
    <row r="1173" spans="1:66" ht="12.75">
      <c r="B1173" s="14" t="s">
        <v>867</v>
      </c>
      <c r="I1173" s="14"/>
      <c r="J1173" s="14"/>
      <c r="L1173" s="43"/>
      <c r="M1173" s="43"/>
      <c r="N1173" s="43"/>
      <c r="O1173" s="43"/>
      <c r="P1173" s="43"/>
      <c r="R1173" s="14"/>
      <c r="S1173" s="43"/>
      <c r="T1173" s="43"/>
      <c r="U1173" s="43"/>
      <c r="V1173" s="43"/>
      <c r="X1173" s="14"/>
      <c r="AC1173" s="14"/>
      <c r="AD1173" s="14"/>
      <c r="AE1173" s="14"/>
      <c r="AK1173" s="14"/>
      <c r="AL1173" s="43"/>
      <c r="AM1173" s="43"/>
      <c r="AN1173" s="43"/>
      <c r="AO1173" s="43"/>
      <c r="AP1173" s="14"/>
      <c r="AQ1173" s="14"/>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row>
    <row r="1174" spans="1:66" ht="12.75">
      <c r="B1174" s="655" t="s">
        <v>1461</v>
      </c>
      <c r="I1174" s="14"/>
      <c r="J1174" s="14"/>
      <c r="L1174" s="43"/>
      <c r="M1174" s="43"/>
      <c r="N1174" s="43"/>
      <c r="O1174" s="43"/>
      <c r="P1174" s="43"/>
      <c r="R1174" s="14"/>
      <c r="S1174" s="43"/>
      <c r="T1174" s="43"/>
      <c r="U1174" s="43"/>
      <c r="V1174" s="43"/>
      <c r="X1174" s="14"/>
      <c r="AC1174" s="14"/>
      <c r="AD1174" s="14"/>
      <c r="AE1174" s="14"/>
      <c r="AK1174" s="14"/>
      <c r="AL1174" s="43"/>
      <c r="AM1174" s="43"/>
      <c r="AN1174" s="43"/>
      <c r="AO1174" s="43"/>
      <c r="AP1174" s="14"/>
      <c r="AQ1174" s="14"/>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row>
    <row r="1175" spans="1:66" ht="12.75">
      <c r="I1175" s="14"/>
      <c r="J1175" s="14"/>
      <c r="L1175" s="43"/>
      <c r="M1175" s="43"/>
      <c r="N1175" s="43"/>
      <c r="O1175" s="43"/>
      <c r="P1175" s="43"/>
      <c r="R1175" s="14"/>
      <c r="S1175" s="43"/>
      <c r="T1175" s="43"/>
      <c r="U1175" s="43"/>
      <c r="V1175" s="43"/>
      <c r="X1175" s="14"/>
      <c r="AC1175" s="14"/>
      <c r="AD1175" s="14"/>
      <c r="AE1175" s="14"/>
      <c r="AK1175" s="14"/>
      <c r="AL1175" s="43"/>
      <c r="AM1175" s="43"/>
      <c r="AN1175" s="43"/>
      <c r="AO1175" s="43"/>
      <c r="AP1175" s="14"/>
      <c r="AQ1175" s="14"/>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row>
    <row r="1176" spans="1:66" ht="12.75">
      <c r="I1176" s="14"/>
      <c r="J1176" s="14"/>
      <c r="L1176" s="43"/>
      <c r="M1176" s="43"/>
      <c r="N1176" s="43"/>
      <c r="O1176" s="43"/>
      <c r="P1176" s="43"/>
      <c r="R1176" s="14"/>
      <c r="S1176" s="43"/>
      <c r="T1176" s="43"/>
      <c r="U1176" s="43"/>
      <c r="V1176" s="43"/>
      <c r="X1176" s="14"/>
      <c r="AC1176" s="14"/>
      <c r="AD1176" s="14"/>
      <c r="AE1176" s="14"/>
      <c r="AK1176" s="14"/>
      <c r="AL1176" s="43"/>
      <c r="AM1176" s="43"/>
      <c r="AN1176" s="43"/>
      <c r="AO1176" s="43"/>
      <c r="AP1176" s="14"/>
      <c r="AQ1176" s="14"/>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row>
    <row r="1177" spans="1:66" s="92" customFormat="1" ht="60">
      <c r="A1177" s="52" t="s">
        <v>1527</v>
      </c>
      <c r="B1177" s="221" t="s">
        <v>732</v>
      </c>
      <c r="C1177" s="641" t="s">
        <v>533</v>
      </c>
      <c r="D1177" s="641" t="s">
        <v>543</v>
      </c>
      <c r="E1177" s="641" t="s">
        <v>522</v>
      </c>
      <c r="F1177" s="48" t="s">
        <v>535</v>
      </c>
      <c r="I1177" s="81"/>
      <c r="J1177" s="81"/>
      <c r="L1177" s="971"/>
      <c r="M1177" s="971"/>
      <c r="N1177" s="971"/>
      <c r="O1177" s="971"/>
      <c r="P1177" s="971"/>
      <c r="R1177" s="81"/>
      <c r="S1177" s="971"/>
      <c r="T1177" s="971"/>
      <c r="U1177" s="971"/>
      <c r="V1177" s="971"/>
      <c r="X1177" s="81"/>
      <c r="AC1177" s="81"/>
      <c r="AD1177" s="81"/>
      <c r="AE1177" s="81"/>
      <c r="AK1177" s="81"/>
      <c r="AL1177" s="971"/>
      <c r="AM1177" s="971"/>
      <c r="AN1177" s="971"/>
      <c r="AO1177" s="971"/>
      <c r="AP1177" s="81"/>
      <c r="AQ1177" s="81"/>
      <c r="AS1177" s="971"/>
      <c r="AT1177" s="971"/>
      <c r="AU1177" s="971"/>
      <c r="AV1177" s="971"/>
      <c r="AW1177" s="971"/>
      <c r="AX1177" s="971"/>
      <c r="AY1177" s="971"/>
      <c r="AZ1177" s="971"/>
      <c r="BA1177" s="971"/>
      <c r="BB1177" s="971"/>
      <c r="BC1177" s="971"/>
      <c r="BD1177" s="971"/>
      <c r="BE1177" s="971"/>
      <c r="BF1177" s="971"/>
      <c r="BG1177" s="971"/>
      <c r="BH1177" s="971"/>
      <c r="BI1177" s="971"/>
      <c r="BJ1177" s="971"/>
      <c r="BK1177" s="971"/>
      <c r="BL1177" s="971"/>
      <c r="BM1177" s="971"/>
      <c r="BN1177" s="971"/>
    </row>
    <row r="1178" spans="1:66" ht="12.75">
      <c r="A1178" s="62" t="s">
        <v>1528</v>
      </c>
      <c r="B1178" s="175">
        <v>58</v>
      </c>
      <c r="C1178">
        <f>0.0307326900447164/100</f>
        <v>3.0732690044716401E-4</v>
      </c>
      <c r="D1178">
        <f>0.748176041421511/100</f>
        <v>7.4817604142151098E-3</v>
      </c>
      <c r="E1178">
        <f>33/1000000/0.85</f>
        <v>3.8823529411764709E-5</v>
      </c>
      <c r="F1178" s="3">
        <f>0.15*0.00220462/0.85</f>
        <v>3.8905058823529413E-4</v>
      </c>
      <c r="I1178" s="14"/>
      <c r="J1178" s="14"/>
      <c r="L1178" s="43"/>
      <c r="M1178" s="43"/>
      <c r="N1178" s="43"/>
      <c r="O1178" s="43"/>
      <c r="P1178" s="43"/>
      <c r="R1178" s="14"/>
      <c r="S1178" s="43"/>
      <c r="T1178" s="43"/>
      <c r="U1178" s="43"/>
      <c r="V1178" s="43"/>
      <c r="X1178" s="14"/>
      <c r="AC1178" s="14"/>
      <c r="AD1178" s="14"/>
      <c r="AE1178" s="14"/>
      <c r="AK1178" s="14"/>
      <c r="AL1178" s="43"/>
      <c r="AM1178" s="43"/>
      <c r="AN1178" s="43"/>
      <c r="AO1178" s="43"/>
      <c r="AP1178" s="14"/>
      <c r="AQ1178" s="14"/>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row>
    <row r="1179" spans="1:66" ht="12.75">
      <c r="A1179" s="63" t="s">
        <v>1529</v>
      </c>
      <c r="B1179" s="176">
        <v>105</v>
      </c>
      <c r="C1179" s="617">
        <f t="shared" ref="C1179:F1179" si="203">C1178*$B1179/$B1178</f>
        <v>5.5636766460262456E-4</v>
      </c>
      <c r="D1179" s="617">
        <f t="shared" si="203"/>
        <v>1.354456626711356E-2</v>
      </c>
      <c r="E1179" s="617">
        <f t="shared" si="203"/>
        <v>7.0283975659229207E-5</v>
      </c>
      <c r="F1179" s="5">
        <f t="shared" si="203"/>
        <v>7.0431572008113595E-4</v>
      </c>
      <c r="I1179" s="14"/>
      <c r="J1179" s="14"/>
      <c r="L1179" s="43"/>
      <c r="M1179" s="43"/>
      <c r="N1179" s="43"/>
      <c r="O1179" s="43"/>
      <c r="P1179" s="43"/>
      <c r="R1179" s="14"/>
      <c r="S1179" s="43"/>
      <c r="T1179" s="43"/>
      <c r="U1179" s="43"/>
      <c r="V1179" s="43"/>
      <c r="X1179" s="14"/>
      <c r="AC1179" s="14"/>
      <c r="AD1179" s="14"/>
      <c r="AE1179" s="14"/>
      <c r="AK1179" s="14"/>
      <c r="AL1179" s="43"/>
      <c r="AM1179" s="43"/>
      <c r="AN1179" s="43"/>
      <c r="AO1179" s="43"/>
      <c r="AP1179" s="14"/>
      <c r="AQ1179" s="14"/>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row>
    <row r="1180" spans="1:66" ht="12.75">
      <c r="B1180" s="14" t="s">
        <v>570</v>
      </c>
      <c r="I1180" s="14"/>
      <c r="J1180" s="14"/>
      <c r="L1180" s="43"/>
      <c r="M1180" s="43"/>
      <c r="N1180" s="43"/>
      <c r="O1180" s="43"/>
      <c r="P1180" s="43"/>
      <c r="R1180" s="14"/>
      <c r="S1180" s="43"/>
      <c r="T1180" s="43"/>
      <c r="U1180" s="43"/>
      <c r="V1180" s="43"/>
      <c r="X1180" s="14"/>
      <c r="AC1180" s="14"/>
      <c r="AD1180" s="14"/>
      <c r="AE1180" s="14"/>
      <c r="AK1180" s="14"/>
      <c r="AL1180" s="43"/>
      <c r="AM1180" s="43"/>
      <c r="AN1180" s="43"/>
      <c r="AO1180" s="43"/>
      <c r="AP1180" s="14"/>
      <c r="AQ1180" s="14"/>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row>
    <row r="1181" spans="1:66" ht="12.75">
      <c r="B1181" s="66" t="s">
        <v>1459</v>
      </c>
      <c r="I1181" s="14"/>
      <c r="J1181" s="14"/>
      <c r="L1181" s="43"/>
      <c r="M1181" s="43"/>
      <c r="N1181" s="43"/>
      <c r="O1181" s="43"/>
      <c r="P1181" s="43"/>
      <c r="R1181" s="14"/>
      <c r="S1181" s="43"/>
      <c r="T1181" s="43"/>
      <c r="U1181" s="43"/>
      <c r="V1181" s="43"/>
      <c r="X1181" s="14"/>
      <c r="AC1181" s="14"/>
      <c r="AD1181" s="14"/>
      <c r="AE1181" s="14"/>
      <c r="AK1181" s="14"/>
      <c r="AL1181" s="43"/>
      <c r="AM1181" s="43"/>
      <c r="AN1181" s="43"/>
      <c r="AO1181" s="43"/>
      <c r="AP1181" s="14"/>
      <c r="AQ1181" s="14"/>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row>
    <row r="1182" spans="1:66" ht="12.75">
      <c r="B1182" s="14" t="s">
        <v>867</v>
      </c>
      <c r="I1182" s="14"/>
      <c r="J1182" s="14"/>
      <c r="L1182" s="43"/>
      <c r="M1182" s="43"/>
      <c r="N1182" s="43"/>
      <c r="O1182" s="43"/>
      <c r="P1182" s="43"/>
      <c r="R1182" s="14"/>
      <c r="S1182" s="43"/>
      <c r="T1182" s="43"/>
      <c r="U1182" s="43"/>
      <c r="V1182" s="43"/>
      <c r="X1182" s="14"/>
      <c r="AC1182" s="14"/>
      <c r="AD1182" s="14"/>
      <c r="AE1182" s="14"/>
      <c r="AK1182" s="14"/>
      <c r="AL1182" s="43"/>
      <c r="AM1182" s="43"/>
      <c r="AN1182" s="43"/>
      <c r="AO1182" s="43"/>
      <c r="AP1182" s="14"/>
      <c r="AQ1182" s="14"/>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row>
    <row r="1183" spans="1:66" ht="12.75">
      <c r="B1183" s="655" t="s">
        <v>1490</v>
      </c>
      <c r="I1183" s="14"/>
      <c r="J1183" s="14"/>
      <c r="L1183" s="43"/>
      <c r="M1183" s="43"/>
      <c r="N1183" s="43"/>
      <c r="O1183" s="43"/>
      <c r="P1183" s="43"/>
      <c r="R1183" s="14"/>
      <c r="S1183" s="43"/>
      <c r="T1183" s="43"/>
      <c r="U1183" s="43"/>
      <c r="V1183" s="43"/>
      <c r="X1183" s="14"/>
      <c r="AC1183" s="14"/>
      <c r="AD1183" s="14"/>
      <c r="AE1183" s="14"/>
      <c r="AK1183" s="14"/>
      <c r="AL1183" s="43"/>
      <c r="AM1183" s="43"/>
      <c r="AN1183" s="43"/>
      <c r="AO1183" s="43"/>
      <c r="AP1183" s="14"/>
      <c r="AQ1183" s="14"/>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row>
    <row r="1184" spans="1:66" ht="12.75">
      <c r="B1184" s="655" t="s">
        <v>1461</v>
      </c>
      <c r="I1184" s="14"/>
      <c r="J1184" s="14"/>
      <c r="L1184" s="43"/>
      <c r="M1184" s="43"/>
      <c r="N1184" s="43"/>
      <c r="O1184" s="43"/>
      <c r="P1184" s="43"/>
      <c r="R1184" s="14"/>
      <c r="S1184" s="43"/>
      <c r="T1184" s="43"/>
      <c r="U1184" s="43"/>
      <c r="V1184" s="43"/>
      <c r="X1184" s="14"/>
      <c r="AC1184" s="14"/>
      <c r="AD1184" s="14"/>
      <c r="AE1184" s="14"/>
      <c r="AK1184" s="14"/>
      <c r="AL1184" s="43"/>
      <c r="AM1184" s="43"/>
      <c r="AN1184" s="43"/>
      <c r="AO1184" s="43"/>
      <c r="AP1184" s="14"/>
      <c r="AQ1184" s="14"/>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row>
    <row r="1185" spans="1:66" ht="12.75">
      <c r="I1185" s="14"/>
      <c r="J1185" s="14"/>
      <c r="L1185" s="43"/>
      <c r="M1185" s="43"/>
      <c r="N1185" s="43"/>
      <c r="O1185" s="43"/>
      <c r="P1185" s="43"/>
      <c r="R1185" s="14"/>
      <c r="S1185" s="43"/>
      <c r="T1185" s="43"/>
      <c r="U1185" s="43"/>
      <c r="V1185" s="43"/>
      <c r="X1185" s="14"/>
      <c r="AC1185" s="14"/>
      <c r="AD1185" s="14"/>
      <c r="AE1185" s="14"/>
      <c r="AK1185" s="14"/>
      <c r="AL1185" s="43"/>
      <c r="AM1185" s="43"/>
      <c r="AN1185" s="43"/>
      <c r="AO1185" s="43"/>
      <c r="AP1185" s="14"/>
      <c r="AQ1185" s="14"/>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row>
    <row r="1186" spans="1:66" ht="12.75">
      <c r="I1186" s="14"/>
      <c r="J1186" s="14"/>
      <c r="L1186" s="43"/>
      <c r="M1186" s="43"/>
      <c r="N1186" s="43"/>
      <c r="O1186" s="43"/>
      <c r="P1186" s="43"/>
      <c r="R1186" s="14"/>
      <c r="S1186" s="43"/>
      <c r="T1186" s="43"/>
      <c r="U1186" s="43"/>
      <c r="V1186" s="43"/>
      <c r="X1186" s="14"/>
      <c r="AC1186" s="14"/>
      <c r="AD1186" s="14"/>
      <c r="AE1186" s="14"/>
      <c r="AK1186" s="14"/>
      <c r="AL1186" s="43"/>
      <c r="AM1186" s="43"/>
      <c r="AN1186" s="43"/>
      <c r="AO1186" s="43"/>
      <c r="AP1186" s="14"/>
      <c r="AQ1186" s="14"/>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row>
    <row r="1187" spans="1:66" s="92" customFormat="1" ht="60">
      <c r="A1187" s="52" t="s">
        <v>1530</v>
      </c>
      <c r="B1187" s="755" t="s">
        <v>1198</v>
      </c>
      <c r="C1187" s="641" t="s">
        <v>533</v>
      </c>
      <c r="D1187" s="641" t="s">
        <v>543</v>
      </c>
      <c r="E1187" s="641" t="s">
        <v>522</v>
      </c>
      <c r="F1187" s="48" t="s">
        <v>535</v>
      </c>
      <c r="I1187" s="81"/>
      <c r="J1187" s="81"/>
      <c r="L1187" s="971"/>
      <c r="M1187" s="971"/>
      <c r="N1187" s="971"/>
      <c r="O1187" s="971"/>
      <c r="P1187" s="971"/>
      <c r="R1187" s="81"/>
      <c r="S1187" s="971"/>
      <c r="T1187" s="971"/>
      <c r="U1187" s="971"/>
      <c r="V1187" s="971"/>
      <c r="X1187" s="81"/>
      <c r="AC1187" s="81"/>
      <c r="AD1187" s="81"/>
      <c r="AE1187" s="81"/>
      <c r="AK1187" s="81"/>
      <c r="AL1187" s="971"/>
      <c r="AM1187" s="971"/>
      <c r="AN1187" s="971"/>
      <c r="AO1187" s="971"/>
      <c r="AP1187" s="81"/>
      <c r="AQ1187" s="81"/>
      <c r="AS1187" s="971"/>
      <c r="AT1187" s="971"/>
      <c r="AU1187" s="971"/>
      <c r="AV1187" s="971"/>
      <c r="AW1187" s="971"/>
      <c r="AX1187" s="971"/>
      <c r="AY1187" s="971"/>
      <c r="AZ1187" s="971"/>
      <c r="BA1187" s="971"/>
      <c r="BB1187" s="971"/>
      <c r="BC1187" s="971"/>
      <c r="BD1187" s="971"/>
      <c r="BE1187" s="971"/>
      <c r="BF1187" s="971"/>
      <c r="BG1187" s="971"/>
      <c r="BH1187" s="971"/>
      <c r="BI1187" s="971"/>
      <c r="BJ1187" s="971"/>
      <c r="BK1187" s="971"/>
      <c r="BL1187" s="971"/>
      <c r="BM1187" s="971"/>
      <c r="BN1187" s="971"/>
    </row>
    <row r="1188" spans="1:66" ht="12.75">
      <c r="A1188" s="62" t="s">
        <v>1531</v>
      </c>
      <c r="B1188">
        <f t="shared" ref="B1188:B1189" si="204">23/100</f>
        <v>0.23</v>
      </c>
      <c r="C1188">
        <f t="shared" ref="C1188:C1189" si="205">0.118463585451115/100</f>
        <v>1.1846358545111501E-3</v>
      </c>
      <c r="D1188">
        <f t="shared" ref="D1188:D1189" si="206">2.05790685391039/100</f>
        <v>2.0579068539103899E-2</v>
      </c>
      <c r="E1188">
        <f t="shared" ref="E1188:E1189" si="207">14/1000000/0.74</f>
        <v>1.8918918918918918E-5</v>
      </c>
      <c r="F1188" s="3">
        <f t="shared" ref="F1188:F1189" si="208">0.15*0.00220462/0.74</f>
        <v>4.4688243243243248E-4</v>
      </c>
      <c r="I1188" s="14"/>
      <c r="J1188" s="14"/>
      <c r="L1188" s="43"/>
      <c r="M1188" s="43"/>
      <c r="N1188" s="43"/>
      <c r="O1188" s="43"/>
      <c r="P1188" s="43"/>
      <c r="R1188" s="14"/>
      <c r="S1188" s="43"/>
      <c r="T1188" s="43"/>
      <c r="U1188" s="43"/>
      <c r="V1188" s="43"/>
      <c r="X1188" s="14"/>
      <c r="AC1188" s="14"/>
      <c r="AD1188" s="14"/>
      <c r="AE1188" s="14"/>
      <c r="AK1188" s="14"/>
      <c r="AL1188" s="43"/>
      <c r="AM1188" s="43"/>
      <c r="AN1188" s="43"/>
      <c r="AO1188" s="43"/>
      <c r="AP1188" s="14"/>
      <c r="AQ1188" s="14"/>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row>
    <row r="1189" spans="1:66" ht="12.75">
      <c r="A1189" s="63" t="s">
        <v>1532</v>
      </c>
      <c r="B1189" s="617">
        <f t="shared" si="204"/>
        <v>0.23</v>
      </c>
      <c r="C1189" s="617">
        <f t="shared" si="205"/>
        <v>1.1846358545111501E-3</v>
      </c>
      <c r="D1189" s="617">
        <f t="shared" si="206"/>
        <v>2.0579068539103899E-2</v>
      </c>
      <c r="E1189" s="617">
        <f t="shared" si="207"/>
        <v>1.8918918918918918E-5</v>
      </c>
      <c r="F1189" s="5">
        <f t="shared" si="208"/>
        <v>4.4688243243243248E-4</v>
      </c>
      <c r="I1189" s="14"/>
      <c r="J1189" s="14"/>
      <c r="L1189" s="43"/>
      <c r="M1189" s="43"/>
      <c r="N1189" s="43"/>
      <c r="O1189" s="43"/>
      <c r="P1189" s="43"/>
      <c r="R1189" s="14"/>
      <c r="S1189" s="43"/>
      <c r="T1189" s="43"/>
      <c r="U1189" s="43"/>
      <c r="V1189" s="43"/>
      <c r="X1189" s="14"/>
      <c r="AC1189" s="14"/>
      <c r="AD1189" s="14"/>
      <c r="AE1189" s="14"/>
      <c r="AK1189" s="14"/>
      <c r="AL1189" s="43"/>
      <c r="AM1189" s="43"/>
      <c r="AN1189" s="43"/>
      <c r="AO1189" s="43"/>
      <c r="AP1189" s="14"/>
      <c r="AQ1189" s="14"/>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row>
    <row r="1190" spans="1:66" ht="12.75">
      <c r="A1190" s="14" t="s">
        <v>1492</v>
      </c>
      <c r="B1190" s="14" t="s">
        <v>570</v>
      </c>
      <c r="I1190" s="14"/>
      <c r="J1190" s="14"/>
      <c r="L1190" s="43"/>
      <c r="M1190" s="43"/>
      <c r="N1190" s="43"/>
      <c r="O1190" s="43"/>
      <c r="P1190" s="43"/>
      <c r="R1190" s="14"/>
      <c r="S1190" s="43"/>
      <c r="T1190" s="43"/>
      <c r="U1190" s="43"/>
      <c r="V1190" s="43"/>
      <c r="X1190" s="14"/>
      <c r="AC1190" s="14"/>
      <c r="AD1190" s="14"/>
      <c r="AE1190" s="14"/>
      <c r="AK1190" s="14"/>
      <c r="AL1190" s="43"/>
      <c r="AM1190" s="43"/>
      <c r="AN1190" s="43"/>
      <c r="AO1190" s="43"/>
      <c r="AP1190" s="14"/>
      <c r="AQ1190" s="14"/>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row>
    <row r="1191" spans="1:66" ht="12.75">
      <c r="B1191" s="66" t="s">
        <v>1459</v>
      </c>
      <c r="I1191" s="14"/>
      <c r="J1191" s="14"/>
      <c r="L1191" s="43"/>
      <c r="M1191" s="43"/>
      <c r="N1191" s="43"/>
      <c r="O1191" s="43"/>
      <c r="P1191" s="43"/>
      <c r="R1191" s="14"/>
      <c r="S1191" s="43"/>
      <c r="T1191" s="43"/>
      <c r="U1191" s="43"/>
      <c r="V1191" s="43"/>
      <c r="X1191" s="14"/>
      <c r="AC1191" s="14"/>
      <c r="AD1191" s="14"/>
      <c r="AE1191" s="14"/>
      <c r="AK1191" s="14"/>
      <c r="AL1191" s="43"/>
      <c r="AM1191" s="43"/>
      <c r="AN1191" s="43"/>
      <c r="AO1191" s="43"/>
      <c r="AP1191" s="14"/>
      <c r="AQ1191" s="14"/>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row>
    <row r="1192" spans="1:66" ht="12.75">
      <c r="B1192" s="14" t="s">
        <v>867</v>
      </c>
      <c r="I1192" s="14"/>
      <c r="J1192" s="14"/>
      <c r="L1192" s="43"/>
      <c r="M1192" s="43"/>
      <c r="N1192" s="43"/>
      <c r="O1192" s="43"/>
      <c r="P1192" s="43"/>
      <c r="R1192" s="14"/>
      <c r="S1192" s="43"/>
      <c r="T1192" s="43"/>
      <c r="U1192" s="43"/>
      <c r="V1192" s="43"/>
      <c r="X1192" s="14"/>
      <c r="AC1192" s="14"/>
      <c r="AD1192" s="14"/>
      <c r="AE1192" s="14"/>
      <c r="AK1192" s="14"/>
      <c r="AL1192" s="43"/>
      <c r="AM1192" s="43"/>
      <c r="AN1192" s="43"/>
      <c r="AO1192" s="43"/>
      <c r="AP1192" s="14"/>
      <c r="AQ1192" s="14"/>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row>
    <row r="1193" spans="1:66" ht="12.75">
      <c r="B1193" s="655" t="s">
        <v>1461</v>
      </c>
      <c r="I1193" s="14"/>
      <c r="J1193" s="14"/>
      <c r="L1193" s="43"/>
      <c r="M1193" s="43"/>
      <c r="N1193" s="43"/>
      <c r="O1193" s="43"/>
      <c r="P1193" s="43"/>
      <c r="R1193" s="14"/>
      <c r="S1193" s="43"/>
      <c r="T1193" s="43"/>
      <c r="U1193" s="43"/>
      <c r="V1193" s="43"/>
      <c r="X1193" s="14"/>
      <c r="AC1193" s="14"/>
      <c r="AD1193" s="14"/>
      <c r="AE1193" s="14"/>
      <c r="AK1193" s="14"/>
      <c r="AL1193" s="43"/>
      <c r="AM1193" s="43"/>
      <c r="AN1193" s="43"/>
      <c r="AO1193" s="43"/>
      <c r="AP1193" s="14"/>
      <c r="AQ1193" s="14"/>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row>
    <row r="1194" spans="1:66" ht="12.75">
      <c r="B1194" s="655" t="s">
        <v>1523</v>
      </c>
      <c r="I1194" s="14"/>
      <c r="J1194" s="14"/>
      <c r="L1194" s="43"/>
      <c r="M1194" s="43"/>
      <c r="N1194" s="43"/>
      <c r="O1194" s="43"/>
      <c r="P1194" s="43"/>
      <c r="R1194" s="14"/>
      <c r="S1194" s="43"/>
      <c r="T1194" s="43"/>
      <c r="U1194" s="43"/>
      <c r="V1194" s="43"/>
      <c r="X1194" s="14"/>
      <c r="AC1194" s="14"/>
      <c r="AD1194" s="14"/>
      <c r="AE1194" s="14"/>
      <c r="AK1194" s="14"/>
      <c r="AL1194" s="43"/>
      <c r="AM1194" s="43"/>
      <c r="AN1194" s="43"/>
      <c r="AO1194" s="43"/>
      <c r="AP1194" s="14"/>
      <c r="AQ1194" s="14"/>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row>
    <row r="1195" spans="1:66" ht="12.75">
      <c r="I1195" s="14"/>
      <c r="J1195" s="14"/>
      <c r="L1195" s="43"/>
      <c r="M1195" s="43"/>
      <c r="N1195" s="43"/>
      <c r="O1195" s="43"/>
      <c r="P1195" s="43"/>
      <c r="R1195" s="14"/>
      <c r="S1195" s="43"/>
      <c r="T1195" s="43"/>
      <c r="U1195" s="43"/>
      <c r="V1195" s="43"/>
      <c r="X1195" s="14"/>
      <c r="AC1195" s="14"/>
      <c r="AD1195" s="14"/>
      <c r="AE1195" s="14"/>
      <c r="AK1195" s="14"/>
      <c r="AL1195" s="43"/>
      <c r="AM1195" s="43"/>
      <c r="AN1195" s="43"/>
      <c r="AO1195" s="43"/>
      <c r="AP1195" s="14"/>
      <c r="AQ1195" s="14"/>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row>
    <row r="1196" spans="1:66" ht="12.75">
      <c r="I1196" s="14"/>
      <c r="J1196" s="14"/>
      <c r="L1196" s="43"/>
      <c r="M1196" s="43"/>
      <c r="N1196" s="43"/>
      <c r="O1196" s="43"/>
      <c r="P1196" s="43"/>
      <c r="R1196" s="14"/>
      <c r="S1196" s="43"/>
      <c r="T1196" s="43"/>
      <c r="U1196" s="43"/>
      <c r="V1196" s="43"/>
      <c r="X1196" s="14"/>
      <c r="AC1196" s="14"/>
      <c r="AD1196" s="14"/>
      <c r="AE1196" s="14"/>
      <c r="AK1196" s="14"/>
      <c r="AL1196" s="43"/>
      <c r="AM1196" s="43"/>
      <c r="AN1196" s="43"/>
      <c r="AO1196" s="43"/>
      <c r="AP1196" s="14"/>
      <c r="AQ1196" s="14"/>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row>
    <row r="1197" spans="1:66" s="92" customFormat="1" ht="60">
      <c r="A1197" s="52" t="s">
        <v>1533</v>
      </c>
      <c r="B1197" s="221" t="s">
        <v>732</v>
      </c>
      <c r="C1197" s="641" t="s">
        <v>533</v>
      </c>
      <c r="D1197" s="641" t="s">
        <v>543</v>
      </c>
      <c r="E1197" s="641" t="s">
        <v>522</v>
      </c>
      <c r="F1197" s="48" t="s">
        <v>535</v>
      </c>
      <c r="I1197" s="81"/>
      <c r="J1197" s="81"/>
      <c r="L1197" s="971"/>
      <c r="M1197" s="971"/>
      <c r="N1197" s="971"/>
      <c r="O1197" s="971"/>
      <c r="P1197" s="971"/>
      <c r="R1197" s="81"/>
      <c r="S1197" s="971"/>
      <c r="T1197" s="971"/>
      <c r="U1197" s="971"/>
      <c r="V1197" s="971"/>
      <c r="X1197" s="81"/>
      <c r="AC1197" s="81"/>
      <c r="AD1197" s="81"/>
      <c r="AE1197" s="81"/>
      <c r="AK1197" s="81"/>
      <c r="AL1197" s="971"/>
      <c r="AM1197" s="971"/>
      <c r="AN1197" s="971"/>
      <c r="AO1197" s="971"/>
      <c r="AP1197" s="81"/>
      <c r="AQ1197" s="81"/>
      <c r="AS1197" s="971"/>
      <c r="AT1197" s="971"/>
      <c r="AU1197" s="971"/>
      <c r="AV1197" s="971"/>
      <c r="AW1197" s="971"/>
      <c r="AX1197" s="971"/>
      <c r="AY1197" s="971"/>
      <c r="AZ1197" s="971"/>
      <c r="BA1197" s="971"/>
      <c r="BB1197" s="971"/>
      <c r="BC1197" s="971"/>
      <c r="BD1197" s="971"/>
      <c r="BE1197" s="971"/>
      <c r="BF1197" s="971"/>
      <c r="BG1197" s="971"/>
      <c r="BH1197" s="971"/>
      <c r="BI1197" s="971"/>
      <c r="BJ1197" s="971"/>
      <c r="BK1197" s="971"/>
      <c r="BL1197" s="971"/>
      <c r="BM1197" s="971"/>
      <c r="BN1197" s="971"/>
    </row>
    <row r="1198" spans="1:66" ht="12.75">
      <c r="A1198" s="62" t="s">
        <v>1534</v>
      </c>
      <c r="B1198" s="14">
        <v>16</v>
      </c>
      <c r="C1198">
        <f>0.12328163943506/100</f>
        <v>1.2328163943506E-3</v>
      </c>
      <c r="D1198">
        <f>1.38004246284501/100</f>
        <v>1.3800424628450101E-2</v>
      </c>
      <c r="E1198">
        <f>24/1000000/0.95</f>
        <v>2.5263157894736845E-5</v>
      </c>
      <c r="F1198" s="3">
        <f>0.16*0.00220462/0.95</f>
        <v>3.713044210526316E-4</v>
      </c>
      <c r="I1198" s="14"/>
      <c r="J1198" s="14"/>
      <c r="L1198" s="43"/>
      <c r="M1198" s="43"/>
      <c r="N1198" s="43"/>
      <c r="O1198" s="43"/>
      <c r="P1198" s="43"/>
      <c r="R1198" s="14"/>
      <c r="S1198" s="43"/>
      <c r="T1198" s="43"/>
      <c r="U1198" s="43"/>
      <c r="V1198" s="43"/>
      <c r="X1198" s="14"/>
      <c r="AC1198" s="14"/>
      <c r="AD1198" s="14"/>
      <c r="AE1198" s="14"/>
      <c r="AK1198" s="14"/>
      <c r="AL1198" s="43"/>
      <c r="AM1198" s="43"/>
      <c r="AN1198" s="43"/>
      <c r="AO1198" s="43"/>
      <c r="AP1198" s="14"/>
      <c r="AQ1198" s="14"/>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row>
    <row r="1199" spans="1:66" ht="12.75">
      <c r="A1199" s="62" t="s">
        <v>1535</v>
      </c>
      <c r="B1199" s="14">
        <v>20</v>
      </c>
      <c r="C1199">
        <f t="shared" ref="C1199:F1199" si="209">C1198*$B1199/$B1198</f>
        <v>1.54102049293825E-3</v>
      </c>
      <c r="D1199">
        <f t="shared" si="209"/>
        <v>1.7250530785562625E-2</v>
      </c>
      <c r="E1199">
        <f t="shared" si="209"/>
        <v>3.1578947368421058E-5</v>
      </c>
      <c r="F1199" s="3">
        <f t="shared" si="209"/>
        <v>4.641305263157895E-4</v>
      </c>
      <c r="I1199" s="14"/>
      <c r="J1199" s="14"/>
      <c r="L1199" s="43"/>
      <c r="M1199" s="43"/>
      <c r="N1199" s="43"/>
      <c r="O1199" s="43"/>
      <c r="P1199" s="43"/>
      <c r="R1199" s="14"/>
      <c r="S1199" s="43"/>
      <c r="T1199" s="43"/>
      <c r="U1199" s="43"/>
      <c r="V1199" s="43"/>
      <c r="X1199" s="14"/>
      <c r="AC1199" s="14"/>
      <c r="AD1199" s="14"/>
      <c r="AE1199" s="14"/>
      <c r="AK1199" s="14"/>
      <c r="AL1199" s="43"/>
      <c r="AM1199" s="43"/>
      <c r="AN1199" s="43"/>
      <c r="AO1199" s="43"/>
      <c r="AP1199" s="14"/>
      <c r="AQ1199" s="14"/>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row>
    <row r="1200" spans="1:66" ht="12.75">
      <c r="A1200" s="62" t="s">
        <v>1536</v>
      </c>
      <c r="B1200" s="14">
        <v>34</v>
      </c>
      <c r="C1200">
        <f>0.0841531190926276/100</f>
        <v>8.4153119092627595E-4</v>
      </c>
      <c r="D1200">
        <f>0.882167611846251/100</f>
        <v>8.8216761184625112E-3</v>
      </c>
      <c r="E1200">
        <f>24/1000000/(AVERAGE(78,52,66))</f>
        <v>3.6734693877551025E-7</v>
      </c>
      <c r="F1200" s="3">
        <f>0.14*0.00220462/(AVERAGE(78,52,66))</f>
        <v>4.7241857142857153E-6</v>
      </c>
      <c r="I1200" s="14"/>
      <c r="J1200" s="14"/>
      <c r="L1200" s="43"/>
      <c r="M1200" s="43"/>
      <c r="N1200" s="43"/>
      <c r="O1200" s="43"/>
      <c r="P1200" s="43"/>
      <c r="R1200" s="14"/>
      <c r="S1200" s="43"/>
      <c r="T1200" s="43"/>
      <c r="U1200" s="43"/>
      <c r="V1200" s="43"/>
      <c r="X1200" s="14"/>
      <c r="AC1200" s="14"/>
      <c r="AD1200" s="14"/>
      <c r="AE1200" s="14"/>
      <c r="AK1200" s="14"/>
      <c r="AL1200" s="43"/>
      <c r="AM1200" s="43"/>
      <c r="AN1200" s="43"/>
      <c r="AO1200" s="43"/>
      <c r="AP1200" s="14"/>
      <c r="AQ1200" s="14"/>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row>
    <row r="1201" spans="1:66" ht="12.75">
      <c r="A1201" s="63" t="s">
        <v>1537</v>
      </c>
      <c r="B1201" s="617">
        <v>37</v>
      </c>
      <c r="C1201" s="617">
        <f t="shared" ref="C1201:F1201" si="210">C1200*$B1201/$B1200</f>
        <v>9.1578394306682969E-4</v>
      </c>
      <c r="D1201" s="617">
        <f t="shared" si="210"/>
        <v>9.6000593053856727E-3</v>
      </c>
      <c r="E1201" s="617">
        <f t="shared" si="210"/>
        <v>3.9975990396158467E-7</v>
      </c>
      <c r="F1201" s="5">
        <f t="shared" si="210"/>
        <v>5.141025630252102E-6</v>
      </c>
      <c r="I1201" s="14"/>
      <c r="J1201" s="14"/>
      <c r="L1201" s="43"/>
      <c r="M1201" s="43"/>
      <c r="N1201" s="43"/>
      <c r="O1201" s="43"/>
      <c r="P1201" s="43"/>
      <c r="R1201" s="14"/>
      <c r="S1201" s="43"/>
      <c r="T1201" s="43"/>
      <c r="U1201" s="43"/>
      <c r="V1201" s="43"/>
      <c r="X1201" s="14"/>
      <c r="AC1201" s="14"/>
      <c r="AD1201" s="14"/>
      <c r="AE1201" s="14"/>
      <c r="AK1201" s="14"/>
      <c r="AL1201" s="43"/>
      <c r="AM1201" s="43"/>
      <c r="AN1201" s="43"/>
      <c r="AO1201" s="43"/>
      <c r="AP1201" s="14"/>
      <c r="AQ1201" s="14"/>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row>
    <row r="1202" spans="1:66" ht="12.75">
      <c r="A1202" s="14" t="s">
        <v>1492</v>
      </c>
      <c r="B1202" s="14" t="s">
        <v>570</v>
      </c>
      <c r="I1202" s="14"/>
      <c r="J1202" s="14"/>
      <c r="L1202" s="43"/>
      <c r="M1202" s="43"/>
      <c r="N1202" s="43"/>
      <c r="O1202" s="43"/>
      <c r="P1202" s="43"/>
      <c r="R1202" s="14"/>
      <c r="S1202" s="43"/>
      <c r="T1202" s="43"/>
      <c r="U1202" s="43"/>
      <c r="V1202" s="43"/>
      <c r="X1202" s="14"/>
      <c r="AC1202" s="14"/>
      <c r="AD1202" s="14"/>
      <c r="AE1202" s="14"/>
      <c r="AK1202" s="14"/>
      <c r="AL1202" s="43"/>
      <c r="AM1202" s="43"/>
      <c r="AN1202" s="43"/>
      <c r="AO1202" s="43"/>
      <c r="AP1202" s="14"/>
      <c r="AQ1202" s="14"/>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row>
    <row r="1203" spans="1:66" ht="12.75">
      <c r="B1203" s="66" t="s">
        <v>1459</v>
      </c>
      <c r="I1203" s="14"/>
      <c r="J1203" s="14"/>
      <c r="L1203" s="43"/>
      <c r="M1203" s="43"/>
      <c r="N1203" s="43"/>
      <c r="O1203" s="43"/>
      <c r="P1203" s="43"/>
      <c r="R1203" s="14"/>
      <c r="S1203" s="43"/>
      <c r="T1203" s="43"/>
      <c r="U1203" s="43"/>
      <c r="V1203" s="43"/>
      <c r="X1203" s="14"/>
      <c r="AC1203" s="14"/>
      <c r="AD1203" s="14"/>
      <c r="AE1203" s="14"/>
      <c r="AK1203" s="14"/>
      <c r="AL1203" s="43"/>
      <c r="AM1203" s="43"/>
      <c r="AN1203" s="43"/>
      <c r="AO1203" s="43"/>
      <c r="AP1203" s="14"/>
      <c r="AQ1203" s="14"/>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row>
    <row r="1204" spans="1:66" ht="12.75">
      <c r="B1204" s="14" t="s">
        <v>867</v>
      </c>
      <c r="I1204" s="14"/>
      <c r="J1204" s="14"/>
      <c r="L1204" s="43"/>
      <c r="M1204" s="43"/>
      <c r="N1204" s="43"/>
      <c r="O1204" s="43"/>
      <c r="P1204" s="43"/>
      <c r="R1204" s="14"/>
      <c r="S1204" s="43"/>
      <c r="T1204" s="43"/>
      <c r="U1204" s="43"/>
      <c r="V1204" s="43"/>
      <c r="X1204" s="14"/>
      <c r="AC1204" s="14"/>
      <c r="AD1204" s="14"/>
      <c r="AE1204" s="14"/>
      <c r="AK1204" s="14"/>
      <c r="AL1204" s="43"/>
      <c r="AM1204" s="43"/>
      <c r="AN1204" s="43"/>
      <c r="AO1204" s="43"/>
      <c r="AP1204" s="14"/>
      <c r="AQ1204" s="14"/>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row>
    <row r="1205" spans="1:66" ht="12.75">
      <c r="B1205" s="655" t="s">
        <v>1461</v>
      </c>
      <c r="I1205" s="14"/>
      <c r="J1205" s="14"/>
      <c r="L1205" s="43"/>
      <c r="M1205" s="43"/>
      <c r="N1205" s="43"/>
      <c r="O1205" s="43"/>
      <c r="P1205" s="43"/>
      <c r="R1205" s="14"/>
      <c r="S1205" s="43"/>
      <c r="T1205" s="43"/>
      <c r="U1205" s="43"/>
      <c r="V1205" s="43"/>
      <c r="X1205" s="14"/>
      <c r="AC1205" s="14"/>
      <c r="AD1205" s="14"/>
      <c r="AE1205" s="14"/>
      <c r="AK1205" s="14"/>
      <c r="AL1205" s="43"/>
      <c r="AM1205" s="43"/>
      <c r="AN1205" s="43"/>
      <c r="AO1205" s="43"/>
      <c r="AP1205" s="14"/>
      <c r="AQ1205" s="14"/>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row>
    <row r="1206" spans="1:66" ht="12.75">
      <c r="B1206" s="655" t="s">
        <v>1523</v>
      </c>
      <c r="I1206" s="14"/>
      <c r="J1206" s="14"/>
      <c r="L1206" s="43"/>
      <c r="M1206" s="43"/>
      <c r="N1206" s="43"/>
      <c r="O1206" s="43"/>
      <c r="P1206" s="43"/>
      <c r="R1206" s="14"/>
      <c r="S1206" s="43"/>
      <c r="T1206" s="43"/>
      <c r="U1206" s="43"/>
      <c r="V1206" s="43"/>
      <c r="X1206" s="14"/>
      <c r="AC1206" s="14"/>
      <c r="AD1206" s="14"/>
      <c r="AE1206" s="14"/>
      <c r="AK1206" s="14"/>
      <c r="AL1206" s="43"/>
      <c r="AM1206" s="43"/>
      <c r="AN1206" s="43"/>
      <c r="AO1206" s="43"/>
      <c r="AP1206" s="14"/>
      <c r="AQ1206" s="14"/>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row>
    <row r="1207" spans="1:66" ht="12.75">
      <c r="I1207" s="14"/>
      <c r="J1207" s="14"/>
      <c r="L1207" s="43"/>
      <c r="M1207" s="43"/>
      <c r="N1207" s="43"/>
      <c r="O1207" s="43"/>
      <c r="P1207" s="43"/>
      <c r="R1207" s="14"/>
      <c r="S1207" s="43"/>
      <c r="T1207" s="43"/>
      <c r="U1207" s="43"/>
      <c r="V1207" s="43"/>
      <c r="X1207" s="14"/>
      <c r="AC1207" s="14"/>
      <c r="AD1207" s="14"/>
      <c r="AE1207" s="14"/>
      <c r="AK1207" s="14"/>
      <c r="AL1207" s="43"/>
      <c r="AM1207" s="43"/>
      <c r="AN1207" s="43"/>
      <c r="AO1207" s="43"/>
      <c r="AP1207" s="14"/>
      <c r="AQ1207" s="14"/>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row>
    <row r="1208" spans="1:66">
      <c r="A1208" s="314"/>
      <c r="B1208" s="64"/>
      <c r="C1208" s="64"/>
      <c r="D1208" s="64"/>
      <c r="E1208" s="64"/>
      <c r="I1208" s="14"/>
      <c r="J1208" s="14"/>
      <c r="L1208" s="43"/>
      <c r="M1208" s="43"/>
      <c r="N1208" s="43"/>
      <c r="O1208" s="43"/>
      <c r="P1208" s="43"/>
      <c r="R1208" s="14"/>
      <c r="S1208" s="43"/>
      <c r="T1208" s="43"/>
      <c r="U1208" s="43"/>
      <c r="V1208" s="43"/>
      <c r="X1208" s="14"/>
      <c r="AC1208" s="14"/>
      <c r="AD1208" s="14"/>
      <c r="AE1208" s="14"/>
      <c r="AK1208" s="14"/>
      <c r="AL1208" s="43"/>
      <c r="AM1208" s="43"/>
      <c r="AN1208" s="43"/>
      <c r="AO1208" s="43"/>
      <c r="AP1208" s="14"/>
      <c r="AQ1208" s="14"/>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row>
    <row r="1209" spans="1:66" s="92" customFormat="1" ht="38.25">
      <c r="A1209" s="742" t="s">
        <v>1538</v>
      </c>
      <c r="B1209" s="307" t="s">
        <v>732</v>
      </c>
      <c r="C1209" s="307" t="s">
        <v>1539</v>
      </c>
      <c r="D1209" s="307" t="s">
        <v>1540</v>
      </c>
      <c r="E1209" s="307" t="s">
        <v>1541</v>
      </c>
      <c r="F1209" s="354" t="s">
        <v>809</v>
      </c>
      <c r="G1209" s="355" t="s">
        <v>1542</v>
      </c>
      <c r="H1209" s="81"/>
      <c r="I1209" s="81"/>
      <c r="J1209" s="81"/>
      <c r="L1209" s="971"/>
      <c r="M1209" s="971"/>
      <c r="N1209" s="971"/>
      <c r="O1209" s="971"/>
      <c r="P1209" s="971"/>
      <c r="R1209" s="81"/>
      <c r="S1209" s="971"/>
      <c r="T1209" s="971"/>
      <c r="U1209" s="971"/>
      <c r="V1209" s="971"/>
      <c r="X1209" s="81"/>
      <c r="AC1209" s="81"/>
      <c r="AD1209" s="81"/>
      <c r="AE1209" s="81"/>
      <c r="AK1209" s="81"/>
      <c r="AL1209" s="971"/>
      <c r="AM1209" s="971"/>
      <c r="AN1209" s="971"/>
      <c r="AO1209" s="971"/>
      <c r="AP1209" s="81"/>
      <c r="AQ1209" s="81"/>
      <c r="AS1209" s="971"/>
      <c r="AT1209" s="971"/>
      <c r="AU1209" s="971"/>
      <c r="AV1209" s="971"/>
      <c r="AW1209" s="971"/>
      <c r="AX1209" s="971"/>
      <c r="AY1209" s="971"/>
      <c r="AZ1209" s="971"/>
      <c r="BA1209" s="971"/>
      <c r="BB1209" s="971"/>
      <c r="BC1209" s="971"/>
      <c r="BD1209" s="971"/>
      <c r="BE1209" s="971"/>
      <c r="BF1209" s="971"/>
      <c r="BG1209" s="971"/>
      <c r="BH1209" s="971"/>
      <c r="BI1209" s="971"/>
      <c r="BJ1209" s="971"/>
      <c r="BK1209" s="971"/>
      <c r="BL1209" s="971"/>
      <c r="BM1209" s="971"/>
      <c r="BN1209" s="971"/>
    </row>
    <row r="1210" spans="1:66" ht="12.75">
      <c r="A1210" s="274" t="s">
        <v>1543</v>
      </c>
      <c r="B1210" s="14">
        <v>86</v>
      </c>
      <c r="D1210">
        <f>5/1000000</f>
        <v>5.0000000000000004E-6</v>
      </c>
      <c r="E1210" s="14"/>
      <c r="F1210">
        <f>0.19*0.00220462</f>
        <v>4.1887780000000001E-4</v>
      </c>
      <c r="G1210" s="175"/>
      <c r="H1210" s="14"/>
      <c r="I1210" s="14"/>
      <c r="J1210" s="14"/>
      <c r="L1210" s="43"/>
      <c r="M1210" s="43"/>
      <c r="N1210" s="43"/>
      <c r="O1210" s="43"/>
      <c r="P1210" s="43"/>
      <c r="R1210" s="14"/>
      <c r="S1210" s="43"/>
      <c r="T1210" s="43"/>
      <c r="U1210" s="43"/>
      <c r="V1210" s="43"/>
      <c r="X1210" s="14"/>
      <c r="AC1210" s="14"/>
      <c r="AD1210" s="14"/>
      <c r="AE1210" s="14"/>
      <c r="AK1210" s="14"/>
      <c r="AL1210" s="43"/>
      <c r="AM1210" s="43"/>
      <c r="AN1210" s="43"/>
      <c r="AO1210" s="43"/>
      <c r="AP1210" s="14"/>
      <c r="AQ1210" s="14"/>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row>
    <row r="1211" spans="1:66" ht="12.75">
      <c r="A1211" s="274" t="s">
        <v>1544</v>
      </c>
      <c r="B1211" s="14">
        <v>90</v>
      </c>
      <c r="C1211" s="478">
        <v>0.77</v>
      </c>
      <c r="D1211" s="14">
        <f>D1210*B1211/B1210</f>
        <v>5.2325581395348839E-6</v>
      </c>
      <c r="E1211" s="14"/>
      <c r="F1211" s="14">
        <f>F1210*B1211/B1210</f>
        <v>4.3836048837209303E-4</v>
      </c>
      <c r="G1211" s="175"/>
      <c r="H1211" s="478"/>
      <c r="I1211" s="14"/>
      <c r="J1211" s="14"/>
      <c r="L1211" s="43"/>
      <c r="M1211" s="43"/>
      <c r="N1211" s="43"/>
      <c r="O1211" s="43"/>
      <c r="P1211" s="43"/>
      <c r="R1211" s="14"/>
      <c r="S1211" s="43"/>
      <c r="T1211" s="43"/>
      <c r="U1211" s="43"/>
      <c r="V1211" s="43"/>
      <c r="X1211" s="14"/>
      <c r="AC1211" s="14"/>
      <c r="AD1211" s="14"/>
      <c r="AE1211" s="14"/>
      <c r="AK1211" s="14"/>
      <c r="AL1211" s="43"/>
      <c r="AM1211" s="43"/>
      <c r="AN1211" s="43"/>
      <c r="AO1211" s="43"/>
      <c r="AP1211" s="14"/>
      <c r="AQ1211" s="14"/>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row>
    <row r="1212" spans="1:66" ht="12.75">
      <c r="A1212" s="274" t="s">
        <v>1545</v>
      </c>
      <c r="B1212" s="92">
        <v>108</v>
      </c>
      <c r="C1212" s="478">
        <v>0.23</v>
      </c>
      <c r="D1212" s="92">
        <f>D1210*B1212/B1210</f>
        <v>6.2790697674418605E-6</v>
      </c>
      <c r="E1212" s="92">
        <f>(0.77*D1211)+(0.23*D1212)</f>
        <v>5.4732558139534892E-6</v>
      </c>
      <c r="F1212" s="92">
        <f>F1210*B1212/B1210</f>
        <v>5.2603258604651162E-4</v>
      </c>
      <c r="G1212" s="356">
        <f>(0.77*F1211)+(0.23*F1212)</f>
        <v>4.5852507083720935E-4</v>
      </c>
      <c r="H1212" s="478"/>
      <c r="I1212" s="14"/>
      <c r="J1212" s="14"/>
      <c r="L1212" s="43"/>
      <c r="M1212" s="43"/>
      <c r="N1212" s="43"/>
      <c r="O1212" s="43"/>
      <c r="P1212" s="43"/>
      <c r="R1212" s="14"/>
      <c r="S1212" s="43"/>
      <c r="T1212" s="43"/>
      <c r="U1212" s="43"/>
      <c r="V1212" s="43"/>
      <c r="X1212" s="14"/>
      <c r="AC1212" s="14"/>
      <c r="AD1212" s="14"/>
      <c r="AE1212" s="14"/>
      <c r="AK1212" s="14"/>
      <c r="AL1212" s="43"/>
      <c r="AM1212" s="43"/>
      <c r="AN1212" s="43"/>
      <c r="AO1212" s="43"/>
      <c r="AP1212" s="14"/>
      <c r="AQ1212" s="14"/>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row>
    <row r="1213" spans="1:66" s="92" customFormat="1" ht="60">
      <c r="A1213" s="52" t="s">
        <v>1546</v>
      </c>
      <c r="B1213" s="221" t="s">
        <v>732</v>
      </c>
      <c r="C1213" s="641" t="s">
        <v>533</v>
      </c>
      <c r="D1213" s="641" t="s">
        <v>543</v>
      </c>
      <c r="E1213" s="641" t="s">
        <v>522</v>
      </c>
      <c r="F1213" s="48" t="s">
        <v>535</v>
      </c>
      <c r="I1213" s="81"/>
      <c r="J1213" s="81"/>
      <c r="L1213" s="971"/>
      <c r="M1213" s="971"/>
      <c r="N1213" s="971"/>
      <c r="O1213" s="971"/>
      <c r="P1213" s="971"/>
      <c r="R1213" s="81"/>
      <c r="S1213" s="971"/>
      <c r="T1213" s="971"/>
      <c r="U1213" s="971"/>
      <c r="V1213" s="971"/>
      <c r="X1213" s="81"/>
      <c r="AC1213" s="81"/>
      <c r="AD1213" s="81"/>
      <c r="AE1213" s="81"/>
      <c r="AK1213" s="81"/>
      <c r="AL1213" s="971"/>
      <c r="AM1213" s="971"/>
      <c r="AN1213" s="971"/>
      <c r="AO1213" s="971"/>
      <c r="AP1213" s="81"/>
      <c r="AQ1213" s="81"/>
      <c r="AS1213" s="971"/>
      <c r="AT1213" s="971"/>
      <c r="AU1213" s="971"/>
      <c r="AV1213" s="971"/>
      <c r="AW1213" s="971"/>
      <c r="AX1213" s="971"/>
      <c r="AY1213" s="971"/>
      <c r="AZ1213" s="971"/>
      <c r="BA1213" s="971"/>
      <c r="BB1213" s="971"/>
      <c r="BC1213" s="971"/>
      <c r="BD1213" s="971"/>
      <c r="BE1213" s="971"/>
      <c r="BF1213" s="971"/>
      <c r="BG1213" s="971"/>
      <c r="BH1213" s="971"/>
      <c r="BI1213" s="971"/>
      <c r="BJ1213" s="971"/>
      <c r="BK1213" s="971"/>
      <c r="BL1213" s="971"/>
      <c r="BM1213" s="971"/>
      <c r="BN1213" s="971"/>
    </row>
    <row r="1214" spans="1:66" ht="12.75">
      <c r="A1214" s="62" t="s">
        <v>1543</v>
      </c>
      <c r="B1214" s="14">
        <v>86</v>
      </c>
      <c r="C1214">
        <f>0.22840944073884/100</f>
        <v>2.2840944073883999E-3</v>
      </c>
      <c r="D1214">
        <f>1.53925089789636/100</f>
        <v>1.5392508978963599E-2</v>
      </c>
      <c r="E1214">
        <f>5/1000000</f>
        <v>5.0000000000000004E-6</v>
      </c>
      <c r="F1214" s="3">
        <f>0.19*0.00220462</f>
        <v>4.1887780000000001E-4</v>
      </c>
      <c r="I1214" s="14"/>
      <c r="J1214" s="14"/>
      <c r="L1214" s="43"/>
      <c r="M1214" s="43"/>
      <c r="N1214" s="43"/>
      <c r="O1214" s="43"/>
      <c r="P1214" s="43"/>
      <c r="R1214" s="14"/>
      <c r="S1214" s="43"/>
      <c r="T1214" s="43"/>
      <c r="U1214" s="43"/>
      <c r="V1214" s="43"/>
      <c r="X1214" s="14"/>
      <c r="AC1214" s="14"/>
      <c r="AD1214" s="14"/>
      <c r="AE1214" s="14"/>
      <c r="AK1214" s="14"/>
      <c r="AL1214" s="43"/>
      <c r="AM1214" s="43"/>
      <c r="AN1214" s="43"/>
      <c r="AO1214" s="43"/>
      <c r="AP1214" s="14"/>
      <c r="AQ1214" s="14"/>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row>
    <row r="1215" spans="1:66" ht="12.75">
      <c r="A1215" s="63" t="s">
        <v>1547</v>
      </c>
      <c r="B1215" s="617">
        <v>90</v>
      </c>
      <c r="C1215" s="617">
        <f t="shared" ref="C1215:D1215" si="211">C1214*$B1215/$B1214</f>
        <v>2.3903313565692558E-3</v>
      </c>
      <c r="D1215" s="617">
        <f t="shared" si="211"/>
        <v>1.6108439629147951E-2</v>
      </c>
      <c r="E1215" s="617">
        <f>E1212</f>
        <v>5.4732558139534892E-6</v>
      </c>
      <c r="F1215" s="5">
        <f>G1212</f>
        <v>4.5852507083720935E-4</v>
      </c>
      <c r="I1215" s="14"/>
      <c r="J1215" s="14"/>
      <c r="L1215" s="43"/>
      <c r="M1215" s="43"/>
      <c r="N1215" s="43"/>
      <c r="O1215" s="43"/>
      <c r="P1215" s="43"/>
      <c r="R1215" s="14"/>
      <c r="S1215" s="43"/>
      <c r="T1215" s="43"/>
      <c r="U1215" s="43"/>
      <c r="V1215" s="43"/>
      <c r="X1215" s="14"/>
      <c r="AC1215" s="14"/>
      <c r="AD1215" s="14"/>
      <c r="AE1215" s="14"/>
      <c r="AK1215" s="14"/>
      <c r="AL1215" s="43"/>
      <c r="AM1215" s="43"/>
      <c r="AN1215" s="43"/>
      <c r="AO1215" s="43"/>
      <c r="AP1215" s="14"/>
      <c r="AQ1215" s="14"/>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row>
    <row r="1216" spans="1:66" ht="12.75">
      <c r="A1216" s="14" t="s">
        <v>1492</v>
      </c>
      <c r="B1216" s="14" t="s">
        <v>570</v>
      </c>
      <c r="C1216" s="92"/>
      <c r="D1216" s="92"/>
      <c r="E1216" s="92"/>
      <c r="F1216" s="92"/>
      <c r="I1216" s="14"/>
      <c r="J1216" s="14"/>
      <c r="L1216" s="43"/>
      <c r="M1216" s="43"/>
      <c r="N1216" s="43"/>
      <c r="O1216" s="43"/>
      <c r="P1216" s="43"/>
      <c r="R1216" s="14"/>
      <c r="S1216" s="43"/>
      <c r="T1216" s="43"/>
      <c r="U1216" s="43"/>
      <c r="V1216" s="43"/>
      <c r="X1216" s="14"/>
      <c r="AC1216" s="14"/>
      <c r="AD1216" s="14"/>
      <c r="AE1216" s="14"/>
      <c r="AK1216" s="14"/>
      <c r="AL1216" s="43"/>
      <c r="AM1216" s="43"/>
      <c r="AN1216" s="43"/>
      <c r="AO1216" s="43"/>
      <c r="AP1216" s="14"/>
      <c r="AQ1216" s="14"/>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row>
    <row r="1217" spans="1:66" ht="12.75">
      <c r="A1217" s="14"/>
      <c r="B1217" s="66" t="s">
        <v>1459</v>
      </c>
      <c r="C1217" s="92"/>
      <c r="D1217" s="92"/>
      <c r="E1217" s="92"/>
      <c r="F1217" s="92"/>
      <c r="I1217" s="14"/>
      <c r="J1217" s="14"/>
      <c r="L1217" s="43"/>
      <c r="M1217" s="43"/>
      <c r="N1217" s="43"/>
      <c r="O1217" s="43"/>
      <c r="P1217" s="43"/>
      <c r="R1217" s="14"/>
      <c r="S1217" s="43"/>
      <c r="T1217" s="43"/>
      <c r="U1217" s="43"/>
      <c r="V1217" s="43"/>
      <c r="X1217" s="14"/>
      <c r="AC1217" s="14"/>
      <c r="AD1217" s="14"/>
      <c r="AE1217" s="14"/>
      <c r="AK1217" s="14"/>
      <c r="AL1217" s="43"/>
      <c r="AM1217" s="43"/>
      <c r="AN1217" s="43"/>
      <c r="AO1217" s="43"/>
      <c r="AP1217" s="14"/>
      <c r="AQ1217" s="14"/>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row>
    <row r="1218" spans="1:66" ht="12.75">
      <c r="A1218" s="14"/>
      <c r="B1218" s="14" t="s">
        <v>867</v>
      </c>
      <c r="C1218" s="92"/>
      <c r="D1218" s="92"/>
      <c r="E1218" s="92"/>
      <c r="F1218" s="92"/>
      <c r="I1218" s="14"/>
      <c r="J1218" s="14"/>
      <c r="L1218" s="43"/>
      <c r="M1218" s="43"/>
      <c r="N1218" s="43"/>
      <c r="O1218" s="43"/>
      <c r="P1218" s="43"/>
      <c r="R1218" s="14"/>
      <c r="S1218" s="43"/>
      <c r="T1218" s="43"/>
      <c r="U1218" s="43"/>
      <c r="V1218" s="43"/>
      <c r="X1218" s="14"/>
      <c r="AC1218" s="14"/>
      <c r="AD1218" s="14"/>
      <c r="AE1218" s="14"/>
      <c r="AK1218" s="14"/>
      <c r="AL1218" s="43"/>
      <c r="AM1218" s="43"/>
      <c r="AN1218" s="43"/>
      <c r="AO1218" s="43"/>
      <c r="AP1218" s="14"/>
      <c r="AQ1218" s="14"/>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row>
    <row r="1219" spans="1:66">
      <c r="A1219" s="314"/>
      <c r="B1219" s="655" t="s">
        <v>1523</v>
      </c>
      <c r="C1219" s="64"/>
      <c r="D1219" s="64"/>
      <c r="E1219" s="64"/>
      <c r="I1219" s="14"/>
      <c r="J1219" s="14"/>
      <c r="L1219" s="43"/>
      <c r="M1219" s="43"/>
      <c r="N1219" s="43"/>
      <c r="O1219" s="43"/>
      <c r="P1219" s="43"/>
      <c r="R1219" s="14"/>
      <c r="S1219" s="43"/>
      <c r="T1219" s="43"/>
      <c r="U1219" s="43"/>
      <c r="V1219" s="43"/>
      <c r="X1219" s="14"/>
      <c r="AC1219" s="14"/>
      <c r="AD1219" s="14"/>
      <c r="AE1219" s="14"/>
      <c r="AK1219" s="14"/>
      <c r="AL1219" s="43"/>
      <c r="AM1219" s="43"/>
      <c r="AN1219" s="43"/>
      <c r="AO1219" s="43"/>
      <c r="AP1219" s="14"/>
      <c r="AQ1219" s="14"/>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row>
    <row r="1220" spans="1:66">
      <c r="A1220" s="314"/>
      <c r="C1220" s="64"/>
      <c r="D1220" s="64"/>
      <c r="E1220" s="64"/>
      <c r="I1220" s="14"/>
      <c r="J1220" s="14"/>
      <c r="L1220" s="43"/>
      <c r="M1220" s="43"/>
      <c r="N1220" s="43"/>
      <c r="O1220" s="43"/>
      <c r="P1220" s="43"/>
      <c r="R1220" s="14"/>
      <c r="S1220" s="43"/>
      <c r="T1220" s="43"/>
      <c r="U1220" s="43"/>
      <c r="V1220" s="43"/>
      <c r="X1220" s="14"/>
      <c r="AC1220" s="14"/>
      <c r="AD1220" s="14"/>
      <c r="AE1220" s="14"/>
      <c r="AK1220" s="14"/>
      <c r="AL1220" s="43"/>
      <c r="AM1220" s="43"/>
      <c r="AN1220" s="43"/>
      <c r="AO1220" s="43"/>
      <c r="AP1220" s="14"/>
      <c r="AQ1220" s="14"/>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row>
    <row r="1221" spans="1:66">
      <c r="A1221" s="314"/>
      <c r="B1221" s="64"/>
      <c r="C1221" s="64"/>
      <c r="D1221" s="64"/>
      <c r="E1221" s="64"/>
      <c r="I1221" s="14"/>
      <c r="J1221" s="14"/>
      <c r="L1221" s="43"/>
      <c r="M1221" s="43"/>
      <c r="N1221" s="43"/>
      <c r="O1221" s="43"/>
      <c r="P1221" s="43"/>
      <c r="R1221" s="14"/>
      <c r="S1221" s="43"/>
      <c r="T1221" s="43"/>
      <c r="U1221" s="43"/>
      <c r="V1221" s="43"/>
      <c r="X1221" s="14"/>
      <c r="AC1221" s="14"/>
      <c r="AD1221" s="14"/>
      <c r="AE1221" s="14"/>
      <c r="AK1221" s="14"/>
      <c r="AL1221" s="43"/>
      <c r="AM1221" s="43"/>
      <c r="AN1221" s="43"/>
      <c r="AO1221" s="43"/>
      <c r="AP1221" s="14"/>
      <c r="AQ1221" s="14"/>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row>
    <row r="1222" spans="1:66" s="92" customFormat="1" ht="60">
      <c r="A1222" s="52" t="s">
        <v>1548</v>
      </c>
      <c r="B1222" s="641" t="s">
        <v>533</v>
      </c>
      <c r="C1222" s="641" t="s">
        <v>543</v>
      </c>
      <c r="D1222" s="641" t="s">
        <v>603</v>
      </c>
      <c r="E1222" s="48" t="s">
        <v>535</v>
      </c>
      <c r="I1222" s="81"/>
      <c r="J1222" s="81"/>
      <c r="L1222" s="971"/>
      <c r="M1222" s="971"/>
      <c r="N1222" s="971"/>
      <c r="O1222" s="971"/>
      <c r="P1222" s="971"/>
      <c r="R1222" s="81"/>
      <c r="S1222" s="971"/>
      <c r="T1222" s="971"/>
      <c r="U1222" s="971"/>
      <c r="V1222" s="971"/>
      <c r="X1222" s="81"/>
      <c r="AC1222" s="81"/>
      <c r="AD1222" s="81"/>
      <c r="AE1222" s="81"/>
      <c r="AK1222" s="81"/>
      <c r="AL1222" s="971"/>
      <c r="AM1222" s="971"/>
      <c r="AN1222" s="971"/>
      <c r="AO1222" s="971"/>
      <c r="AP1222" s="81"/>
      <c r="AQ1222" s="81"/>
      <c r="AS1222" s="971"/>
      <c r="AT1222" s="971"/>
      <c r="AU1222" s="971"/>
      <c r="AV1222" s="971"/>
      <c r="AW1222" s="971"/>
      <c r="AX1222" s="971"/>
      <c r="AY1222" s="971"/>
      <c r="AZ1222" s="971"/>
      <c r="BA1222" s="971"/>
      <c r="BB1222" s="971"/>
      <c r="BC1222" s="971"/>
      <c r="BD1222" s="971"/>
      <c r="BE1222" s="971"/>
      <c r="BF1222" s="971"/>
      <c r="BG1222" s="971"/>
      <c r="BH1222" s="971"/>
      <c r="BI1222" s="971"/>
      <c r="BJ1222" s="971"/>
      <c r="BK1222" s="971"/>
      <c r="BL1222" s="971"/>
      <c r="BM1222" s="971"/>
      <c r="BN1222" s="971"/>
    </row>
    <row r="1223" spans="1:66" ht="12.75">
      <c r="A1223" s="201"/>
      <c r="B1223" s="617">
        <f>0.0480570576170054/100</f>
        <v>4.8057057617005398E-4</v>
      </c>
      <c r="C1223" s="617">
        <f>0.987762151976997/100</f>
        <v>9.8776215197699697E-3</v>
      </c>
      <c r="D1223" s="617">
        <f>63/1000000</f>
        <v>6.3E-5</v>
      </c>
      <c r="E1223" s="5">
        <f>0.11*0.00220462</f>
        <v>2.4250819999999999E-4</v>
      </c>
      <c r="I1223" s="14"/>
      <c r="J1223" s="14"/>
      <c r="L1223" s="43"/>
      <c r="M1223" s="43"/>
      <c r="N1223" s="43"/>
      <c r="O1223" s="43"/>
      <c r="P1223" s="43"/>
      <c r="R1223" s="14"/>
      <c r="S1223" s="43"/>
      <c r="T1223" s="43"/>
      <c r="U1223" s="43"/>
      <c r="V1223" s="43"/>
      <c r="X1223" s="14"/>
      <c r="AC1223" s="14"/>
      <c r="AD1223" s="14"/>
      <c r="AE1223" s="14"/>
      <c r="AK1223" s="14"/>
      <c r="AL1223" s="43"/>
      <c r="AM1223" s="43"/>
      <c r="AN1223" s="43"/>
      <c r="AO1223" s="43"/>
      <c r="AP1223" s="14"/>
      <c r="AQ1223" s="14"/>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row>
    <row r="1224" spans="1:66" ht="12.75">
      <c r="A1224" s="14" t="s">
        <v>538</v>
      </c>
      <c r="B1224" s="14" t="s">
        <v>570</v>
      </c>
      <c r="C1224" s="14"/>
      <c r="I1224" s="14"/>
      <c r="J1224" s="14"/>
      <c r="L1224" s="43"/>
      <c r="M1224" s="43"/>
      <c r="N1224" s="43"/>
      <c r="O1224" s="43"/>
      <c r="P1224" s="43"/>
      <c r="R1224" s="14"/>
      <c r="S1224" s="43"/>
      <c r="T1224" s="43"/>
      <c r="U1224" s="43"/>
      <c r="V1224" s="43"/>
      <c r="X1224" s="14"/>
      <c r="AC1224" s="14"/>
      <c r="AD1224" s="14"/>
      <c r="AE1224" s="14"/>
      <c r="AK1224" s="14"/>
      <c r="AL1224" s="43"/>
      <c r="AM1224" s="43"/>
      <c r="AN1224" s="43"/>
      <c r="AO1224" s="43"/>
      <c r="AP1224" s="14"/>
      <c r="AQ1224" s="14"/>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row>
    <row r="1225" spans="1:66" ht="12.75">
      <c r="A1225" s="14"/>
      <c r="B1225" s="66" t="s">
        <v>1459</v>
      </c>
      <c r="C1225" s="14"/>
      <c r="I1225" s="14"/>
      <c r="J1225" s="14"/>
      <c r="L1225" s="43"/>
      <c r="M1225" s="43"/>
      <c r="N1225" s="43"/>
      <c r="O1225" s="43"/>
      <c r="P1225" s="43"/>
      <c r="R1225" s="14"/>
      <c r="S1225" s="43"/>
      <c r="T1225" s="43"/>
      <c r="U1225" s="43"/>
      <c r="V1225" s="43"/>
      <c r="X1225" s="14"/>
      <c r="AC1225" s="14"/>
      <c r="AD1225" s="14"/>
      <c r="AE1225" s="14"/>
      <c r="AK1225" s="14"/>
      <c r="AL1225" s="43"/>
      <c r="AM1225" s="43"/>
      <c r="AN1225" s="43"/>
      <c r="AO1225" s="43"/>
      <c r="AP1225" s="14"/>
      <c r="AQ1225" s="14"/>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row>
    <row r="1226" spans="1:66" ht="12.75">
      <c r="B1226" s="14" t="s">
        <v>867</v>
      </c>
      <c r="M1226" s="43"/>
      <c r="N1226" s="43"/>
      <c r="O1226" s="43"/>
      <c r="P1226" s="43"/>
      <c r="R1226" s="14"/>
      <c r="S1226" s="43"/>
      <c r="T1226" s="43"/>
      <c r="U1226" s="43"/>
      <c r="V1226" s="43"/>
      <c r="X1226" s="14"/>
      <c r="AC1226" s="14"/>
      <c r="AD1226" s="14"/>
      <c r="AE1226" s="14"/>
      <c r="AK1226" s="14"/>
      <c r="AL1226" s="43"/>
      <c r="AM1226" s="43"/>
      <c r="AN1226" s="43"/>
      <c r="AO1226" s="43"/>
      <c r="AP1226" s="14"/>
      <c r="AQ1226" s="14"/>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row>
    <row r="1227" spans="1:66" ht="12.75">
      <c r="M1227" s="43"/>
      <c r="N1227" s="43"/>
      <c r="O1227" s="43"/>
      <c r="P1227" s="43"/>
      <c r="R1227" s="14"/>
      <c r="S1227" s="43"/>
      <c r="T1227" s="43"/>
      <c r="U1227" s="43"/>
      <c r="V1227" s="43"/>
      <c r="X1227" s="14"/>
      <c r="AC1227" s="14"/>
      <c r="AD1227" s="14"/>
      <c r="AE1227" s="14"/>
      <c r="AK1227" s="14"/>
      <c r="AL1227" s="43"/>
      <c r="AM1227" s="43"/>
      <c r="AN1227" s="43"/>
      <c r="AO1227" s="43"/>
      <c r="AP1227" s="14"/>
      <c r="AQ1227" s="14"/>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row>
    <row r="1228" spans="1:66" ht="12.75">
      <c r="M1228" s="43"/>
      <c r="N1228" s="43"/>
      <c r="O1228" s="43"/>
      <c r="P1228" s="43"/>
      <c r="R1228" s="14"/>
      <c r="S1228" s="43"/>
      <c r="T1228" s="43"/>
      <c r="U1228" s="43"/>
      <c r="V1228" s="43"/>
      <c r="X1228" s="14"/>
      <c r="AC1228" s="14"/>
      <c r="AD1228" s="14"/>
      <c r="AE1228" s="14"/>
      <c r="AK1228" s="14"/>
      <c r="AL1228" s="43"/>
      <c r="AM1228" s="43"/>
      <c r="AN1228" s="43"/>
      <c r="AO1228" s="43"/>
      <c r="AP1228" s="14"/>
      <c r="AQ1228" s="14"/>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row>
    <row r="1229" spans="1:66" s="92" customFormat="1" ht="75">
      <c r="A1229" s="52" t="s">
        <v>1549</v>
      </c>
      <c r="B1229" s="644" t="s">
        <v>1550</v>
      </c>
      <c r="C1229" s="644" t="s">
        <v>532</v>
      </c>
      <c r="D1229" s="641" t="s">
        <v>533</v>
      </c>
      <c r="E1229" s="641" t="s">
        <v>543</v>
      </c>
      <c r="F1229" s="641" t="s">
        <v>603</v>
      </c>
      <c r="G1229" s="48" t="s">
        <v>535</v>
      </c>
      <c r="M1229" s="971"/>
      <c r="N1229" s="971"/>
      <c r="O1229" s="971"/>
      <c r="P1229" s="971"/>
      <c r="R1229" s="81"/>
      <c r="S1229" s="971"/>
      <c r="T1229" s="971"/>
      <c r="U1229" s="971"/>
      <c r="V1229" s="971"/>
      <c r="X1229" s="81"/>
      <c r="AC1229" s="81"/>
      <c r="AD1229" s="81"/>
      <c r="AE1229" s="81"/>
      <c r="AK1229" s="81"/>
      <c r="AL1229" s="971"/>
      <c r="AM1229" s="971"/>
      <c r="AN1229" s="971"/>
      <c r="AO1229" s="971"/>
      <c r="AP1229" s="81"/>
      <c r="AQ1229" s="81"/>
      <c r="AS1229" s="971"/>
      <c r="AT1229" s="971"/>
      <c r="AU1229" s="971"/>
      <c r="AV1229" s="971"/>
      <c r="AW1229" s="971"/>
      <c r="AX1229" s="971"/>
      <c r="AY1229" s="971"/>
      <c r="AZ1229" s="971"/>
      <c r="BA1229" s="971"/>
      <c r="BB1229" s="971"/>
      <c r="BC1229" s="971"/>
      <c r="BD1229" s="971"/>
      <c r="BE1229" s="971"/>
      <c r="BF1229" s="971"/>
      <c r="BG1229" s="971"/>
      <c r="BH1229" s="971"/>
      <c r="BI1229" s="971"/>
      <c r="BJ1229" s="971"/>
      <c r="BK1229" s="971"/>
      <c r="BL1229" s="971"/>
      <c r="BM1229" s="971"/>
      <c r="BN1229" s="971"/>
    </row>
    <row r="1230" spans="1:66" ht="12.75">
      <c r="A1230" s="62" t="s">
        <v>855</v>
      </c>
      <c r="B1230" s="14">
        <v>6</v>
      </c>
      <c r="D1230" s="14">
        <f>0.0480570576170054/100</f>
        <v>4.8057057617005398E-4</v>
      </c>
      <c r="E1230" s="14">
        <f>0.987762151976997/100</f>
        <v>9.8776215197699697E-3</v>
      </c>
      <c r="F1230">
        <f>63/1000000</f>
        <v>6.3E-5</v>
      </c>
      <c r="G1230" s="3">
        <f>0.11*0.00220462</f>
        <v>2.4250819999999999E-4</v>
      </c>
      <c r="M1230" s="43"/>
      <c r="N1230" s="43"/>
      <c r="O1230" s="43"/>
      <c r="P1230" s="43"/>
      <c r="R1230" s="14"/>
      <c r="S1230" s="43"/>
      <c r="T1230" s="43"/>
      <c r="U1230" s="43"/>
      <c r="V1230" s="43"/>
      <c r="X1230" s="14"/>
      <c r="AC1230" s="14"/>
      <c r="AD1230" s="14"/>
      <c r="AE1230" s="14"/>
      <c r="AK1230" s="14"/>
      <c r="AL1230" s="43"/>
      <c r="AM1230" s="43"/>
      <c r="AN1230" s="43"/>
      <c r="AO1230" s="43"/>
      <c r="AP1230" s="14"/>
      <c r="AQ1230" s="14"/>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row>
    <row r="1231" spans="1:66" ht="12.75">
      <c r="A1231" s="63" t="s">
        <v>1551</v>
      </c>
      <c r="B1231" s="617">
        <v>1</v>
      </c>
      <c r="C1231" s="617">
        <f>B1231/B1230</f>
        <v>0.16666666666666666</v>
      </c>
      <c r="D1231" s="617">
        <f>D1230/C1231</f>
        <v>2.8834234570203239E-3</v>
      </c>
      <c r="E1231" s="617">
        <f>E1230/C1231</f>
        <v>5.9265729118619818E-2</v>
      </c>
      <c r="F1231" s="617">
        <f>F1230/C1231</f>
        <v>3.7800000000000003E-4</v>
      </c>
      <c r="G1231" s="5">
        <f>G1230/C1231</f>
        <v>1.4550492E-3</v>
      </c>
      <c r="M1231" s="43"/>
      <c r="N1231" s="43"/>
      <c r="O1231" s="43"/>
      <c r="P1231" s="43"/>
      <c r="R1231" s="14"/>
      <c r="S1231" s="43"/>
      <c r="T1231" s="43"/>
      <c r="U1231" s="43"/>
      <c r="V1231" s="43"/>
      <c r="X1231" s="14"/>
      <c r="AC1231" s="14"/>
      <c r="AD1231" s="14"/>
      <c r="AE1231" s="14"/>
      <c r="AK1231" s="14"/>
      <c r="AL1231" s="43"/>
      <c r="AM1231" s="43"/>
      <c r="AN1231" s="43"/>
      <c r="AO1231" s="43"/>
      <c r="AP1231" s="14"/>
      <c r="AQ1231" s="14"/>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row>
    <row r="1232" spans="1:66" ht="12.75">
      <c r="A1232" s="14" t="s">
        <v>538</v>
      </c>
      <c r="B1232" s="66" t="s">
        <v>1552</v>
      </c>
      <c r="M1232" s="43"/>
      <c r="N1232" s="43"/>
      <c r="O1232" s="43"/>
      <c r="P1232" s="43"/>
      <c r="R1232" s="14"/>
      <c r="S1232" s="43"/>
      <c r="T1232" s="43"/>
      <c r="U1232" s="43"/>
      <c r="V1232" s="43"/>
      <c r="X1232" s="14"/>
      <c r="AC1232" s="14"/>
      <c r="AD1232" s="14"/>
      <c r="AE1232" s="14"/>
      <c r="AK1232" s="14"/>
      <c r="AL1232" s="43"/>
      <c r="AM1232" s="43"/>
      <c r="AN1232" s="43"/>
      <c r="AO1232" s="43"/>
      <c r="AP1232" s="14"/>
      <c r="AQ1232" s="14"/>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row>
    <row r="1233" spans="1:66" ht="12.75">
      <c r="B1233" s="14" t="s">
        <v>1553</v>
      </c>
      <c r="M1233" s="43"/>
      <c r="N1233" s="43"/>
      <c r="O1233" s="43"/>
      <c r="P1233" s="43"/>
      <c r="S1233" s="43"/>
      <c r="T1233" s="43"/>
      <c r="U1233" s="43"/>
      <c r="V1233" s="43"/>
      <c r="AL1233" s="43"/>
      <c r="AM1233" s="43"/>
      <c r="AN1233" s="43"/>
      <c r="AO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row>
    <row r="1236" spans="1:66" ht="12.75">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row>
    <row r="1237" spans="1:66" ht="30" customHeight="1">
      <c r="A1237" s="38" t="s">
        <v>1554</v>
      </c>
    </row>
    <row r="1239" spans="1:66" s="92" customFormat="1" ht="60">
      <c r="A1239" s="52" t="s">
        <v>1555</v>
      </c>
      <c r="B1239" s="644" t="s">
        <v>1556</v>
      </c>
      <c r="C1239" s="644" t="s">
        <v>1557</v>
      </c>
      <c r="D1239" s="755" t="s">
        <v>1139</v>
      </c>
      <c r="E1239" s="641" t="s">
        <v>533</v>
      </c>
      <c r="F1239" s="641" t="s">
        <v>543</v>
      </c>
      <c r="G1239" s="648" t="s">
        <v>1558</v>
      </c>
      <c r="H1239" s="48" t="s">
        <v>535</v>
      </c>
      <c r="I1239" s="64"/>
    </row>
    <row r="1240" spans="1:66" ht="12.75">
      <c r="A1240" s="62" t="s">
        <v>1559</v>
      </c>
      <c r="B1240" s="14">
        <v>1</v>
      </c>
      <c r="E1240">
        <v>2.2657305095266467E-3</v>
      </c>
      <c r="F1240">
        <v>0.12172590550316906</v>
      </c>
      <c r="G1240">
        <v>7.2000000000000002E-5</v>
      </c>
      <c r="H1240" s="3">
        <v>5.947856223213814E-4</v>
      </c>
    </row>
    <row r="1241" spans="1:66" ht="12.75">
      <c r="A1241" s="63" t="s">
        <v>1560</v>
      </c>
      <c r="B1241" s="617">
        <v>33.299999999999997</v>
      </c>
      <c r="C1241" s="617" t="s">
        <v>1561</v>
      </c>
      <c r="D1241" s="617">
        <f>B1240/B1241*56/0.00220462*0.00220462</f>
        <v>1.681681681681682</v>
      </c>
      <c r="E1241" s="617">
        <f t="shared" ref="E1241:H1241" si="212">E1240*$D1241</f>
        <v>3.8102374934982654E-3</v>
      </c>
      <c r="F1241" s="617">
        <f t="shared" si="212"/>
        <v>0.20470422547079484</v>
      </c>
      <c r="G1241" s="617">
        <f t="shared" si="212"/>
        <v>1.210810810810811E-4</v>
      </c>
      <c r="H1241" s="5">
        <f t="shared" si="212"/>
        <v>1.0002400855855065E-3</v>
      </c>
    </row>
    <row r="1242" spans="1:66" ht="12.75">
      <c r="A1242" s="14" t="s">
        <v>538</v>
      </c>
      <c r="B1242" s="66" t="s">
        <v>580</v>
      </c>
    </row>
    <row r="1243" spans="1:66" ht="12.75">
      <c r="B1243" s="14" t="s">
        <v>1562</v>
      </c>
    </row>
    <row r="1246" spans="1:66" s="92" customFormat="1" ht="25.5">
      <c r="A1246" s="756" t="s">
        <v>1563</v>
      </c>
      <c r="B1246" s="657" t="s">
        <v>1564</v>
      </c>
      <c r="C1246" s="657" t="s">
        <v>1565</v>
      </c>
      <c r="D1246" s="657" t="s">
        <v>1566</v>
      </c>
      <c r="E1246" s="657" t="s">
        <v>1567</v>
      </c>
      <c r="F1246" s="657" t="s">
        <v>1568</v>
      </c>
      <c r="G1246" s="657" t="s">
        <v>1569</v>
      </c>
      <c r="H1246" s="758" t="s">
        <v>1570</v>
      </c>
    </row>
    <row r="1247" spans="1:66" ht="12.75">
      <c r="A1247" s="172" t="s">
        <v>1571</v>
      </c>
      <c r="B1247" s="634">
        <f>AVERAGE(1.25,1.5)</f>
        <v>1.375</v>
      </c>
      <c r="C1247" s="634">
        <f>1/1000</f>
        <v>1E-3</v>
      </c>
      <c r="D1247" s="634">
        <f>B1247*C1247</f>
        <v>1.3749999999999999E-3</v>
      </c>
      <c r="E1247" s="634">
        <f>100/50</f>
        <v>2</v>
      </c>
      <c r="F1247" s="757">
        <f>1/0.22</f>
        <v>4.5454545454545459</v>
      </c>
      <c r="G1247" s="634">
        <f>D1247*E1247*F1247</f>
        <v>1.2500000000000001E-2</v>
      </c>
      <c r="H1247" s="127">
        <f>G1247</f>
        <v>1.2500000000000001E-2</v>
      </c>
    </row>
    <row r="1248" spans="1:66" s="92" customFormat="1" ht="38.25">
      <c r="A1248" s="756" t="s">
        <v>1572</v>
      </c>
      <c r="B1248" s="657" t="s">
        <v>1573</v>
      </c>
      <c r="C1248" s="657" t="s">
        <v>1565</v>
      </c>
      <c r="D1248" s="657" t="s">
        <v>1574</v>
      </c>
      <c r="E1248" s="657" t="s">
        <v>1567</v>
      </c>
      <c r="F1248" s="657" t="s">
        <v>1568</v>
      </c>
      <c r="G1248" s="657" t="s">
        <v>1575</v>
      </c>
      <c r="H1248" s="758" t="s">
        <v>1576</v>
      </c>
    </row>
    <row r="1249" spans="1:10" ht="12.75">
      <c r="A1249" s="172" t="s">
        <v>1571</v>
      </c>
      <c r="B1249" s="634">
        <v>57</v>
      </c>
      <c r="C1249" s="634">
        <f>1/1000</f>
        <v>1E-3</v>
      </c>
      <c r="D1249" s="634">
        <f>B1249*C1249</f>
        <v>5.7000000000000002E-2</v>
      </c>
      <c r="E1249" s="634">
        <f>100/50</f>
        <v>2</v>
      </c>
      <c r="F1249" s="757">
        <f>1/0.22</f>
        <v>4.5454545454545459</v>
      </c>
      <c r="G1249" s="634">
        <f>D1249*E1249*F1249</f>
        <v>0.5181818181818183</v>
      </c>
      <c r="H1249" s="127">
        <f>G1249/1000</f>
        <v>5.1818181818181835E-4</v>
      </c>
    </row>
    <row r="1250" spans="1:10" s="92" customFormat="1" ht="25.5">
      <c r="A1250" s="756" t="s">
        <v>1577</v>
      </c>
      <c r="B1250" s="657" t="s">
        <v>1578</v>
      </c>
      <c r="C1250" s="657" t="s">
        <v>1579</v>
      </c>
      <c r="D1250" s="657" t="s">
        <v>1580</v>
      </c>
      <c r="E1250" s="657" t="s">
        <v>1581</v>
      </c>
      <c r="F1250" s="657" t="s">
        <v>1582</v>
      </c>
      <c r="G1250" s="758" t="s">
        <v>1583</v>
      </c>
    </row>
    <row r="1251" spans="1:10" ht="12.75">
      <c r="A1251" s="172" t="s">
        <v>1571</v>
      </c>
      <c r="B1251" s="634">
        <v>0.02</v>
      </c>
      <c r="C1251" s="634">
        <f>1/453.592</f>
        <v>2.2046244201837776E-3</v>
      </c>
      <c r="D1251" s="17">
        <f>B1251*C1251</f>
        <v>4.4092488403675552E-5</v>
      </c>
      <c r="E1251" s="634">
        <v>2</v>
      </c>
      <c r="F1251" s="757">
        <f>1/0.22</f>
        <v>4.5454545454545459</v>
      </c>
      <c r="G1251" s="127">
        <f>D1251*E1251*F1251</f>
        <v>4.0084080366977777E-4</v>
      </c>
    </row>
    <row r="1252" spans="1:10" s="92" customFormat="1" ht="51">
      <c r="A1252" s="756" t="s">
        <v>1584</v>
      </c>
      <c r="B1252" s="657" t="s">
        <v>1464</v>
      </c>
      <c r="C1252" s="657" t="s">
        <v>1585</v>
      </c>
      <c r="D1252" s="758" t="s">
        <v>1586</v>
      </c>
      <c r="H1252" s="92">
        <f>1.79*C1251</f>
        <v>3.9462777121289623E-3</v>
      </c>
    </row>
    <row r="1253" spans="1:10" ht="12.75">
      <c r="A1253" s="56" t="s">
        <v>1587</v>
      </c>
      <c r="B1253" s="17">
        <v>269</v>
      </c>
      <c r="C1253" s="17"/>
      <c r="D1253" s="49"/>
    </row>
    <row r="1254" spans="1:10" ht="12.75">
      <c r="A1254" s="56" t="s">
        <v>1588</v>
      </c>
      <c r="B1254" s="17">
        <v>380</v>
      </c>
      <c r="C1254" s="17">
        <f>B1254/B1253</f>
        <v>1.4126394052044611</v>
      </c>
      <c r="D1254" s="49">
        <f>B1254/B1255</f>
        <v>0.98191214470284238</v>
      </c>
    </row>
    <row r="1255" spans="1:10" ht="12.75">
      <c r="A1255" s="56" t="s">
        <v>1589</v>
      </c>
      <c r="B1255" s="17">
        <v>387</v>
      </c>
      <c r="C1255" s="17">
        <f>B1255/B1253</f>
        <v>1.4386617100371748</v>
      </c>
      <c r="D1255" s="49"/>
    </row>
    <row r="1256" spans="1:10" ht="12.75">
      <c r="A1256" s="172" t="s">
        <v>432</v>
      </c>
      <c r="B1256" s="634">
        <v>290</v>
      </c>
      <c r="C1256" s="634">
        <f>B1256/B1253</f>
        <v>1.0780669144981412</v>
      </c>
      <c r="D1256" s="127">
        <f>B1256/B1255</f>
        <v>0.74935400516795869</v>
      </c>
      <c r="J1256" s="148"/>
    </row>
    <row r="1257" spans="1:10" s="92" customFormat="1" ht="51.75">
      <c r="A1257" s="52" t="s">
        <v>1590</v>
      </c>
      <c r="B1257" s="685" t="s">
        <v>533</v>
      </c>
      <c r="C1257" s="685" t="s">
        <v>543</v>
      </c>
      <c r="D1257" s="293" t="s">
        <v>522</v>
      </c>
      <c r="E1257" s="291" t="s">
        <v>722</v>
      </c>
    </row>
    <row r="1258" spans="1:10" ht="12.75">
      <c r="A1258" s="62" t="s">
        <v>1587</v>
      </c>
      <c r="B1258" s="222">
        <f>0.020925327/100</f>
        <v>2.0925327000000002E-4</v>
      </c>
      <c r="C1258" s="222">
        <f>C1260/C1255</f>
        <v>8.6886304909560719E-3</v>
      </c>
      <c r="D1258" s="419">
        <f>D1260/C1255</f>
        <v>3.6018322762508819E-4</v>
      </c>
      <c r="E1258" s="759">
        <f>E1260/C1255</f>
        <v>2.786206103027654E-4</v>
      </c>
      <c r="J1258" s="14"/>
    </row>
    <row r="1259" spans="1:10" ht="12.75">
      <c r="A1259" s="62" t="s">
        <v>1588</v>
      </c>
      <c r="B1259" s="148">
        <f>B1258*C1254</f>
        <v>2.9559941486988851E-4</v>
      </c>
      <c r="C1259" s="148">
        <f t="shared" ref="C1259:E1259" si="213">C1260*$D1254</f>
        <v>1.227390180878553E-2</v>
      </c>
      <c r="D1259" s="148">
        <f t="shared" si="213"/>
        <v>5.0880902043692758E-4</v>
      </c>
      <c r="E1259" s="357">
        <f t="shared" si="213"/>
        <v>3.9359045321580248E-4</v>
      </c>
    </row>
    <row r="1260" spans="1:10" ht="12.75">
      <c r="A1260" s="62" t="s">
        <v>1591</v>
      </c>
      <c r="B1260" s="148">
        <f>$C1255*B1258</f>
        <v>3.0104466724907065E-4</v>
      </c>
      <c r="C1260" s="148">
        <f>H1247</f>
        <v>1.2500000000000001E-2</v>
      </c>
      <c r="D1260" s="148">
        <f>H1249</f>
        <v>5.1818181818181835E-4</v>
      </c>
      <c r="E1260" s="357">
        <f>G1251</f>
        <v>4.0084080366977777E-4</v>
      </c>
    </row>
    <row r="1261" spans="1:10" ht="12.75">
      <c r="A1261" s="63" t="s">
        <v>432</v>
      </c>
      <c r="B1261" s="646">
        <f t="shared" ref="B1261:E1261" si="214">B1260*$D1256</f>
        <v>2.2558902713754649E-4</v>
      </c>
      <c r="C1261" s="646">
        <f t="shared" si="214"/>
        <v>9.3669250645994837E-3</v>
      </c>
      <c r="D1261" s="646">
        <f t="shared" si="214"/>
        <v>3.8830162085976054E-4</v>
      </c>
      <c r="E1261" s="191">
        <f t="shared" si="214"/>
        <v>3.0037166166469137E-4</v>
      </c>
    </row>
    <row r="1262" spans="1:10" ht="12.75">
      <c r="A1262" s="14" t="s">
        <v>538</v>
      </c>
      <c r="B1262" s="14" t="s">
        <v>570</v>
      </c>
    </row>
    <row r="1263" spans="1:10" ht="12.75">
      <c r="B1263" s="655" t="s">
        <v>1592</v>
      </c>
    </row>
    <row r="1264" spans="1:10" ht="12.75">
      <c r="B1264" s="655" t="s">
        <v>1593</v>
      </c>
    </row>
    <row r="1265" spans="1:46" ht="12.75">
      <c r="B1265" s="66" t="s">
        <v>1459</v>
      </c>
    </row>
    <row r="1266" spans="1:46" ht="12.75">
      <c r="B1266" s="14" t="s">
        <v>867</v>
      </c>
    </row>
    <row r="1267" spans="1:46" ht="12.75">
      <c r="A1267" s="14"/>
      <c r="B1267" s="655" t="s">
        <v>1490</v>
      </c>
    </row>
    <row r="1268" spans="1:46" ht="12.75">
      <c r="A1268" s="14"/>
      <c r="B1268" s="14"/>
    </row>
    <row r="1269" spans="1:46" s="92" customFormat="1" ht="75">
      <c r="B1269" s="1002"/>
      <c r="C1269" s="1003" t="s">
        <v>1594</v>
      </c>
      <c r="D1269" s="1004"/>
      <c r="E1269" s="1003" t="s">
        <v>1595</v>
      </c>
      <c r="F1269" s="1005" t="s">
        <v>600</v>
      </c>
      <c r="G1269" s="1006" t="s">
        <v>1596</v>
      </c>
      <c r="H1269" s="698" t="s">
        <v>1597</v>
      </c>
      <c r="I1269" s="657"/>
      <c r="J1269" s="657" t="s">
        <v>1598</v>
      </c>
      <c r="K1269" s="358" t="s">
        <v>1599</v>
      </c>
      <c r="L1269" s="359" t="s">
        <v>1600</v>
      </c>
      <c r="M1269" s="698" t="s">
        <v>1601</v>
      </c>
      <c r="N1269" s="657"/>
      <c r="O1269" s="657" t="s">
        <v>1602</v>
      </c>
      <c r="P1269" s="657" t="s">
        <v>1603</v>
      </c>
      <c r="Q1269" s="760" t="s">
        <v>534</v>
      </c>
      <c r="R1269" s="657" t="s">
        <v>1604</v>
      </c>
      <c r="S1269" s="657" t="s">
        <v>624</v>
      </c>
      <c r="T1269" s="358" t="s">
        <v>1605</v>
      </c>
      <c r="U1269" s="359" t="s">
        <v>1606</v>
      </c>
      <c r="V1269" s="698" t="s">
        <v>1607</v>
      </c>
      <c r="W1269" s="657"/>
      <c r="X1269" s="657" t="s">
        <v>1608</v>
      </c>
      <c r="Y1269" s="657" t="s">
        <v>1609</v>
      </c>
      <c r="Z1269" s="360" t="s">
        <v>1211</v>
      </c>
      <c r="AA1269" s="361" t="s">
        <v>1610</v>
      </c>
      <c r="AB1269" s="362" t="s">
        <v>1611</v>
      </c>
      <c r="AM1269" s="6"/>
      <c r="AN1269" s="81"/>
      <c r="AO1269" s="81"/>
      <c r="AP1269" s="64"/>
      <c r="AQ1269" s="64"/>
      <c r="AR1269" s="64"/>
      <c r="AS1269" s="64"/>
    </row>
    <row r="1270" spans="1:46" ht="12.75">
      <c r="B1270" s="761" t="s">
        <v>1612</v>
      </c>
      <c r="C1270" s="71" t="s">
        <v>1613</v>
      </c>
      <c r="D1270" s="137" t="s">
        <v>1614</v>
      </c>
      <c r="E1270" s="363" t="s">
        <v>1615</v>
      </c>
      <c r="F1270" s="203" t="s">
        <v>1616</v>
      </c>
      <c r="G1270" s="762" t="s">
        <v>624</v>
      </c>
      <c r="H1270" s="645" t="s">
        <v>1617</v>
      </c>
      <c r="I1270" s="17"/>
      <c r="J1270" s="364">
        <f>(1/300)*0.1/0.0001</f>
        <v>3.3333333333333335</v>
      </c>
      <c r="K1270" s="365"/>
      <c r="L1270" s="366"/>
      <c r="M1270" s="645" t="s">
        <v>1617</v>
      </c>
      <c r="N1270" s="17"/>
      <c r="O1270" s="367">
        <v>0.1</v>
      </c>
      <c r="P1270" s="17">
        <f>175/300*1000*0.1</f>
        <v>58.333333333333343</v>
      </c>
      <c r="Q1270" s="17">
        <f t="shared" ref="Q1270:Q1284" si="215">O1270*P1270</f>
        <v>5.8333333333333348</v>
      </c>
      <c r="R1270" s="228">
        <v>300</v>
      </c>
      <c r="S1270" s="228">
        <f>Q1270*(R1270/(SUM(R1270:R1271)))</f>
        <v>1.0294117647058827</v>
      </c>
      <c r="T1270" s="365"/>
      <c r="U1270" s="366"/>
      <c r="V1270" s="645" t="s">
        <v>1617</v>
      </c>
      <c r="W1270" s="17"/>
      <c r="X1270" s="364"/>
      <c r="Y1270" s="364"/>
      <c r="Z1270" s="364">
        <f>1.63*0.1</f>
        <v>0.16300000000000001</v>
      </c>
      <c r="AA1270" s="365"/>
      <c r="AB1270" s="366"/>
      <c r="AM1270" s="14"/>
      <c r="AO1270" s="14"/>
      <c r="AT1270" s="14"/>
    </row>
    <row r="1271" spans="1:46" ht="12.75">
      <c r="B1271" s="56" t="s">
        <v>1618</v>
      </c>
      <c r="C1271" s="17">
        <v>1.78</v>
      </c>
      <c r="D1271" s="121"/>
      <c r="E1271" s="17">
        <v>1</v>
      </c>
      <c r="F1271" s="76"/>
      <c r="G1271" s="49"/>
      <c r="H1271" s="368" t="s">
        <v>1619</v>
      </c>
      <c r="I1271" s="369"/>
      <c r="J1271" s="370">
        <f>1/1400*0.1/0.0001</f>
        <v>0.7142857142857143</v>
      </c>
      <c r="K1271" s="371">
        <f>AVERAGE(J1270:J1271)</f>
        <v>2.0238095238095237</v>
      </c>
      <c r="L1271" s="49"/>
      <c r="M1271" s="368" t="s">
        <v>1619</v>
      </c>
      <c r="N1271" s="369"/>
      <c r="O1271" s="372">
        <v>0.1</v>
      </c>
      <c r="P1271" s="369">
        <f>300/1400*1000*0.1</f>
        <v>21.428571428571431</v>
      </c>
      <c r="Q1271" s="369">
        <f t="shared" si="215"/>
        <v>2.1428571428571432</v>
      </c>
      <c r="R1271" s="369">
        <v>1400</v>
      </c>
      <c r="S1271" s="369">
        <f>Q1271*(R1271/(SUM(R1270:R1271)))</f>
        <v>1.7647058823529413</v>
      </c>
      <c r="T1271" s="373">
        <f>SUM(S1270:S1271)</f>
        <v>2.7941176470588243</v>
      </c>
      <c r="U1271" s="49"/>
      <c r="V1271" s="368" t="s">
        <v>1619</v>
      </c>
      <c r="W1271" s="369"/>
      <c r="X1271" s="370"/>
      <c r="Y1271" s="370"/>
      <c r="Z1271" s="370">
        <f>1.96*0.1</f>
        <v>0.19600000000000001</v>
      </c>
      <c r="AA1271" s="371">
        <f>AVERAGE(Z1270:Z1271)</f>
        <v>0.17949999999999999</v>
      </c>
      <c r="AB1271" s="49"/>
      <c r="AM1271" s="24"/>
      <c r="AN1271" s="14"/>
      <c r="AO1271" s="14"/>
    </row>
    <row r="1272" spans="1:46" ht="12.75">
      <c r="B1272" s="56" t="s">
        <v>1620</v>
      </c>
      <c r="C1272" s="17">
        <v>1</v>
      </c>
      <c r="D1272" s="121">
        <f t="shared" ref="D1272:E1272" si="216">SUM(D1273:D1274)</f>
        <v>0.5617977528089888</v>
      </c>
      <c r="E1272" s="17">
        <f t="shared" si="216"/>
        <v>0.55072999999999994</v>
      </c>
      <c r="F1272" s="76">
        <f t="shared" ref="F1272:F1274" si="217">AVERAGE(D1272:E1272)</f>
        <v>0.55626387640449437</v>
      </c>
      <c r="G1272" s="49">
        <f t="shared" ref="G1272:G1274" si="218">1/F1272</f>
        <v>1.7977079627454313</v>
      </c>
      <c r="H1272" s="645" t="s">
        <v>1621</v>
      </c>
      <c r="I1272" s="17" t="s">
        <v>1622</v>
      </c>
      <c r="J1272" s="364">
        <f>(1/300)*0.1/0.0001</f>
        <v>3.3333333333333335</v>
      </c>
      <c r="K1272" s="374"/>
      <c r="L1272" s="49"/>
      <c r="M1272" s="645" t="s">
        <v>1621</v>
      </c>
      <c r="N1272" s="17" t="s">
        <v>1622</v>
      </c>
      <c r="O1272" s="367">
        <v>0</v>
      </c>
      <c r="P1272" s="17">
        <v>0</v>
      </c>
      <c r="Q1272" s="17">
        <f t="shared" si="215"/>
        <v>0</v>
      </c>
      <c r="R1272" s="17">
        <v>300</v>
      </c>
      <c r="S1272" s="228">
        <f t="shared" ref="S1272:S1293" si="219">Q1272*(R1272/(SUM(R$1272:R$1303)))</f>
        <v>0</v>
      </c>
      <c r="T1272" s="374"/>
      <c r="U1272" s="49"/>
      <c r="V1272" s="645" t="s">
        <v>1621</v>
      </c>
      <c r="W1272" s="17" t="s">
        <v>1622</v>
      </c>
      <c r="X1272" s="375">
        <f>56.1*0.0001</f>
        <v>5.6100000000000004E-3</v>
      </c>
      <c r="Y1272" s="364">
        <f>(1/300)*0.1/0.0001</f>
        <v>3.3333333333333335</v>
      </c>
      <c r="Z1272" s="376">
        <f>Y1272*X1272</f>
        <v>1.8700000000000001E-2</v>
      </c>
      <c r="AA1272" s="374"/>
      <c r="AB1272" s="49"/>
      <c r="AN1272" s="14"/>
    </row>
    <row r="1273" spans="1:46" ht="12.75">
      <c r="B1273" s="377" t="s">
        <v>537</v>
      </c>
      <c r="C1273" s="17">
        <f>C1272*0.6</f>
        <v>0.6</v>
      </c>
      <c r="D1273" s="121">
        <f>C1273/C1271</f>
        <v>0.33707865168539325</v>
      </c>
      <c r="E1273" s="17">
        <v>0.31947999999999999</v>
      </c>
      <c r="F1273" s="76">
        <f t="shared" si="217"/>
        <v>0.32827932584269659</v>
      </c>
      <c r="G1273" s="49">
        <f t="shared" si="218"/>
        <v>3.0461863458290868</v>
      </c>
      <c r="H1273" s="645"/>
      <c r="I1273" s="17" t="s">
        <v>1623</v>
      </c>
      <c r="J1273" s="364">
        <f t="shared" ref="J1273:J1274" si="220">(1/200)*0.1/0.0001</f>
        <v>5</v>
      </c>
      <c r="K1273" s="374"/>
      <c r="L1273" s="49"/>
      <c r="M1273" s="645"/>
      <c r="N1273" s="17" t="s">
        <v>1623</v>
      </c>
      <c r="O1273" s="367">
        <v>0</v>
      </c>
      <c r="P1273" s="17">
        <v>0</v>
      </c>
      <c r="Q1273" s="17">
        <f t="shared" si="215"/>
        <v>0</v>
      </c>
      <c r="R1273" s="17">
        <v>200</v>
      </c>
      <c r="S1273" s="228">
        <f t="shared" si="219"/>
        <v>0</v>
      </c>
      <c r="T1273" s="374"/>
      <c r="U1273" s="49"/>
      <c r="V1273" s="645"/>
      <c r="W1273" s="17" t="s">
        <v>1623</v>
      </c>
      <c r="X1273" s="123" t="s">
        <v>1624</v>
      </c>
      <c r="Y1273" s="364">
        <f t="shared" ref="Y1273:Y1274" si="221">(1/200)*0.1/0.0001</f>
        <v>5</v>
      </c>
      <c r="Z1273" s="376" t="s">
        <v>1624</v>
      </c>
      <c r="AA1273" s="374"/>
      <c r="AB1273" s="49"/>
    </row>
    <row r="1274" spans="1:46" ht="12.75">
      <c r="B1274" s="377" t="s">
        <v>1625</v>
      </c>
      <c r="C1274" s="17">
        <f>C1272*0.4</f>
        <v>0.4</v>
      </c>
      <c r="D1274" s="121">
        <f>C1274/C1271</f>
        <v>0.22471910112359553</v>
      </c>
      <c r="E1274" s="17">
        <v>0.23125000000000001</v>
      </c>
      <c r="F1274" s="76">
        <f t="shared" si="217"/>
        <v>0.22798455056179778</v>
      </c>
      <c r="G1274" s="49">
        <f t="shared" si="218"/>
        <v>4.3862621284460186</v>
      </c>
      <c r="H1274" s="645"/>
      <c r="I1274" s="17" t="s">
        <v>1626</v>
      </c>
      <c r="J1274" s="364">
        <f t="shared" si="220"/>
        <v>5</v>
      </c>
      <c r="K1274" s="374"/>
      <c r="L1274" s="49"/>
      <c r="M1274" s="645"/>
      <c r="N1274" s="17" t="s">
        <v>1626</v>
      </c>
      <c r="O1274" s="367">
        <v>0.15</v>
      </c>
      <c r="P1274" s="378">
        <f>250/200*1000*0.1</f>
        <v>125</v>
      </c>
      <c r="Q1274" s="17">
        <f t="shared" si="215"/>
        <v>18.75</v>
      </c>
      <c r="R1274" s="17">
        <v>200</v>
      </c>
      <c r="S1274" s="228">
        <f t="shared" si="219"/>
        <v>0.3196113525952442</v>
      </c>
      <c r="T1274" s="374"/>
      <c r="U1274" s="49"/>
      <c r="V1274" s="645"/>
      <c r="W1274" s="17" t="s">
        <v>1626</v>
      </c>
      <c r="X1274" s="123" t="s">
        <v>1624</v>
      </c>
      <c r="Y1274" s="364">
        <f t="shared" si="221"/>
        <v>5</v>
      </c>
      <c r="Z1274" s="376" t="s">
        <v>1624</v>
      </c>
      <c r="AA1274" s="374"/>
      <c r="AB1274" s="49"/>
    </row>
    <row r="1275" spans="1:46" ht="12.75">
      <c r="B1275" s="56" t="s">
        <v>1627</v>
      </c>
      <c r="C1275" s="17">
        <v>0.78</v>
      </c>
      <c r="D1275" s="121">
        <f t="shared" ref="D1275:E1275" si="222">SUM(D1276:D1278)</f>
        <v>0.43820224719101125</v>
      </c>
      <c r="E1275" s="17">
        <f t="shared" si="222"/>
        <v>0.44174999999999998</v>
      </c>
      <c r="F1275" s="76"/>
      <c r="G1275" s="49"/>
      <c r="H1275" s="645"/>
      <c r="I1275" s="17" t="s">
        <v>1628</v>
      </c>
      <c r="J1275" s="364">
        <f>(1/300)*0.1/0.0001</f>
        <v>3.3333333333333335</v>
      </c>
      <c r="K1275" s="374"/>
      <c r="L1275" s="49"/>
      <c r="M1275" s="645"/>
      <c r="N1275" s="17" t="s">
        <v>1628</v>
      </c>
      <c r="O1275" s="367">
        <v>0</v>
      </c>
      <c r="P1275" s="17">
        <v>0</v>
      </c>
      <c r="Q1275" s="17">
        <f t="shared" si="215"/>
        <v>0</v>
      </c>
      <c r="R1275" s="17">
        <v>300</v>
      </c>
      <c r="S1275" s="228">
        <f t="shared" si="219"/>
        <v>0</v>
      </c>
      <c r="T1275" s="374"/>
      <c r="U1275" s="49"/>
      <c r="V1275" s="645"/>
      <c r="W1275" s="17" t="s">
        <v>1628</v>
      </c>
      <c r="X1275" s="375">
        <f>14.6*0.0001</f>
        <v>1.4599999999999999E-3</v>
      </c>
      <c r="Y1275" s="364">
        <f>(1/300)*0.1/0.0001</f>
        <v>3.3333333333333335</v>
      </c>
      <c r="Z1275" s="376">
        <f t="shared" ref="Z1275:Z1276" si="223">Y1275*X1275</f>
        <v>4.8666666666666667E-3</v>
      </c>
      <c r="AA1275" s="374"/>
      <c r="AB1275" s="49"/>
    </row>
    <row r="1276" spans="1:46" ht="12.75">
      <c r="B1276" s="377" t="s">
        <v>1629</v>
      </c>
      <c r="C1276" s="17">
        <f>C1275*0.61</f>
        <v>0.4758</v>
      </c>
      <c r="D1276" s="121">
        <f>C1276/C1271</f>
        <v>0.26730337078651684</v>
      </c>
      <c r="E1276" s="17">
        <v>0.26874999999999999</v>
      </c>
      <c r="F1276" s="76"/>
      <c r="G1276" s="49"/>
      <c r="H1276" s="645"/>
      <c r="I1276" s="17" t="s">
        <v>1630</v>
      </c>
      <c r="J1276" s="364">
        <f>(1/467)*0.1/0.0001</f>
        <v>2.1413276231263385</v>
      </c>
      <c r="K1276" s="374"/>
      <c r="L1276" s="49"/>
      <c r="M1276" s="645"/>
      <c r="N1276" s="17" t="s">
        <v>1630</v>
      </c>
      <c r="O1276" s="367">
        <v>0</v>
      </c>
      <c r="P1276" s="17">
        <v>0</v>
      </c>
      <c r="Q1276" s="17">
        <f t="shared" si="215"/>
        <v>0</v>
      </c>
      <c r="R1276" s="17">
        <v>467</v>
      </c>
      <c r="S1276" s="228">
        <f t="shared" si="219"/>
        <v>0</v>
      </c>
      <c r="T1276" s="374"/>
      <c r="U1276" s="49"/>
      <c r="V1276" s="645"/>
      <c r="W1276" s="17" t="s">
        <v>1630</v>
      </c>
      <c r="X1276" s="375">
        <f>143*0.0001</f>
        <v>1.43E-2</v>
      </c>
      <c r="Y1276" s="364">
        <f>(1/467)*0.1/0.0001</f>
        <v>2.1413276231263385</v>
      </c>
      <c r="Z1276" s="376">
        <f t="shared" si="223"/>
        <v>3.062098501070664E-2</v>
      </c>
      <c r="AA1276" s="374"/>
      <c r="AB1276" s="49"/>
      <c r="AM1276" s="14"/>
      <c r="AS1276" s="148"/>
    </row>
    <row r="1277" spans="1:46" ht="15">
      <c r="B1277" s="377" t="s">
        <v>1631</v>
      </c>
      <c r="C1277" s="17">
        <f>C1275*0.17</f>
        <v>0.13260000000000002</v>
      </c>
      <c r="D1277" s="121">
        <f>C1277/C1271</f>
        <v>7.4494382022471925E-2</v>
      </c>
      <c r="E1277" s="17">
        <v>7.4999999999999997E-2</v>
      </c>
      <c r="F1277" s="76">
        <f>AVERAGE(D1277:E1277)</f>
        <v>7.4747191011235961E-2</v>
      </c>
      <c r="G1277" s="49">
        <f>1/F1277</f>
        <v>13.378429161969184</v>
      </c>
      <c r="H1277" s="645"/>
      <c r="I1277" s="17" t="s">
        <v>1632</v>
      </c>
      <c r="J1277" s="364">
        <f>(1/133)*0.1/0.0001</f>
        <v>7.518796992481203</v>
      </c>
      <c r="K1277" s="374"/>
      <c r="L1277" s="49"/>
      <c r="M1277" s="645"/>
      <c r="N1277" s="17" t="s">
        <v>1632</v>
      </c>
      <c r="O1277" s="367">
        <v>0.15</v>
      </c>
      <c r="P1277" s="17">
        <f>100/133*1000*0.1</f>
        <v>75.187969924812023</v>
      </c>
      <c r="Q1277" s="17">
        <f t="shared" si="215"/>
        <v>11.278195488721803</v>
      </c>
      <c r="R1277" s="17">
        <v>133</v>
      </c>
      <c r="S1277" s="228">
        <f t="shared" si="219"/>
        <v>0.12784454103809767</v>
      </c>
      <c r="T1277" s="374"/>
      <c r="U1277" s="49"/>
      <c r="V1277" s="645"/>
      <c r="W1277" s="17" t="s">
        <v>1632</v>
      </c>
      <c r="X1277" s="375" t="s">
        <v>1624</v>
      </c>
      <c r="Y1277" s="364">
        <f>(1/133)*0.1/0.0001</f>
        <v>7.518796992481203</v>
      </c>
      <c r="Z1277" s="376" t="s">
        <v>1624</v>
      </c>
      <c r="AA1277" s="374"/>
      <c r="AB1277" s="49"/>
      <c r="AM1277" s="14"/>
      <c r="AN1277" s="14"/>
      <c r="AO1277" s="14"/>
      <c r="AP1277" s="14"/>
      <c r="AQ1277" s="379"/>
      <c r="AR1277" s="379"/>
      <c r="AS1277" s="380"/>
      <c r="AT1277" s="379"/>
    </row>
    <row r="1278" spans="1:46" ht="12.75">
      <c r="B1278" s="381" t="s">
        <v>1633</v>
      </c>
      <c r="C1278" s="634">
        <f>C1275*0.22</f>
        <v>0.1716</v>
      </c>
      <c r="D1278" s="125">
        <f>C1278/C1271</f>
        <v>9.6404494382022476E-2</v>
      </c>
      <c r="E1278" s="634">
        <v>9.8000000000000004E-2</v>
      </c>
      <c r="F1278" s="382"/>
      <c r="G1278" s="127"/>
      <c r="H1278" s="645"/>
      <c r="I1278" s="17" t="s">
        <v>1634</v>
      </c>
      <c r="J1278" s="364">
        <f>(1/67)*0.1/0.0001</f>
        <v>14.925373134328357</v>
      </c>
      <c r="K1278" s="374"/>
      <c r="L1278" s="49"/>
      <c r="M1278" s="645"/>
      <c r="N1278" s="17" t="s">
        <v>1634</v>
      </c>
      <c r="O1278" s="367">
        <v>0.18</v>
      </c>
      <c r="P1278" s="17">
        <f>100/67*1000*0.1</f>
        <v>149.25373134328359</v>
      </c>
      <c r="Q1278" s="17">
        <f t="shared" si="215"/>
        <v>26.865671641791046</v>
      </c>
      <c r="R1278" s="17">
        <v>67</v>
      </c>
      <c r="S1278" s="228">
        <f t="shared" si="219"/>
        <v>0.15341344924571723</v>
      </c>
      <c r="T1278" s="374"/>
      <c r="U1278" s="49"/>
      <c r="V1278" s="645"/>
      <c r="W1278" s="17" t="s">
        <v>1634</v>
      </c>
      <c r="X1278" s="375">
        <f>417*0.0001</f>
        <v>4.1700000000000001E-2</v>
      </c>
      <c r="Y1278" s="364">
        <f>(1/67)*0.1/0.0001</f>
        <v>14.925373134328357</v>
      </c>
      <c r="Z1278" s="376">
        <f>Y1278*X1278</f>
        <v>0.62238805970149247</v>
      </c>
      <c r="AA1278" s="374"/>
      <c r="AB1278" s="49"/>
      <c r="AM1278" s="14"/>
      <c r="AN1278" s="14"/>
      <c r="AO1278" s="14"/>
      <c r="AS1278" s="148"/>
    </row>
    <row r="1279" spans="1:46" s="92" customFormat="1" ht="75">
      <c r="B1279" s="756" t="s">
        <v>1635</v>
      </c>
      <c r="C1279" s="1007"/>
      <c r="D1279" s="682" t="s">
        <v>1636</v>
      </c>
      <c r="E1279" s="682" t="s">
        <v>1637</v>
      </c>
      <c r="F1279" s="682" t="s">
        <v>522</v>
      </c>
      <c r="G1279" s="80" t="s">
        <v>535</v>
      </c>
      <c r="H1279" s="991"/>
      <c r="I1279" s="667" t="s">
        <v>1638</v>
      </c>
      <c r="J1279" s="1008">
        <f>(1/233)*0.1/0.0001</f>
        <v>4.2918454935622314</v>
      </c>
      <c r="K1279" s="1009"/>
      <c r="L1279" s="993"/>
      <c r="M1279" s="991"/>
      <c r="N1279" s="667" t="s">
        <v>1638</v>
      </c>
      <c r="O1279" s="1010">
        <v>0.15</v>
      </c>
      <c r="P1279" s="667">
        <f>150/233*1000*0.1</f>
        <v>64.377682403433482</v>
      </c>
      <c r="Q1279" s="667">
        <f t="shared" si="215"/>
        <v>9.6566523605150216</v>
      </c>
      <c r="R1279" s="667">
        <v>233</v>
      </c>
      <c r="S1279" s="1011">
        <f t="shared" si="219"/>
        <v>0.1917668115571465</v>
      </c>
      <c r="T1279" s="1009"/>
      <c r="U1279" s="993"/>
      <c r="V1279" s="991"/>
      <c r="W1279" s="667" t="s">
        <v>1638</v>
      </c>
      <c r="X1279" s="1012" t="s">
        <v>1624</v>
      </c>
      <c r="Y1279" s="1008">
        <f>(1/233)*0.1/0.0001</f>
        <v>4.2918454935622314</v>
      </c>
      <c r="Z1279" s="1013" t="s">
        <v>1624</v>
      </c>
      <c r="AA1279" s="1009"/>
      <c r="AB1279" s="993"/>
      <c r="AM1279" s="81"/>
      <c r="AN1279" s="81"/>
      <c r="AS1279" s="6"/>
    </row>
    <row r="1280" spans="1:46" ht="12.75">
      <c r="B1280" s="56" t="s">
        <v>423</v>
      </c>
      <c r="C1280" s="121"/>
      <c r="D1280" s="17">
        <v>8.22790593034603E-2</v>
      </c>
      <c r="E1280" s="17">
        <v>0.15758024213268212</v>
      </c>
      <c r="F1280" s="17">
        <v>9.7596766979824417E-6</v>
      </c>
      <c r="G1280" s="49">
        <v>3.6045161743415983E-3</v>
      </c>
      <c r="H1280" s="645"/>
      <c r="I1280" s="17" t="s">
        <v>1639</v>
      </c>
      <c r="J1280" s="364">
        <f>(1/200)*0.1/0.0001</f>
        <v>5</v>
      </c>
      <c r="K1280" s="374"/>
      <c r="L1280" s="49"/>
      <c r="M1280" s="645"/>
      <c r="N1280" s="17" t="s">
        <v>1639</v>
      </c>
      <c r="O1280" s="367">
        <v>0.15</v>
      </c>
      <c r="P1280" s="17">
        <f>150/200*1000*0.1</f>
        <v>75</v>
      </c>
      <c r="Q1280" s="17">
        <f t="shared" si="215"/>
        <v>11.25</v>
      </c>
      <c r="R1280" s="17">
        <v>200</v>
      </c>
      <c r="S1280" s="228">
        <f t="shared" si="219"/>
        <v>0.1917668115571465</v>
      </c>
      <c r="T1280" s="374"/>
      <c r="U1280" s="49"/>
      <c r="V1280" s="645"/>
      <c r="W1280" s="17" t="s">
        <v>1639</v>
      </c>
      <c r="X1280" s="375" t="s">
        <v>1624</v>
      </c>
      <c r="Y1280" s="364">
        <f>(1/200)*0.1/0.0001</f>
        <v>5</v>
      </c>
      <c r="Z1280" s="376" t="s">
        <v>1624</v>
      </c>
      <c r="AA1280" s="374"/>
      <c r="AB1280" s="49"/>
      <c r="AM1280" s="14"/>
      <c r="AN1280" s="14"/>
      <c r="AS1280" s="148"/>
    </row>
    <row r="1281" spans="1:45" ht="12.75">
      <c r="B1281" s="56" t="s">
        <v>1640</v>
      </c>
      <c r="C1281" s="121"/>
      <c r="D1281" s="17">
        <v>5.7141442912515071E-2</v>
      </c>
      <c r="E1281" s="17">
        <v>0.10943686627183247</v>
      </c>
      <c r="F1281" s="17">
        <v>6.7779337003056084E-6</v>
      </c>
      <c r="G1281" s="49">
        <v>2.5032767382978036E-3</v>
      </c>
      <c r="H1281" s="645"/>
      <c r="I1281" s="17" t="s">
        <v>1641</v>
      </c>
      <c r="J1281" s="364">
        <f>(1/700)*0.1/0.0001</f>
        <v>1.4285714285714286</v>
      </c>
      <c r="K1281" s="374"/>
      <c r="L1281" s="49"/>
      <c r="M1281" s="645"/>
      <c r="N1281" s="17" t="s">
        <v>1641</v>
      </c>
      <c r="O1281" s="367">
        <v>0.15</v>
      </c>
      <c r="P1281" s="17">
        <f>150/700*1000*0.1</f>
        <v>21.428571428571431</v>
      </c>
      <c r="Q1281" s="17">
        <f t="shared" si="215"/>
        <v>3.2142857142857144</v>
      </c>
      <c r="R1281" s="17">
        <v>700</v>
      </c>
      <c r="S1281" s="228">
        <f t="shared" si="219"/>
        <v>0.19176681155714653</v>
      </c>
      <c r="T1281" s="374"/>
      <c r="U1281" s="49"/>
      <c r="V1281" s="645"/>
      <c r="W1281" s="17" t="s">
        <v>1641</v>
      </c>
      <c r="X1281" s="375">
        <f>114*0.0001</f>
        <v>1.14E-2</v>
      </c>
      <c r="Y1281" s="364">
        <f>(1/700)*0.1/0.0001</f>
        <v>1.4285714285714286</v>
      </c>
      <c r="Z1281" s="376">
        <f t="shared" ref="Z1281:Z1283" si="224">Y1281*X1281</f>
        <v>1.6285714285714285E-2</v>
      </c>
      <c r="AA1281" s="374"/>
      <c r="AB1281" s="49"/>
      <c r="AM1281" s="14"/>
      <c r="AN1281" s="14"/>
      <c r="AS1281" s="148"/>
    </row>
    <row r="1282" spans="1:45" ht="12.75">
      <c r="B1282" s="56" t="s">
        <v>433</v>
      </c>
      <c r="C1282" s="121"/>
      <c r="D1282" s="17">
        <v>3.0104466724907065E-4</v>
      </c>
      <c r="E1282" s="17">
        <v>1.2500000000000001E-2</v>
      </c>
      <c r="F1282" s="17">
        <v>5.1818181818181835E-4</v>
      </c>
      <c r="G1282" s="49">
        <v>4.0084080366977777E-4</v>
      </c>
      <c r="H1282" s="645"/>
      <c r="I1282" s="17" t="s">
        <v>1642</v>
      </c>
      <c r="J1282" s="383">
        <f>1/366*0.1/0.0001</f>
        <v>2.7322404371584699</v>
      </c>
      <c r="K1282" s="374"/>
      <c r="L1282" s="49"/>
      <c r="M1282" s="645"/>
      <c r="N1282" s="17" t="s">
        <v>1642</v>
      </c>
      <c r="O1282" s="384">
        <f>((21/2)+(47/2))/100</f>
        <v>0.34</v>
      </c>
      <c r="P1282" s="17">
        <f>200/366*1000*0.1</f>
        <v>54.644808743169406</v>
      </c>
      <c r="Q1282" s="17">
        <f t="shared" si="215"/>
        <v>18.5792349726776</v>
      </c>
      <c r="R1282" s="17">
        <v>366</v>
      </c>
      <c r="S1282" s="228">
        <f t="shared" si="219"/>
        <v>0.57956191937270962</v>
      </c>
      <c r="T1282" s="374"/>
      <c r="U1282" s="49"/>
      <c r="V1282" s="645"/>
      <c r="W1282" s="17" t="s">
        <v>1642</v>
      </c>
      <c r="X1282" s="375">
        <f>607*0.0001</f>
        <v>6.0700000000000004E-2</v>
      </c>
      <c r="Y1282" s="383">
        <f>1/366*0.1/0.0001</f>
        <v>2.7322404371584699</v>
      </c>
      <c r="Z1282" s="376">
        <f t="shared" si="224"/>
        <v>0.16584699453551913</v>
      </c>
      <c r="AA1282" s="374"/>
      <c r="AB1282" s="49"/>
      <c r="AM1282" s="14"/>
      <c r="AN1282" s="14"/>
      <c r="AS1282" s="148"/>
    </row>
    <row r="1283" spans="1:45" ht="12.75">
      <c r="B1283" s="385" t="s">
        <v>121</v>
      </c>
      <c r="C1283" s="137"/>
      <c r="D1283" s="71">
        <v>4.1127278199052132E-2</v>
      </c>
      <c r="E1283" s="71">
        <v>0.12092157867298578</v>
      </c>
      <c r="F1283" s="71">
        <v>8.0618486208530824E-4</v>
      </c>
      <c r="G1283" s="386">
        <v>7.5857890995260661E-3</v>
      </c>
      <c r="H1283" s="645"/>
      <c r="I1283" s="17" t="s">
        <v>1643</v>
      </c>
      <c r="J1283" s="364">
        <f>1/480*0.1/0.0001</f>
        <v>2.0833333333333335</v>
      </c>
      <c r="K1283" s="374"/>
      <c r="L1283" s="49"/>
      <c r="M1283" s="645"/>
      <c r="N1283" s="17" t="s">
        <v>1643</v>
      </c>
      <c r="O1283" s="367">
        <v>0.47</v>
      </c>
      <c r="P1283" s="17">
        <f>50/480*1000*0.1</f>
        <v>10.416666666666668</v>
      </c>
      <c r="Q1283" s="17">
        <f t="shared" si="215"/>
        <v>4.8958333333333339</v>
      </c>
      <c r="R1283" s="17">
        <v>480</v>
      </c>
      <c r="S1283" s="228">
        <f t="shared" si="219"/>
        <v>0.20028978095968639</v>
      </c>
      <c r="T1283" s="374"/>
      <c r="U1283" s="49"/>
      <c r="V1283" s="645"/>
      <c r="W1283" s="17" t="s">
        <v>1643</v>
      </c>
      <c r="X1283" s="375">
        <f>167*0.0001</f>
        <v>1.67E-2</v>
      </c>
      <c r="Y1283" s="364">
        <f>1/480*0.1/0.0001</f>
        <v>2.0833333333333335</v>
      </c>
      <c r="Z1283" s="376">
        <f t="shared" si="224"/>
        <v>3.4791666666666665E-2</v>
      </c>
      <c r="AA1283" s="374"/>
      <c r="AB1283" s="49"/>
    </row>
    <row r="1284" spans="1:45" ht="12.75">
      <c r="B1284" s="56" t="s">
        <v>1644</v>
      </c>
      <c r="C1284" s="121" t="s">
        <v>1645</v>
      </c>
      <c r="D1284" s="17">
        <f t="shared" ref="D1284:G1284" si="225">(0.76*D1282)+(0.09*D1280)+(0.08*D1283)+(0.07*D1281)</f>
        <v>1.4923992544220947E-2</v>
      </c>
      <c r="E1284" s="17">
        <f t="shared" si="225"/>
        <v>4.1016528724808529E-2</v>
      </c>
      <c r="F1284" s="17">
        <f t="shared" si="225"/>
        <v>4.5966579704684649E-4</v>
      </c>
      <c r="G1284" s="49">
        <f t="shared" si="225"/>
        <v>1.4111379661227066E-3</v>
      </c>
      <c r="H1284" s="645"/>
      <c r="I1284" s="17" t="s">
        <v>1646</v>
      </c>
      <c r="J1284" s="383">
        <f t="shared" ref="J1284:J1285" si="226">1/250*0.1/0.0001</f>
        <v>4</v>
      </c>
      <c r="K1284" s="374"/>
      <c r="L1284" s="49"/>
      <c r="M1284" s="645"/>
      <c r="N1284" s="17" t="s">
        <v>1646</v>
      </c>
      <c r="O1284" s="384">
        <f>(47*0.33)/100</f>
        <v>0.15510000000000002</v>
      </c>
      <c r="P1284" s="17">
        <f>100/250*1000*0.1</f>
        <v>40</v>
      </c>
      <c r="Q1284" s="17">
        <f t="shared" si="215"/>
        <v>6.2040000000000006</v>
      </c>
      <c r="R1284" s="17">
        <v>250</v>
      </c>
      <c r="S1284" s="228">
        <f t="shared" si="219"/>
        <v>0.132191255433393</v>
      </c>
      <c r="T1284" s="374"/>
      <c r="U1284" s="49"/>
      <c r="V1284" s="645"/>
      <c r="W1284" s="17" t="s">
        <v>1646</v>
      </c>
      <c r="X1284" s="375" t="s">
        <v>1624</v>
      </c>
      <c r="Y1284" s="383">
        <f t="shared" ref="Y1284:Y1285" si="227">1/250*0.1/0.0001</f>
        <v>4</v>
      </c>
      <c r="Z1284" s="376" t="s">
        <v>1624</v>
      </c>
      <c r="AA1284" s="374"/>
      <c r="AB1284" s="49"/>
    </row>
    <row r="1285" spans="1:45" ht="12.75">
      <c r="B1285" s="172" t="s">
        <v>1647</v>
      </c>
      <c r="C1285" s="125" t="s">
        <v>1648</v>
      </c>
      <c r="D1285" s="634">
        <f t="shared" ref="D1285:G1285" si="228">(0.45*D1282)+(0.3*D1280)+(0.25*D1281)</f>
        <v>3.9104548619428942E-2</v>
      </c>
      <c r="E1285" s="634">
        <f t="shared" si="228"/>
        <v>8.0258289207762748E-2</v>
      </c>
      <c r="F1285" s="634">
        <f t="shared" si="228"/>
        <v>2.3780420461628937E-4</v>
      </c>
      <c r="G1285" s="127">
        <f t="shared" si="228"/>
        <v>1.8875523985283304E-3</v>
      </c>
      <c r="H1285" s="645"/>
      <c r="I1285" s="17" t="s">
        <v>1649</v>
      </c>
      <c r="J1285" s="383">
        <f t="shared" si="226"/>
        <v>4</v>
      </c>
      <c r="K1285" s="374"/>
      <c r="L1285" s="49"/>
      <c r="M1285" s="645"/>
      <c r="N1285" s="17" t="s">
        <v>1649</v>
      </c>
      <c r="O1285" s="123" t="s">
        <v>931</v>
      </c>
      <c r="P1285" s="17">
        <f>1100/250*1000*0.1</f>
        <v>440</v>
      </c>
      <c r="Q1285" s="17">
        <v>3.8325804710361093</v>
      </c>
      <c r="R1285" s="17">
        <v>250</v>
      </c>
      <c r="S1285" s="228">
        <f t="shared" si="219"/>
        <v>8.1662415218531265E-2</v>
      </c>
      <c r="T1285" s="374"/>
      <c r="U1285" s="49"/>
      <c r="V1285" s="645"/>
      <c r="W1285" s="17" t="s">
        <v>1649</v>
      </c>
      <c r="X1285" s="375" t="s">
        <v>1624</v>
      </c>
      <c r="Y1285" s="383">
        <f t="shared" si="227"/>
        <v>4</v>
      </c>
      <c r="Z1285" s="376" t="s">
        <v>1624</v>
      </c>
      <c r="AA1285" s="374"/>
      <c r="AB1285" s="49"/>
      <c r="AM1285" s="28"/>
      <c r="AN1285" s="29"/>
      <c r="AO1285" s="29"/>
      <c r="AP1285" s="29"/>
    </row>
    <row r="1286" spans="1:45" ht="15">
      <c r="G1286" s="29"/>
      <c r="H1286" s="645"/>
      <c r="I1286" s="17" t="s">
        <v>1650</v>
      </c>
      <c r="J1286" s="364">
        <f>1/225*0.1/0.0001</f>
        <v>4.4444444444444446</v>
      </c>
      <c r="K1286" s="374"/>
      <c r="L1286" s="49"/>
      <c r="M1286" s="645"/>
      <c r="N1286" s="17" t="s">
        <v>1650</v>
      </c>
      <c r="O1286" s="367">
        <v>0.1</v>
      </c>
      <c r="P1286" s="17">
        <f>50/225*1000*0.1</f>
        <v>22.222222222222221</v>
      </c>
      <c r="Q1286" s="17">
        <f>O1286*P1286</f>
        <v>2.2222222222222223</v>
      </c>
      <c r="R1286" s="17">
        <v>225</v>
      </c>
      <c r="S1286" s="228">
        <f t="shared" si="219"/>
        <v>4.2614847012699228E-2</v>
      </c>
      <c r="T1286" s="374"/>
      <c r="U1286" s="49"/>
      <c r="V1286" s="645"/>
      <c r="W1286" s="17" t="s">
        <v>1650</v>
      </c>
      <c r="X1286" s="375" t="s">
        <v>1624</v>
      </c>
      <c r="Y1286" s="364">
        <f>1/225*0.1/0.0001</f>
        <v>4.4444444444444446</v>
      </c>
      <c r="Z1286" s="376" t="s">
        <v>1624</v>
      </c>
      <c r="AA1286" s="374"/>
      <c r="AB1286" s="49"/>
      <c r="AM1286" s="28"/>
      <c r="AN1286" s="29"/>
      <c r="AO1286" s="29"/>
      <c r="AP1286" s="387"/>
    </row>
    <row r="1287" spans="1:45" ht="12.75">
      <c r="G1287" s="29"/>
      <c r="H1287" s="645"/>
      <c r="I1287" s="17" t="s">
        <v>1651</v>
      </c>
      <c r="J1287" s="383">
        <f>1/500*0.1/0.0001</f>
        <v>2</v>
      </c>
      <c r="K1287" s="374"/>
      <c r="L1287" s="49"/>
      <c r="M1287" s="645"/>
      <c r="N1287" s="17" t="s">
        <v>1651</v>
      </c>
      <c r="O1287" s="123" t="s">
        <v>1652</v>
      </c>
      <c r="P1287" s="17">
        <f>100/500*1000*0.1</f>
        <v>20</v>
      </c>
      <c r="Q1287" s="17">
        <v>3.8325804710361093</v>
      </c>
      <c r="R1287" s="17">
        <v>500</v>
      </c>
      <c r="S1287" s="228">
        <f t="shared" si="219"/>
        <v>0.16332483043706253</v>
      </c>
      <c r="T1287" s="374"/>
      <c r="U1287" s="49"/>
      <c r="V1287" s="645"/>
      <c r="W1287" s="17" t="s">
        <v>1651</v>
      </c>
      <c r="X1287" s="375">
        <f>138*0.0001</f>
        <v>1.3800000000000002E-2</v>
      </c>
      <c r="Y1287" s="383">
        <f>1/500*0.1/0.0001</f>
        <v>2</v>
      </c>
      <c r="Z1287" s="376">
        <f t="shared" ref="Z1287:Z1291" si="229">Y1287*X1287</f>
        <v>2.7600000000000003E-2</v>
      </c>
      <c r="AA1287" s="374"/>
      <c r="AB1287" s="49"/>
      <c r="AM1287" s="29"/>
      <c r="AN1287" s="388"/>
      <c r="AO1287" s="29"/>
      <c r="AP1287" s="29"/>
    </row>
    <row r="1288" spans="1:45" ht="12.75">
      <c r="G1288" s="29"/>
      <c r="H1288" s="645"/>
      <c r="I1288" s="17" t="s">
        <v>1653</v>
      </c>
      <c r="J1288" s="383">
        <f>1/600*0.1/0.0001</f>
        <v>1.6666666666666667</v>
      </c>
      <c r="K1288" s="374"/>
      <c r="L1288" s="49"/>
      <c r="M1288" s="645"/>
      <c r="N1288" s="17" t="s">
        <v>1653</v>
      </c>
      <c r="O1288" s="123" t="s">
        <v>1652</v>
      </c>
      <c r="P1288" s="17">
        <f>100/600*1000*0.1</f>
        <v>16.666666666666668</v>
      </c>
      <c r="Q1288" s="17">
        <v>3.8325804710361093</v>
      </c>
      <c r="R1288" s="17">
        <v>600</v>
      </c>
      <c r="S1288" s="228">
        <f t="shared" si="219"/>
        <v>0.19598979652447504</v>
      </c>
      <c r="T1288" s="374"/>
      <c r="U1288" s="49"/>
      <c r="V1288" s="645"/>
      <c r="W1288" s="17" t="s">
        <v>1653</v>
      </c>
      <c r="X1288" s="375">
        <f>146*0.0001</f>
        <v>1.46E-2</v>
      </c>
      <c r="Y1288" s="383">
        <f>1/600*0.1/0.0001</f>
        <v>1.6666666666666667</v>
      </c>
      <c r="Z1288" s="376">
        <f t="shared" si="229"/>
        <v>2.4333333333333335E-2</v>
      </c>
      <c r="AA1288" s="374"/>
      <c r="AB1288" s="49"/>
      <c r="AM1288" s="29"/>
      <c r="AN1288" s="389"/>
      <c r="AO1288" s="29"/>
      <c r="AP1288" s="29"/>
    </row>
    <row r="1289" spans="1:45" ht="12.75">
      <c r="H1289" s="645"/>
      <c r="I1289" s="17" t="s">
        <v>1654</v>
      </c>
      <c r="J1289" s="383">
        <f t="shared" ref="J1289:J1290" si="230">1/333*0.1/0.0001</f>
        <v>3.0030030030030033</v>
      </c>
      <c r="K1289" s="374"/>
      <c r="L1289" s="49"/>
      <c r="M1289" s="645"/>
      <c r="N1289" s="17" t="s">
        <v>1654</v>
      </c>
      <c r="O1289" s="123" t="s">
        <v>931</v>
      </c>
      <c r="P1289" s="17">
        <f>1200/333*1000*0.1</f>
        <v>360.36036036036035</v>
      </c>
      <c r="Q1289" s="17">
        <v>3.8325804710361093</v>
      </c>
      <c r="R1289" s="17">
        <v>333</v>
      </c>
      <c r="S1289" s="228">
        <f t="shared" si="219"/>
        <v>0.10877433707108365</v>
      </c>
      <c r="T1289" s="374"/>
      <c r="U1289" s="49"/>
      <c r="V1289" s="645"/>
      <c r="W1289" s="17" t="s">
        <v>1654</v>
      </c>
      <c r="X1289" s="375">
        <f>-60.6*0.0001</f>
        <v>-6.0600000000000003E-3</v>
      </c>
      <c r="Y1289" s="383">
        <f t="shared" ref="Y1289:Y1290" si="231">1/333*0.1/0.0001</f>
        <v>3.0030030030030033</v>
      </c>
      <c r="Z1289" s="376">
        <f t="shared" si="229"/>
        <v>-1.81981981981982E-2</v>
      </c>
      <c r="AA1289" s="374"/>
      <c r="AB1289" s="49"/>
      <c r="AM1289" s="29"/>
      <c r="AN1289" s="390"/>
      <c r="AO1289" s="29"/>
      <c r="AP1289" s="29"/>
    </row>
    <row r="1290" spans="1:45" ht="12.75">
      <c r="H1290" s="645"/>
      <c r="I1290" s="17" t="s">
        <v>1655</v>
      </c>
      <c r="J1290" s="364">
        <f t="shared" si="230"/>
        <v>3.0030030030030033</v>
      </c>
      <c r="K1290" s="374"/>
      <c r="L1290" s="49"/>
      <c r="M1290" s="645"/>
      <c r="N1290" s="17" t="s">
        <v>1655</v>
      </c>
      <c r="O1290" s="367">
        <v>0.2</v>
      </c>
      <c r="P1290" s="17">
        <f>150/333*1000*0.1</f>
        <v>45.045045045045043</v>
      </c>
      <c r="Q1290" s="17">
        <f>O1290*P1290</f>
        <v>9.0090090090090094</v>
      </c>
      <c r="R1290" s="17">
        <v>333</v>
      </c>
      <c r="S1290" s="228">
        <f t="shared" si="219"/>
        <v>0.25568908207619534</v>
      </c>
      <c r="T1290" s="374"/>
      <c r="U1290" s="49"/>
      <c r="V1290" s="645"/>
      <c r="W1290" s="17" t="s">
        <v>1655</v>
      </c>
      <c r="X1290" s="375">
        <f>308*0.0001</f>
        <v>3.0800000000000001E-2</v>
      </c>
      <c r="Y1290" s="364">
        <f t="shared" si="231"/>
        <v>3.0030030030030033</v>
      </c>
      <c r="Z1290" s="376">
        <f t="shared" si="229"/>
        <v>9.2492492492492501E-2</v>
      </c>
      <c r="AA1290" s="374"/>
      <c r="AB1290" s="49"/>
      <c r="AM1290" s="763"/>
      <c r="AN1290" s="391"/>
      <c r="AO1290" s="29"/>
      <c r="AP1290" s="29"/>
    </row>
    <row r="1291" spans="1:45" ht="12.75">
      <c r="H1291" s="645"/>
      <c r="I1291" s="17" t="s">
        <v>1656</v>
      </c>
      <c r="J1291" s="383">
        <f>1/500*0.1/0.0001</f>
        <v>2</v>
      </c>
      <c r="K1291" s="374"/>
      <c r="L1291" s="49"/>
      <c r="M1291" s="645"/>
      <c r="N1291" s="17" t="s">
        <v>1656</v>
      </c>
      <c r="O1291" s="123" t="s">
        <v>931</v>
      </c>
      <c r="P1291" s="17">
        <f>1000/500*1000*0.1</f>
        <v>200</v>
      </c>
      <c r="Q1291" s="17">
        <v>3.8325804710361093</v>
      </c>
      <c r="R1291" s="17">
        <v>500</v>
      </c>
      <c r="S1291" s="228">
        <f t="shared" si="219"/>
        <v>0.16332483043706253</v>
      </c>
      <c r="T1291" s="374"/>
      <c r="U1291" s="49"/>
      <c r="V1291" s="645"/>
      <c r="W1291" s="17" t="s">
        <v>1656</v>
      </c>
      <c r="X1291" s="375">
        <f>-6.27*0.0001</f>
        <v>-6.2699999999999995E-4</v>
      </c>
      <c r="Y1291" s="383">
        <f>1/500*0.1/0.0001</f>
        <v>2</v>
      </c>
      <c r="Z1291" s="376">
        <f t="shared" si="229"/>
        <v>-1.2539999999999999E-3</v>
      </c>
      <c r="AA1291" s="374"/>
      <c r="AB1291" s="49"/>
      <c r="AM1291" s="29"/>
      <c r="AN1291" s="390"/>
      <c r="AO1291" s="29"/>
      <c r="AP1291" s="29"/>
    </row>
    <row r="1292" spans="1:45" ht="12.75">
      <c r="H1292" s="645"/>
      <c r="I1292" s="17" t="s">
        <v>1657</v>
      </c>
      <c r="J1292" s="383">
        <f>(1/200)*0.1/0.0001</f>
        <v>5</v>
      </c>
      <c r="K1292" s="374"/>
      <c r="L1292" s="49"/>
      <c r="M1292" s="645"/>
      <c r="N1292" s="17" t="s">
        <v>1657</v>
      </c>
      <c r="O1292" s="123" t="s">
        <v>931</v>
      </c>
      <c r="P1292" s="17">
        <f>200/200*1000*0.1</f>
        <v>100</v>
      </c>
      <c r="Q1292" s="17">
        <v>3.8325804710361093</v>
      </c>
      <c r="R1292" s="17">
        <v>200</v>
      </c>
      <c r="S1292" s="228">
        <f t="shared" si="219"/>
        <v>6.5329932174825009E-2</v>
      </c>
      <c r="T1292" s="374"/>
      <c r="U1292" s="49"/>
      <c r="V1292" s="645"/>
      <c r="W1292" s="17" t="s">
        <v>1657</v>
      </c>
      <c r="X1292" s="375" t="s">
        <v>1624</v>
      </c>
      <c r="Y1292" s="383">
        <f>(1/200)*0.1/0.0001</f>
        <v>5</v>
      </c>
      <c r="Z1292" s="376" t="s">
        <v>1624</v>
      </c>
      <c r="AA1292" s="374"/>
      <c r="AB1292" s="49"/>
      <c r="AM1292" s="29"/>
      <c r="AN1292" s="389"/>
      <c r="AO1292" s="29"/>
      <c r="AP1292" s="29"/>
    </row>
    <row r="1293" spans="1:45" s="92" customFormat="1" ht="75">
      <c r="A1293" s="392" t="s">
        <v>1658</v>
      </c>
      <c r="B1293" s="764" t="s">
        <v>1659</v>
      </c>
      <c r="C1293" s="764" t="s">
        <v>1660</v>
      </c>
      <c r="D1293" s="393" t="s">
        <v>1636</v>
      </c>
      <c r="E1293" s="765" t="s">
        <v>1637</v>
      </c>
      <c r="F1293" s="765" t="s">
        <v>522</v>
      </c>
      <c r="G1293" s="394" t="s">
        <v>535</v>
      </c>
      <c r="H1293" s="991"/>
      <c r="I1293" s="667" t="s">
        <v>1661</v>
      </c>
      <c r="J1293" s="1014">
        <f>1/600*0.1/0.0001</f>
        <v>1.6666666666666667</v>
      </c>
      <c r="K1293" s="1009"/>
      <c r="L1293" s="993"/>
      <c r="M1293" s="991"/>
      <c r="N1293" s="667" t="s">
        <v>1661</v>
      </c>
      <c r="O1293" s="1015">
        <f>((21/3)+(47/3))/100</f>
        <v>0.22666666666666666</v>
      </c>
      <c r="P1293" s="667">
        <f>100/600*1000*0.1</f>
        <v>16.666666666666668</v>
      </c>
      <c r="Q1293" s="667">
        <f>O1293*P1293</f>
        <v>3.7777777777777777</v>
      </c>
      <c r="R1293" s="667">
        <v>600</v>
      </c>
      <c r="S1293" s="1011">
        <f t="shared" si="219"/>
        <v>0.19318730645756982</v>
      </c>
      <c r="T1293" s="1009"/>
      <c r="U1293" s="993"/>
      <c r="V1293" s="991"/>
      <c r="W1293" s="667" t="s">
        <v>1661</v>
      </c>
      <c r="X1293" s="1012">
        <f>202*0.0001</f>
        <v>2.0200000000000003E-2</v>
      </c>
      <c r="Y1293" s="1014">
        <f>1/600*0.1/0.0001</f>
        <v>1.6666666666666667</v>
      </c>
      <c r="Z1293" s="1013">
        <f>Y1293*X1293</f>
        <v>3.3666666666666671E-2</v>
      </c>
      <c r="AA1293" s="1009"/>
      <c r="AB1293" s="993"/>
    </row>
    <row r="1294" spans="1:45" ht="12.75">
      <c r="A1294" s="395" t="s">
        <v>1662</v>
      </c>
      <c r="B1294" s="396">
        <v>1</v>
      </c>
      <c r="C1294" s="396"/>
      <c r="D1294" s="397">
        <f>1.87583543559469/100</f>
        <v>1.8758354355946902E-2</v>
      </c>
      <c r="E1294" s="396">
        <f>3.59258606800388/100</f>
        <v>3.59258606800388E-2</v>
      </c>
      <c r="F1294" s="396"/>
      <c r="G1294" s="398">
        <f>0.0821774/100</f>
        <v>8.2177399999999994E-4</v>
      </c>
      <c r="H1294" s="645"/>
      <c r="I1294" s="17"/>
      <c r="J1294" s="364"/>
      <c r="K1294" s="374"/>
      <c r="L1294" s="49"/>
      <c r="M1294" s="645"/>
      <c r="N1294" s="17"/>
      <c r="O1294" s="367"/>
      <c r="P1294" s="17"/>
      <c r="Q1294" s="17"/>
      <c r="R1294" s="17"/>
      <c r="S1294" s="228"/>
      <c r="T1294" s="374"/>
      <c r="U1294" s="49"/>
      <c r="V1294" s="645"/>
      <c r="W1294" s="17"/>
      <c r="X1294" s="375"/>
      <c r="Y1294" s="364"/>
      <c r="Z1294" s="376"/>
      <c r="AA1294" s="374"/>
      <c r="AB1294" s="49"/>
    </row>
    <row r="1295" spans="1:45" ht="12.75">
      <c r="A1295" s="399" t="s">
        <v>421</v>
      </c>
      <c r="B1295" s="14">
        <v>1.7977079627454313</v>
      </c>
      <c r="C1295" s="14">
        <v>1</v>
      </c>
      <c r="D1295" s="616">
        <f t="shared" ref="D1295:E1295" si="232">D$1294*$B1295</f>
        <v>3.372204299368619E-2</v>
      </c>
      <c r="E1295" s="14">
        <f t="shared" si="232"/>
        <v>6.4584205812988751E-2</v>
      </c>
      <c r="F1295">
        <f>4/1000000</f>
        <v>3.9999999999999998E-6</v>
      </c>
      <c r="G1295" s="3">
        <f t="shared" ref="G1295:G1296" si="233">G$1294*$B1295</f>
        <v>1.477309663377164E-3</v>
      </c>
      <c r="H1295" s="645"/>
      <c r="I1295" s="17" t="s">
        <v>1663</v>
      </c>
      <c r="J1295" s="364">
        <f>1/571*0.1/0.0001</f>
        <v>1.7513134851138354</v>
      </c>
      <c r="K1295" s="374"/>
      <c r="L1295" s="49"/>
      <c r="M1295" s="645"/>
      <c r="N1295" s="17" t="s">
        <v>1663</v>
      </c>
      <c r="O1295" s="367">
        <v>0.15</v>
      </c>
      <c r="P1295" s="17">
        <f>100/571*1000*0.1</f>
        <v>17.513134851138357</v>
      </c>
      <c r="Q1295" s="17">
        <f>O1295*P1295</f>
        <v>2.6269702276707534</v>
      </c>
      <c r="R1295" s="17">
        <v>571</v>
      </c>
      <c r="S1295" s="228">
        <f t="shared" ref="S1295:S1296" si="234">Q1295*(R1295/(SUM(R$1272:R$1303)))</f>
        <v>0.1278445410380977</v>
      </c>
      <c r="T1295" s="374"/>
      <c r="U1295" s="49"/>
      <c r="V1295" s="645"/>
      <c r="W1295" s="17" t="s">
        <v>1663</v>
      </c>
      <c r="X1295" s="375">
        <f>245*0.0001</f>
        <v>2.4500000000000001E-2</v>
      </c>
      <c r="Y1295" s="364">
        <f>1/571*0.1/0.0001</f>
        <v>1.7513134851138354</v>
      </c>
      <c r="Z1295" s="376">
        <f t="shared" ref="Z1295:Z1296" si="235">Y1295*X1295</f>
        <v>4.290718038528897E-2</v>
      </c>
      <c r="AA1295" s="374"/>
      <c r="AB1295" s="49"/>
    </row>
    <row r="1296" spans="1:45" ht="12.75">
      <c r="A1296" s="399" t="s">
        <v>1664</v>
      </c>
      <c r="B1296" s="14">
        <v>1.7977079627454313</v>
      </c>
      <c r="C1296" s="14">
        <v>1</v>
      </c>
      <c r="D1296" s="616">
        <f t="shared" ref="D1296:E1296" si="236">D$1294*$B1296</f>
        <v>3.372204299368619E-2</v>
      </c>
      <c r="E1296" s="14">
        <f t="shared" si="236"/>
        <v>6.4584205812988751E-2</v>
      </c>
      <c r="F1296">
        <f>F1295</f>
        <v>3.9999999999999998E-6</v>
      </c>
      <c r="G1296" s="3">
        <f t="shared" si="233"/>
        <v>1.477309663377164E-3</v>
      </c>
      <c r="H1296" s="645"/>
      <c r="I1296" s="17" t="s">
        <v>1665</v>
      </c>
      <c r="J1296" s="383">
        <f>1/360*0.1/0.0001</f>
        <v>2.7777777777777777</v>
      </c>
      <c r="K1296" s="374"/>
      <c r="L1296" s="49"/>
      <c r="M1296" s="645"/>
      <c r="N1296" s="17" t="s">
        <v>1665</v>
      </c>
      <c r="O1296" s="123" t="s">
        <v>931</v>
      </c>
      <c r="P1296" s="17">
        <f>1500/360*1000*0.1</f>
        <v>416.66666666666674</v>
      </c>
      <c r="Q1296" s="17">
        <v>3.8325804710361093</v>
      </c>
      <c r="R1296" s="17">
        <v>360</v>
      </c>
      <c r="S1296" s="228">
        <f t="shared" si="234"/>
        <v>0.11759387791468502</v>
      </c>
      <c r="T1296" s="374"/>
      <c r="U1296" s="49"/>
      <c r="V1296" s="645"/>
      <c r="W1296" s="17" t="s">
        <v>1665</v>
      </c>
      <c r="X1296" s="375">
        <f>-147*0.0001</f>
        <v>-1.4700000000000001E-2</v>
      </c>
      <c r="Y1296" s="383">
        <f>1/360*0.1/0.0001</f>
        <v>2.7777777777777777</v>
      </c>
      <c r="Z1296" s="376">
        <f t="shared" si="235"/>
        <v>-4.0833333333333333E-2</v>
      </c>
      <c r="AA1296" s="374"/>
      <c r="AB1296" s="49"/>
    </row>
    <row r="1297" spans="1:28" ht="12.75">
      <c r="A1297" s="399" t="s">
        <v>410</v>
      </c>
      <c r="B1297" s="220" t="s">
        <v>1666</v>
      </c>
      <c r="C1297" s="220" t="s">
        <v>1666</v>
      </c>
      <c r="D1297" s="616">
        <v>3.372204299368619E-2</v>
      </c>
      <c r="E1297" s="14">
        <v>6.4584205812988751E-2</v>
      </c>
      <c r="F1297">
        <v>3.9999999999999998E-6</v>
      </c>
      <c r="G1297" s="3">
        <v>1.477309663377164E-3</v>
      </c>
      <c r="H1297" s="645"/>
      <c r="I1297" s="17"/>
      <c r="J1297" s="383"/>
      <c r="K1297" s="374"/>
      <c r="L1297" s="49"/>
      <c r="M1297" s="645"/>
      <c r="N1297" s="17"/>
      <c r="O1297" s="123"/>
      <c r="P1297" s="17"/>
      <c r="Q1297" s="17"/>
      <c r="R1297" s="17"/>
      <c r="S1297" s="228"/>
      <c r="T1297" s="374"/>
      <c r="U1297" s="49"/>
      <c r="V1297" s="645"/>
      <c r="W1297" s="17"/>
      <c r="X1297" s="375"/>
      <c r="Y1297" s="383"/>
      <c r="Z1297" s="376"/>
      <c r="AA1297" s="374"/>
      <c r="AB1297" s="49"/>
    </row>
    <row r="1298" spans="1:28" ht="12.75">
      <c r="A1298" s="399" t="s">
        <v>414</v>
      </c>
      <c r="B1298" s="220" t="s">
        <v>1666</v>
      </c>
      <c r="C1298" s="220" t="s">
        <v>1666</v>
      </c>
      <c r="D1298" s="616">
        <v>3.372204299368619E-2</v>
      </c>
      <c r="E1298" s="14">
        <v>6.4584205812988751E-2</v>
      </c>
      <c r="F1298">
        <v>3.9999999999999998E-6</v>
      </c>
      <c r="G1298" s="3">
        <v>1.477309663377164E-3</v>
      </c>
      <c r="H1298" s="645"/>
      <c r="I1298" s="17" t="s">
        <v>1667</v>
      </c>
      <c r="J1298" s="383">
        <f>1/375*0.1/0.0001</f>
        <v>2.6666666666666665</v>
      </c>
      <c r="K1298" s="374"/>
      <c r="L1298" s="49"/>
      <c r="M1298" s="645"/>
      <c r="N1298" s="17" t="s">
        <v>1667</v>
      </c>
      <c r="O1298" s="123" t="s">
        <v>931</v>
      </c>
      <c r="P1298" s="17">
        <f>1250/375*1000*0.1</f>
        <v>333.33333333333337</v>
      </c>
      <c r="Q1298" s="17">
        <v>3.8325804710361093</v>
      </c>
      <c r="R1298" s="17">
        <v>375</v>
      </c>
      <c r="S1298" s="228">
        <f t="shared" ref="S1298:S1303" si="237">Q1298*(R1298/(SUM(R$1272:R$1303)))</f>
        <v>0.1224936228277969</v>
      </c>
      <c r="T1298" s="374"/>
      <c r="U1298" s="49"/>
      <c r="V1298" s="645"/>
      <c r="W1298" s="17" t="s">
        <v>1667</v>
      </c>
      <c r="X1298" s="375">
        <f>-113*0.0001</f>
        <v>-1.1300000000000001E-2</v>
      </c>
      <c r="Y1298" s="383">
        <f>1/375*0.1/0.0001</f>
        <v>2.6666666666666665</v>
      </c>
      <c r="Z1298" s="376">
        <f>Y1298*X1298</f>
        <v>-3.0133333333333335E-2</v>
      </c>
      <c r="AA1298" s="374"/>
      <c r="AB1298" s="49"/>
    </row>
    <row r="1299" spans="1:28" ht="12.75">
      <c r="A1299" s="399" t="s">
        <v>1668</v>
      </c>
      <c r="B1299" s="220" t="s">
        <v>1666</v>
      </c>
      <c r="C1299" s="220" t="s">
        <v>1666</v>
      </c>
      <c r="D1299" s="616">
        <v>3.372204299368619E-2</v>
      </c>
      <c r="E1299" s="14">
        <v>6.4584205812988751E-2</v>
      </c>
      <c r="F1299">
        <v>3.9999999999999998E-6</v>
      </c>
      <c r="G1299" s="3">
        <v>1.477309663377164E-3</v>
      </c>
      <c r="H1299" s="645"/>
      <c r="I1299" s="17" t="s">
        <v>1669</v>
      </c>
      <c r="J1299" s="383">
        <f t="shared" ref="J1299:J1300" si="238">1/1000*0.1/0.0001</f>
        <v>1</v>
      </c>
      <c r="K1299" s="374"/>
      <c r="L1299" s="49"/>
      <c r="M1299" s="645"/>
      <c r="N1299" s="17" t="s">
        <v>1669</v>
      </c>
      <c r="O1299" s="123" t="s">
        <v>931</v>
      </c>
      <c r="P1299" s="17">
        <f t="shared" ref="P1299:P1300" si="239">300/1000*1000*0.1</f>
        <v>30</v>
      </c>
      <c r="Q1299" s="17">
        <v>3.8325804710361093</v>
      </c>
      <c r="R1299" s="17">
        <v>1000</v>
      </c>
      <c r="S1299" s="228">
        <f t="shared" si="237"/>
        <v>0.32664966087412506</v>
      </c>
      <c r="T1299" s="374"/>
      <c r="U1299" s="49"/>
      <c r="V1299" s="645"/>
      <c r="W1299" s="17" t="s">
        <v>1669</v>
      </c>
      <c r="X1299" s="375" t="s">
        <v>1624</v>
      </c>
      <c r="Y1299" s="383">
        <f t="shared" ref="Y1299:Y1300" si="240">1/1000*0.1/0.0001</f>
        <v>1</v>
      </c>
      <c r="Z1299" s="376" t="s">
        <v>1624</v>
      </c>
      <c r="AA1299" s="374"/>
      <c r="AB1299" s="49"/>
    </row>
    <row r="1300" spans="1:28" ht="12.75">
      <c r="A1300" s="399" t="s">
        <v>1670</v>
      </c>
      <c r="B1300" s="220" t="s">
        <v>1666</v>
      </c>
      <c r="C1300" s="220" t="s">
        <v>1666</v>
      </c>
      <c r="D1300" s="616">
        <v>3.372204299368619E-2</v>
      </c>
      <c r="E1300" s="14">
        <v>6.4584205812988751E-2</v>
      </c>
      <c r="F1300">
        <v>3.9999999999999998E-6</v>
      </c>
      <c r="G1300" s="3">
        <v>1.477309663377164E-3</v>
      </c>
      <c r="H1300" s="645"/>
      <c r="I1300" s="17" t="s">
        <v>1671</v>
      </c>
      <c r="J1300" s="383">
        <f t="shared" si="238"/>
        <v>1</v>
      </c>
      <c r="K1300" s="374"/>
      <c r="L1300" s="49"/>
      <c r="M1300" s="645"/>
      <c r="N1300" s="17" t="s">
        <v>1671</v>
      </c>
      <c r="O1300" s="384">
        <f>((21/3)+(47/3))/100</f>
        <v>0.22666666666666666</v>
      </c>
      <c r="P1300" s="17">
        <f t="shared" si="239"/>
        <v>30</v>
      </c>
      <c r="Q1300" s="17">
        <f>O1300*P1300</f>
        <v>6.8</v>
      </c>
      <c r="R1300" s="17">
        <v>1000</v>
      </c>
      <c r="S1300" s="228">
        <f t="shared" si="237"/>
        <v>0.5795619193727094</v>
      </c>
      <c r="T1300" s="374"/>
      <c r="U1300" s="49"/>
      <c r="V1300" s="645"/>
      <c r="W1300" s="17" t="s">
        <v>1671</v>
      </c>
      <c r="X1300" s="375" t="s">
        <v>1624</v>
      </c>
      <c r="Y1300" s="383">
        <f t="shared" si="240"/>
        <v>1</v>
      </c>
      <c r="Z1300" s="376" t="s">
        <v>1624</v>
      </c>
      <c r="AA1300" s="374"/>
      <c r="AB1300" s="49"/>
    </row>
    <row r="1301" spans="1:28" ht="12.75">
      <c r="A1301" s="399" t="s">
        <v>1672</v>
      </c>
      <c r="B1301" s="220" t="s">
        <v>1666</v>
      </c>
      <c r="C1301" s="220" t="s">
        <v>1666</v>
      </c>
      <c r="D1301" s="616">
        <v>3.372204299368619E-2</v>
      </c>
      <c r="E1301" s="14">
        <v>6.4584205812988751E-2</v>
      </c>
      <c r="F1301">
        <v>3.9999999999999998E-6</v>
      </c>
      <c r="G1301" s="3">
        <v>1.477309663377164E-3</v>
      </c>
      <c r="H1301" s="645"/>
      <c r="I1301" s="17" t="s">
        <v>1673</v>
      </c>
      <c r="J1301" s="383">
        <f>1/500*0.1/0.0001</f>
        <v>2</v>
      </c>
      <c r="K1301" s="374"/>
      <c r="L1301" s="49"/>
      <c r="M1301" s="645"/>
      <c r="N1301" s="17" t="s">
        <v>1673</v>
      </c>
      <c r="O1301" s="123" t="s">
        <v>931</v>
      </c>
      <c r="P1301" s="17">
        <f>2000/500*1000*0.1</f>
        <v>400</v>
      </c>
      <c r="Q1301" s="17">
        <v>3.8325804710361093</v>
      </c>
      <c r="R1301" s="17">
        <v>500</v>
      </c>
      <c r="S1301" s="228">
        <f t="shared" si="237"/>
        <v>0.16332483043706253</v>
      </c>
      <c r="T1301" s="374"/>
      <c r="U1301" s="49"/>
      <c r="V1301" s="645"/>
      <c r="W1301" s="17" t="s">
        <v>1673</v>
      </c>
      <c r="X1301" s="375">
        <f>-54.1*0.0001</f>
        <v>-5.4100000000000007E-3</v>
      </c>
      <c r="Y1301" s="383">
        <f>1/500*0.1/0.0001</f>
        <v>2</v>
      </c>
      <c r="Z1301" s="376">
        <f>Y1301*X1301</f>
        <v>-1.0820000000000001E-2</v>
      </c>
      <c r="AA1301" s="374"/>
      <c r="AB1301" s="49"/>
    </row>
    <row r="1302" spans="1:28" ht="12.75">
      <c r="A1302" s="399" t="s">
        <v>423</v>
      </c>
      <c r="B1302" s="14">
        <v>4.3862621284460186</v>
      </c>
      <c r="C1302" s="14">
        <f>B1302/B1296</f>
        <v>2.4399191744956106</v>
      </c>
      <c r="D1302" s="616">
        <f t="shared" ref="D1302:E1302" si="241">D$1294*$B1302</f>
        <v>8.22790593034603E-2</v>
      </c>
      <c r="E1302" s="14">
        <f t="shared" si="241"/>
        <v>0.15758024213268212</v>
      </c>
      <c r="F1302">
        <f t="shared" ref="F1302:F1303" si="242">F1295*C1302</f>
        <v>9.7596766979824417E-6</v>
      </c>
      <c r="G1302" s="3">
        <f t="shared" ref="G1302:G1304" si="243">G$1294*$B1302</f>
        <v>3.6045161743415983E-3</v>
      </c>
      <c r="H1302" s="645"/>
      <c r="I1302" s="17" t="s">
        <v>1674</v>
      </c>
      <c r="J1302" s="364">
        <f>1/250*0.1/0.0001</f>
        <v>4</v>
      </c>
      <c r="K1302" s="374"/>
      <c r="L1302" s="49"/>
      <c r="M1302" s="645"/>
      <c r="N1302" s="17" t="s">
        <v>1674</v>
      </c>
      <c r="O1302" s="367">
        <v>0.15</v>
      </c>
      <c r="P1302" s="17">
        <f>200/250*1000*0.1</f>
        <v>80</v>
      </c>
      <c r="Q1302" s="17">
        <f t="shared" ref="Q1302:Q1303" si="244">O1302*P1302</f>
        <v>12</v>
      </c>
      <c r="R1302" s="17">
        <v>250</v>
      </c>
      <c r="S1302" s="228">
        <f t="shared" si="237"/>
        <v>0.25568908207619534</v>
      </c>
      <c r="T1302" s="374"/>
      <c r="U1302" s="49"/>
      <c r="V1302" s="645"/>
      <c r="W1302" s="17" t="s">
        <v>1674</v>
      </c>
      <c r="X1302" s="375" t="s">
        <v>1624</v>
      </c>
      <c r="Y1302" s="364">
        <f>1/250*0.1/0.0001</f>
        <v>4</v>
      </c>
      <c r="Z1302" s="376" t="s">
        <v>1624</v>
      </c>
      <c r="AA1302" s="374"/>
      <c r="AB1302" s="49"/>
    </row>
    <row r="1303" spans="1:28" ht="12.75">
      <c r="A1303" s="399" t="s">
        <v>424</v>
      </c>
      <c r="B1303" s="14">
        <v>13.378429161969184</v>
      </c>
      <c r="C1303">
        <f>B1303/B1296</f>
        <v>7.4419368658399092</v>
      </c>
      <c r="D1303" s="616">
        <f t="shared" ref="D1303:E1303" si="245">D$1294*$B1303</f>
        <v>0.2509573149461517</v>
      </c>
      <c r="E1303" s="14">
        <f t="shared" si="245"/>
        <v>0.48063158219067315</v>
      </c>
      <c r="F1303">
        <f t="shared" si="242"/>
        <v>2.9767747463359634E-5</v>
      </c>
      <c r="G1303" s="3">
        <f t="shared" si="243"/>
        <v>1.0994045246148063E-2</v>
      </c>
      <c r="H1303" s="368"/>
      <c r="I1303" s="369" t="s">
        <v>1675</v>
      </c>
      <c r="J1303" s="400">
        <f>1/240*0.1/0.0001</f>
        <v>4.166666666666667</v>
      </c>
      <c r="K1303" s="371">
        <f>AVERAGE(J1272:J1303)</f>
        <v>3.5644787829745592</v>
      </c>
      <c r="L1303" s="49"/>
      <c r="M1303" s="368"/>
      <c r="N1303" s="369" t="s">
        <v>1675</v>
      </c>
      <c r="O1303" s="401">
        <f>((21/3)+(47/3))/100</f>
        <v>0.22666666666666666</v>
      </c>
      <c r="P1303" s="369">
        <f>150/240*1000*0.1</f>
        <v>62.5</v>
      </c>
      <c r="Q1303" s="369">
        <f t="shared" si="244"/>
        <v>14.166666666666666</v>
      </c>
      <c r="R1303" s="369">
        <v>240</v>
      </c>
      <c r="S1303" s="230">
        <f t="shared" si="237"/>
        <v>0.28978095968635476</v>
      </c>
      <c r="T1303" s="373">
        <f>SUM(S1272:S1303)</f>
        <v>5.3410486049528192</v>
      </c>
      <c r="U1303" s="49"/>
      <c r="V1303" s="368"/>
      <c r="W1303" s="369" t="s">
        <v>1675</v>
      </c>
      <c r="X1303" s="402" t="s">
        <v>1624</v>
      </c>
      <c r="Y1303" s="400">
        <f>1/240*0.1/0.0001</f>
        <v>4.166666666666667</v>
      </c>
      <c r="Z1303" s="403" t="s">
        <v>1624</v>
      </c>
      <c r="AA1303" s="373">
        <f>AVERAGE(Z1272:Z1303)</f>
        <v>5.9603582051746012E-2</v>
      </c>
      <c r="AB1303" s="49"/>
    </row>
    <row r="1304" spans="1:28" ht="12.75">
      <c r="A1304" s="766" t="s">
        <v>1640</v>
      </c>
      <c r="B1304" s="404">
        <v>3.0461863459999998</v>
      </c>
      <c r="C1304" s="405">
        <f>B1304/B1296</f>
        <v>1.6944834250764023</v>
      </c>
      <c r="D1304" s="406">
        <f t="shared" ref="D1304:E1304" si="246">D$1294*$B1304</f>
        <v>5.7141442912515071E-2</v>
      </c>
      <c r="E1304" s="404">
        <f t="shared" si="246"/>
        <v>0.10943686627183247</v>
      </c>
      <c r="F1304" s="404">
        <f>F1296*C1304</f>
        <v>6.7779337003056084E-6</v>
      </c>
      <c r="G1304" s="405">
        <f t="shared" si="243"/>
        <v>2.5032767382978036E-3</v>
      </c>
      <c r="H1304" s="82" t="s">
        <v>1595</v>
      </c>
      <c r="I1304" s="634"/>
      <c r="J1304" s="767">
        <f>0.000039218*0.1/0.0001</f>
        <v>3.9218000000000003E-2</v>
      </c>
      <c r="K1304" s="407">
        <f>J1304</f>
        <v>3.9218000000000003E-2</v>
      </c>
      <c r="L1304" s="768">
        <f>AVERAGE(K1303,K1271,K1304)</f>
        <v>1.8758354355946942</v>
      </c>
      <c r="M1304" s="82" t="s">
        <v>1595</v>
      </c>
      <c r="N1304" s="769">
        <v>1.0476000000000001E-3</v>
      </c>
      <c r="O1304" s="757">
        <f>0.882*2.86</f>
        <v>2.5225200000000001</v>
      </c>
      <c r="P1304" s="769">
        <f>N1304*O1304</f>
        <v>2.6425919520000002E-3</v>
      </c>
      <c r="Q1304" s="757">
        <f>P1304*1000</f>
        <v>2.6425919520000001</v>
      </c>
      <c r="R1304" s="634"/>
      <c r="S1304" s="634"/>
      <c r="T1304" s="408">
        <f>Q1304</f>
        <v>2.6425919520000001</v>
      </c>
      <c r="U1304" s="681">
        <f>AVERAGE(T1303,T1271,T1304)</f>
        <v>3.592586068003881</v>
      </c>
      <c r="V1304" s="409" t="s">
        <v>1595</v>
      </c>
      <c r="W1304" s="410"/>
      <c r="X1304" s="411"/>
      <c r="Y1304" s="411"/>
      <c r="Z1304" s="412">
        <f t="shared" ref="Z1304:Z1305" si="247">Y1304</f>
        <v>0</v>
      </c>
      <c r="AA1304" s="413">
        <f>(0.32286)*0.1</f>
        <v>3.2286000000000002E-2</v>
      </c>
      <c r="AB1304" s="663"/>
    </row>
    <row r="1305" spans="1:28" ht="12.75">
      <c r="A1305" s="10" t="s">
        <v>538</v>
      </c>
      <c r="B1305" s="14" t="s">
        <v>867</v>
      </c>
      <c r="V1305" s="414" t="s">
        <v>1676</v>
      </c>
      <c r="W1305" s="770"/>
      <c r="X1305" s="767"/>
      <c r="Y1305" s="767"/>
      <c r="Z1305" s="415">
        <f t="shared" si="247"/>
        <v>0</v>
      </c>
      <c r="AA1305" s="416">
        <f>0.26*0.220462</f>
        <v>5.7320120000000002E-2</v>
      </c>
      <c r="AB1305" s="771">
        <f>AVERAGE(AA1271,AA1303,AA1304,AA1305)</f>
        <v>8.2177425512936497E-2</v>
      </c>
    </row>
    <row r="1306" spans="1:28" ht="12.75">
      <c r="A1306" s="10"/>
      <c r="B1306" s="655" t="s">
        <v>1677</v>
      </c>
    </row>
    <row r="1307" spans="1:28" ht="12.75">
      <c r="A1307" s="10"/>
      <c r="B1307" s="66" t="s">
        <v>1459</v>
      </c>
    </row>
    <row r="1308" spans="1:28" ht="12.75">
      <c r="A1308" s="10"/>
      <c r="B1308" s="66" t="s">
        <v>1678</v>
      </c>
    </row>
    <row r="1309" spans="1:28" ht="12.75">
      <c r="A1309" s="10"/>
      <c r="B1309" s="66" t="s">
        <v>1679</v>
      </c>
    </row>
    <row r="1310" spans="1:28" ht="12.75">
      <c r="B1310" s="66" t="s">
        <v>1680</v>
      </c>
    </row>
    <row r="1311" spans="1:28" ht="12.75">
      <c r="B1311" s="14" t="s">
        <v>1681</v>
      </c>
    </row>
    <row r="1312" spans="1:28" ht="12.75">
      <c r="A1312" s="10"/>
    </row>
    <row r="1313" spans="1:66" ht="12.75">
      <c r="A1313" s="10"/>
    </row>
    <row r="1314" spans="1:66" ht="12.75">
      <c r="A1314" s="306"/>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row>
    <row r="1315" spans="1:66" ht="28.5" customHeight="1">
      <c r="A1315" s="38" t="s">
        <v>1682</v>
      </c>
    </row>
    <row r="1317" spans="1:66" s="92" customFormat="1" ht="38.25">
      <c r="A1317" s="208" t="s">
        <v>1683</v>
      </c>
      <c r="B1317" s="202" t="s">
        <v>1684</v>
      </c>
      <c r="C1317" s="202" t="s">
        <v>1685</v>
      </c>
      <c r="D1317" s="202" t="s">
        <v>1686</v>
      </c>
      <c r="E1317" s="202" t="s">
        <v>1687</v>
      </c>
      <c r="F1317" s="209" t="s">
        <v>1688</v>
      </c>
      <c r="J1317" s="81"/>
      <c r="K1317" s="81"/>
      <c r="L1317" s="81"/>
      <c r="M1317" s="6"/>
    </row>
    <row r="1318" spans="1:66" ht="12.75">
      <c r="A1318" s="67"/>
      <c r="B1318" s="417">
        <v>0.23</v>
      </c>
      <c r="C1318" s="117">
        <v>900</v>
      </c>
      <c r="D1318" s="117">
        <f>C1318*B1318*1000</f>
        <v>207000</v>
      </c>
      <c r="E1318" s="117">
        <f>B1320/10000</f>
        <v>1.3100000000000001E-4</v>
      </c>
      <c r="F1318" s="118">
        <f>E1318*D1318</f>
        <v>27.117000000000004</v>
      </c>
      <c r="J1318" s="14"/>
      <c r="K1318" s="14"/>
      <c r="L1318" s="14"/>
      <c r="M1318" s="148"/>
    </row>
    <row r="1319" spans="1:66" s="92" customFormat="1" ht="25.5">
      <c r="A1319" s="208" t="s">
        <v>1689</v>
      </c>
      <c r="B1319" s="202" t="s">
        <v>1690</v>
      </c>
      <c r="C1319" s="209" t="s">
        <v>1691</v>
      </c>
      <c r="D1319" s="202" t="s">
        <v>1692</v>
      </c>
      <c r="E1319" s="209" t="s">
        <v>1693</v>
      </c>
      <c r="F1319" s="202" t="s">
        <v>1694</v>
      </c>
      <c r="G1319" s="209" t="s">
        <v>1695</v>
      </c>
      <c r="H1319" s="202" t="s">
        <v>1696</v>
      </c>
      <c r="I1319" s="209" t="s">
        <v>1697</v>
      </c>
      <c r="J1319" s="81"/>
      <c r="K1319" s="81"/>
      <c r="L1319" s="81"/>
      <c r="M1319" s="6"/>
    </row>
    <row r="1320" spans="1:66" ht="12.75">
      <c r="A1320" s="70"/>
      <c r="B1320" s="45">
        <v>1.31</v>
      </c>
      <c r="C1320" s="642">
        <f>B1320*10000/10000</f>
        <v>1.31</v>
      </c>
      <c r="D1320" s="45">
        <v>1.87</v>
      </c>
      <c r="E1320" s="642">
        <f>D1320*1000/10000</f>
        <v>0.187</v>
      </c>
      <c r="F1320" s="117"/>
      <c r="G1320" s="690">
        <f>F1318</f>
        <v>27.117000000000004</v>
      </c>
      <c r="H1320" s="117">
        <v>41</v>
      </c>
      <c r="I1320" s="690">
        <f>H1320/10000</f>
        <v>4.1000000000000003E-3</v>
      </c>
      <c r="J1320" s="14"/>
      <c r="K1320" s="14"/>
      <c r="L1320" s="14"/>
      <c r="M1320" s="148"/>
    </row>
    <row r="1321" spans="1:66" s="92" customFormat="1" ht="60">
      <c r="A1321" s="52" t="s">
        <v>1698</v>
      </c>
      <c r="B1321" s="641" t="s">
        <v>533</v>
      </c>
      <c r="C1321" s="641" t="s">
        <v>543</v>
      </c>
      <c r="D1321" s="641" t="s">
        <v>603</v>
      </c>
      <c r="E1321" s="48" t="s">
        <v>535</v>
      </c>
      <c r="J1321" s="81"/>
      <c r="K1321" s="81"/>
      <c r="L1321" s="81"/>
      <c r="M1321" s="6"/>
    </row>
    <row r="1322" spans="1:66" ht="12.75">
      <c r="A1322" s="201"/>
      <c r="B1322" s="617">
        <f>C1320/100</f>
        <v>1.3100000000000001E-2</v>
      </c>
      <c r="C1322" s="617">
        <f>G1320/100</f>
        <v>0.27117000000000002</v>
      </c>
      <c r="D1322" s="617">
        <f>I1320/100</f>
        <v>4.1E-5</v>
      </c>
      <c r="E1322" s="5">
        <f>E1320/100</f>
        <v>1.8699999999999999E-3</v>
      </c>
      <c r="J1322" s="14"/>
      <c r="K1322" s="14"/>
      <c r="L1322" s="14"/>
      <c r="M1322" s="148"/>
    </row>
    <row r="1323" spans="1:66" ht="12.75">
      <c r="A1323" s="14" t="s">
        <v>538</v>
      </c>
      <c r="B1323" s="418" t="s">
        <v>1699</v>
      </c>
      <c r="J1323" s="14"/>
      <c r="K1323" s="14"/>
      <c r="L1323" s="14"/>
      <c r="M1323" s="148"/>
    </row>
    <row r="1324" spans="1:66" ht="12.75">
      <c r="A1324" s="14"/>
      <c r="B1324" s="14" t="s">
        <v>1700</v>
      </c>
      <c r="C1324" s="14"/>
      <c r="D1324" s="14"/>
      <c r="E1324" s="14"/>
      <c r="F1324" s="14"/>
      <c r="G1324" s="14"/>
      <c r="H1324" s="14"/>
      <c r="I1324" s="14"/>
      <c r="J1324" s="14"/>
      <c r="K1324" s="14"/>
      <c r="L1324" s="14"/>
      <c r="M1324" s="148"/>
    </row>
    <row r="1325" spans="1:66" ht="12.75">
      <c r="A1325" s="14"/>
      <c r="B1325" s="14" t="s">
        <v>1701</v>
      </c>
      <c r="C1325" s="14"/>
      <c r="D1325" s="14"/>
      <c r="E1325" s="14"/>
      <c r="F1325" s="14"/>
      <c r="G1325" s="14"/>
      <c r="H1325" s="14"/>
      <c r="I1325" s="14"/>
      <c r="J1325" s="14"/>
      <c r="K1325" s="14"/>
      <c r="L1325" s="14"/>
      <c r="M1325" s="148"/>
    </row>
    <row r="1326" spans="1:66" ht="12.75">
      <c r="C1326" s="14"/>
      <c r="D1326" s="14"/>
      <c r="E1326" s="14"/>
      <c r="F1326" s="14"/>
      <c r="G1326" s="14"/>
      <c r="H1326" s="14"/>
      <c r="I1326" s="14"/>
      <c r="J1326" s="14"/>
      <c r="K1326" s="14"/>
      <c r="L1326" s="14"/>
      <c r="M1326" s="148"/>
    </row>
    <row r="1327" spans="1:66" ht="12.75">
      <c r="A1327" s="14"/>
      <c r="B1327" s="14"/>
      <c r="C1327" s="14"/>
      <c r="D1327" s="14"/>
      <c r="E1327" s="14"/>
      <c r="F1327" s="14"/>
      <c r="G1327" s="14"/>
      <c r="H1327" s="14"/>
      <c r="I1327" s="14"/>
      <c r="J1327" s="14"/>
      <c r="K1327" s="14"/>
      <c r="L1327" s="14"/>
      <c r="M1327" s="148"/>
    </row>
    <row r="1328" spans="1:66" s="92" customFormat="1" ht="38.25">
      <c r="A1328" s="1016" t="s">
        <v>1702</v>
      </c>
      <c r="B1328" s="657" t="s">
        <v>1703</v>
      </c>
      <c r="C1328" s="657" t="s">
        <v>1704</v>
      </c>
      <c r="D1328" s="758" t="s">
        <v>1705</v>
      </c>
      <c r="E1328" s="657" t="s">
        <v>1706</v>
      </c>
      <c r="F1328" s="758" t="s">
        <v>1707</v>
      </c>
      <c r="G1328" s="657" t="s">
        <v>1708</v>
      </c>
      <c r="H1328" s="758" t="s">
        <v>1688</v>
      </c>
      <c r="I1328" s="657" t="s">
        <v>1709</v>
      </c>
      <c r="J1328" s="758" t="s">
        <v>1710</v>
      </c>
      <c r="K1328" s="657" t="s">
        <v>1711</v>
      </c>
      <c r="L1328" s="758" t="s">
        <v>1211</v>
      </c>
      <c r="M1328" s="6"/>
    </row>
    <row r="1329" spans="1:13" ht="12.75">
      <c r="A1329" s="130"/>
      <c r="B1329" s="634">
        <f>AVERAGE(1.84,2.21)</f>
        <v>2.0249999999999999</v>
      </c>
      <c r="C1329" s="634">
        <f>((0.27+0.35)/2)*((0.75+0.85)/2)</f>
        <v>0.248</v>
      </c>
      <c r="D1329" s="127">
        <f>B1329*C1329</f>
        <v>0.50219999999999998</v>
      </c>
      <c r="E1329" s="634">
        <f>1/D1329</f>
        <v>1.9912385503783354</v>
      </c>
      <c r="F1329" s="681">
        <f>E1329*10000/10000</f>
        <v>1.9912385503783352</v>
      </c>
      <c r="G1329" s="634">
        <f>260*0.11</f>
        <v>28.6</v>
      </c>
      <c r="H1329" s="681">
        <f>G1329*1000*E1329/10000</f>
        <v>5.6949422540820391</v>
      </c>
      <c r="I1329" s="634">
        <f>((1600+2300)/2)</f>
        <v>1950</v>
      </c>
      <c r="J1329" s="681">
        <f>I1329*E1329/10000</f>
        <v>0.38829151732377543</v>
      </c>
      <c r="K1329" s="634">
        <f>AVERAGE(2751.4,2905.5)</f>
        <v>2828.45</v>
      </c>
      <c r="L1329" s="681">
        <f>K1329*E1329/10000</f>
        <v>0.56321186778176024</v>
      </c>
      <c r="M1329" s="148"/>
    </row>
    <row r="1330" spans="1:13" s="92" customFormat="1" ht="60">
      <c r="A1330" s="52" t="s">
        <v>1712</v>
      </c>
      <c r="B1330" s="641" t="s">
        <v>533</v>
      </c>
      <c r="C1330" s="641" t="s">
        <v>543</v>
      </c>
      <c r="D1330" s="641" t="s">
        <v>603</v>
      </c>
      <c r="E1330" s="48" t="s">
        <v>535</v>
      </c>
    </row>
    <row r="1331" spans="1:13" ht="12.75">
      <c r="A1331" s="201"/>
      <c r="B1331" s="617">
        <f>F1329/100</f>
        <v>1.9912385503783353E-2</v>
      </c>
      <c r="C1331" s="617">
        <f>H1329/100</f>
        <v>5.6949422540820388E-2</v>
      </c>
      <c r="D1331" s="617">
        <f>J1329/100</f>
        <v>3.8829151732377542E-3</v>
      </c>
      <c r="E1331" s="5">
        <f>L1329/100</f>
        <v>5.6321186778176026E-3</v>
      </c>
    </row>
    <row r="1332" spans="1:13" ht="12.75">
      <c r="A1332" s="14" t="s">
        <v>538</v>
      </c>
      <c r="B1332" s="66" t="s">
        <v>1713</v>
      </c>
    </row>
    <row r="1333" spans="1:13" ht="12.75">
      <c r="A1333" s="14"/>
      <c r="B1333" s="14"/>
      <c r="C1333" s="14"/>
      <c r="D1333" s="14"/>
      <c r="E1333" s="14"/>
      <c r="F1333" s="14"/>
      <c r="G1333" s="14"/>
      <c r="H1333" s="14"/>
      <c r="I1333" s="14"/>
      <c r="J1333" s="14"/>
      <c r="K1333" s="14"/>
      <c r="L1333" s="14"/>
      <c r="M1333" s="148"/>
    </row>
    <row r="1334" spans="1:13" ht="12.75">
      <c r="A1334" s="14"/>
      <c r="B1334" s="14"/>
      <c r="C1334" s="14"/>
      <c r="D1334" s="14"/>
      <c r="E1334" s="14"/>
      <c r="F1334" s="14"/>
      <c r="G1334" s="14"/>
      <c r="H1334" s="14"/>
      <c r="I1334" s="14"/>
      <c r="J1334" s="14"/>
      <c r="K1334" s="14"/>
      <c r="L1334" s="14"/>
      <c r="M1334" s="148"/>
    </row>
    <row r="1335" spans="1:13" s="92" customFormat="1" ht="64.5">
      <c r="A1335" s="47" t="s">
        <v>1714</v>
      </c>
      <c r="B1335" s="644" t="s">
        <v>1715</v>
      </c>
      <c r="C1335" s="644" t="s">
        <v>1716</v>
      </c>
      <c r="D1335" s="644" t="s">
        <v>1717</v>
      </c>
      <c r="E1335" s="641" t="s">
        <v>625</v>
      </c>
      <c r="F1335" s="641" t="s">
        <v>534</v>
      </c>
      <c r="G1335" s="641" t="s">
        <v>720</v>
      </c>
      <c r="H1335" s="48" t="s">
        <v>722</v>
      </c>
    </row>
    <row r="1336" spans="1:13" ht="12.75">
      <c r="A1336" s="616" t="s">
        <v>1718</v>
      </c>
      <c r="E1336" s="419">
        <v>2.6118837818154398E-3</v>
      </c>
      <c r="F1336" s="419">
        <v>0.140322918843931</v>
      </c>
      <c r="G1336" s="419">
        <v>8.1000000000000004E-5</v>
      </c>
      <c r="H1336" s="419">
        <v>5.947856223213814E-4</v>
      </c>
      <c r="I1336" s="14" t="s">
        <v>1719</v>
      </c>
    </row>
    <row r="1337" spans="1:13" ht="12.75">
      <c r="A1337" s="4" t="s">
        <v>1720</v>
      </c>
      <c r="B1337" s="617">
        <f>(9*453.592)/8*8/0.89/3558.4</f>
        <v>1.2890302926198367</v>
      </c>
      <c r="C1337" s="617">
        <f>50/5</f>
        <v>10</v>
      </c>
      <c r="D1337" s="617">
        <f>B1337*C1337</f>
        <v>12.890302926198366</v>
      </c>
      <c r="E1337" s="646">
        <f t="shared" ref="E1337:H1337" si="248">E1336/$D1337</f>
        <v>2.0262392565709405E-4</v>
      </c>
      <c r="F1337" s="646">
        <f t="shared" si="248"/>
        <v>1.0885928720785719E-2</v>
      </c>
      <c r="G1337" s="646">
        <f t="shared" si="248"/>
        <v>6.2837933649623454E-6</v>
      </c>
      <c r="H1337" s="646">
        <f t="shared" si="248"/>
        <v>4.6142098112569087E-5</v>
      </c>
      <c r="I1337" s="14" t="s">
        <v>1721</v>
      </c>
    </row>
    <row r="1338" spans="1:13" ht="15">
      <c r="A1338" s="14" t="s">
        <v>538</v>
      </c>
      <c r="B1338" s="655" t="s">
        <v>1722</v>
      </c>
      <c r="C1338" s="55"/>
      <c r="D1338" s="14"/>
      <c r="H1338" s="14"/>
    </row>
    <row r="1339" spans="1:13" ht="12.75">
      <c r="B1339" s="655" t="s">
        <v>1723</v>
      </c>
    </row>
    <row r="1340" spans="1:13" ht="12.75">
      <c r="B1340" s="88" t="s">
        <v>1724</v>
      </c>
    </row>
    <row r="1341" spans="1:13" ht="15">
      <c r="B1341" s="420" t="s">
        <v>1725</v>
      </c>
    </row>
    <row r="1342" spans="1:13" ht="12.75">
      <c r="B1342" s="14" t="s">
        <v>1726</v>
      </c>
    </row>
    <row r="1345" spans="1:66" s="92" customFormat="1" ht="60">
      <c r="A1345" s="52" t="s">
        <v>1727</v>
      </c>
      <c r="B1345" s="641" t="s">
        <v>533</v>
      </c>
      <c r="C1345" s="641" t="s">
        <v>543</v>
      </c>
      <c r="D1345" s="641" t="s">
        <v>603</v>
      </c>
      <c r="E1345" s="48" t="s">
        <v>535</v>
      </c>
    </row>
    <row r="1346" spans="1:66" ht="12.75">
      <c r="A1346" s="201"/>
      <c r="B1346" s="617">
        <v>0</v>
      </c>
      <c r="C1346" s="617">
        <v>0</v>
      </c>
      <c r="D1346" s="617">
        <v>0</v>
      </c>
      <c r="E1346" s="5">
        <v>0</v>
      </c>
    </row>
    <row r="1347" spans="1:66" ht="12.75">
      <c r="A1347" s="24" t="s">
        <v>538</v>
      </c>
      <c r="B1347" s="14" t="s">
        <v>1728</v>
      </c>
    </row>
    <row r="1350" spans="1:66" ht="12.75">
      <c r="A1350" s="306"/>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row>
    <row r="1351" spans="1:66" ht="30.75" customHeight="1">
      <c r="A1351" s="38" t="s">
        <v>1729</v>
      </c>
    </row>
    <row r="1352" spans="1:66" ht="18">
      <c r="A1352" s="421"/>
      <c r="B1352" s="422"/>
      <c r="C1352" s="422"/>
      <c r="D1352" s="422"/>
      <c r="E1352" s="422"/>
      <c r="F1352" s="422"/>
      <c r="G1352" s="422"/>
      <c r="H1352" s="422"/>
      <c r="I1352" s="422"/>
      <c r="J1352" s="422"/>
      <c r="K1352" s="422"/>
      <c r="L1352" s="422"/>
      <c r="M1352" s="422"/>
      <c r="N1352" s="422"/>
      <c r="O1352" s="422"/>
      <c r="P1352" s="422"/>
      <c r="Q1352" s="422"/>
      <c r="R1352" s="422"/>
      <c r="S1352" s="422"/>
      <c r="T1352" s="422"/>
      <c r="U1352" s="422"/>
      <c r="V1352" s="422"/>
      <c r="W1352" s="422"/>
      <c r="X1352" s="422"/>
      <c r="Y1352" s="422"/>
      <c r="Z1352" s="422"/>
      <c r="AA1352" s="422"/>
      <c r="AB1352" s="422"/>
      <c r="AC1352" s="422"/>
      <c r="AD1352" s="422"/>
      <c r="AE1352" s="422"/>
      <c r="AF1352" s="422"/>
      <c r="AG1352" s="422"/>
      <c r="AH1352" s="422"/>
      <c r="AI1352" s="422"/>
      <c r="AJ1352" s="422"/>
      <c r="AK1352" s="422"/>
      <c r="AL1352" s="422"/>
      <c r="AM1352" s="422"/>
      <c r="AN1352" s="422"/>
      <c r="AO1352" s="422"/>
      <c r="AP1352" s="422"/>
      <c r="AQ1352" s="422"/>
      <c r="AR1352" s="422"/>
      <c r="AS1352" s="422"/>
      <c r="AT1352" s="422"/>
      <c r="AU1352" s="422"/>
      <c r="AV1352" s="422"/>
      <c r="AW1352" s="422"/>
      <c r="AX1352" s="422"/>
      <c r="AY1352" s="422"/>
      <c r="AZ1352" s="422"/>
      <c r="BA1352" s="422"/>
      <c r="BB1352" s="422"/>
      <c r="BC1352" s="422"/>
      <c r="BD1352" s="422"/>
      <c r="BE1352" s="422"/>
      <c r="BF1352" s="422"/>
      <c r="BG1352" s="422"/>
      <c r="BH1352" s="422"/>
      <c r="BI1352" s="422"/>
      <c r="BJ1352" s="422"/>
      <c r="BK1352" s="422"/>
      <c r="BL1352" s="422"/>
      <c r="BM1352" s="422"/>
      <c r="BN1352" s="422"/>
    </row>
    <row r="1353" spans="1:66" ht="18">
      <c r="A1353" s="421" t="s">
        <v>1730</v>
      </c>
      <c r="B1353" s="422"/>
      <c r="C1353" s="422"/>
      <c r="D1353" s="422"/>
      <c r="E1353" s="422"/>
      <c r="F1353" s="422"/>
      <c r="G1353" s="422"/>
      <c r="H1353" s="422"/>
      <c r="I1353" s="422"/>
      <c r="J1353" s="422"/>
      <c r="K1353" s="422"/>
      <c r="L1353" s="422"/>
      <c r="M1353" s="422"/>
      <c r="N1353" s="422"/>
      <c r="O1353" s="422"/>
      <c r="P1353" s="422"/>
      <c r="Q1353" s="422"/>
      <c r="R1353" s="422"/>
      <c r="S1353" s="422"/>
      <c r="T1353" s="422"/>
      <c r="U1353" s="422"/>
      <c r="V1353" s="422"/>
      <c r="W1353" s="422"/>
      <c r="X1353" s="422"/>
      <c r="Y1353" s="422"/>
      <c r="Z1353" s="422"/>
      <c r="AA1353" s="422"/>
      <c r="AB1353" s="422"/>
      <c r="AC1353" s="422"/>
      <c r="AD1353" s="422"/>
      <c r="AE1353" s="422"/>
      <c r="AF1353" s="422"/>
      <c r="AG1353" s="422"/>
      <c r="AH1353" s="422"/>
      <c r="AI1353" s="422"/>
      <c r="AJ1353" s="422"/>
      <c r="AK1353" s="422"/>
      <c r="AL1353" s="422"/>
      <c r="AM1353" s="422"/>
      <c r="AN1353" s="422"/>
      <c r="AO1353" s="422"/>
      <c r="AP1353" s="422"/>
      <c r="AQ1353" s="422"/>
      <c r="AR1353" s="422"/>
      <c r="AS1353" s="422"/>
      <c r="AT1353" s="422"/>
      <c r="AU1353" s="422"/>
      <c r="AV1353" s="422"/>
      <c r="AW1353" s="422"/>
      <c r="AX1353" s="422"/>
      <c r="AY1353" s="422"/>
      <c r="AZ1353" s="422"/>
      <c r="BA1353" s="422"/>
      <c r="BB1353" s="422"/>
      <c r="BC1353" s="422"/>
      <c r="BD1353" s="422"/>
      <c r="BE1353" s="422"/>
      <c r="BF1353" s="422"/>
      <c r="BG1353" s="422"/>
      <c r="BH1353" s="422"/>
      <c r="BI1353" s="422"/>
      <c r="BJ1353" s="422"/>
      <c r="BK1353" s="422"/>
      <c r="BL1353" s="422"/>
      <c r="BM1353" s="422"/>
      <c r="BN1353" s="422"/>
    </row>
    <row r="1354" spans="1:66" ht="12.75">
      <c r="A1354" s="24" t="s">
        <v>1731</v>
      </c>
      <c r="B1354" s="14"/>
      <c r="C1354" s="14"/>
      <c r="D1354" s="14"/>
      <c r="E1354" s="14"/>
      <c r="F1354" s="14"/>
      <c r="G1354" s="81"/>
    </row>
    <row r="1355" spans="1:66" ht="12.75">
      <c r="A1355" s="14" t="s">
        <v>538</v>
      </c>
      <c r="B1355" s="14" t="s">
        <v>1732</v>
      </c>
    </row>
    <row r="1356" spans="1:66" ht="12.75">
      <c r="B1356" s="655" t="s">
        <v>1733</v>
      </c>
    </row>
    <row r="1359" spans="1:66" ht="18">
      <c r="A1359" s="421" t="s">
        <v>1734</v>
      </c>
    </row>
    <row r="1360" spans="1:66" ht="12.75">
      <c r="A1360" s="305" t="s">
        <v>1735</v>
      </c>
      <c r="B1360" s="305" t="s">
        <v>1736</v>
      </c>
    </row>
    <row r="1361" spans="1:4" ht="12.75">
      <c r="A1361" s="274" t="s">
        <v>570</v>
      </c>
      <c r="B1361" s="423" t="s">
        <v>1737</v>
      </c>
    </row>
    <row r="1362" spans="1:4" ht="12.75">
      <c r="A1362" s="274" t="s">
        <v>1167</v>
      </c>
      <c r="B1362" s="423" t="s">
        <v>1738</v>
      </c>
    </row>
    <row r="1363" spans="1:4" ht="12.75">
      <c r="A1363" s="772" t="s">
        <v>656</v>
      </c>
      <c r="B1363" s="423" t="s">
        <v>1738</v>
      </c>
    </row>
    <row r="1364" spans="1:4" ht="12.75">
      <c r="A1364" s="772" t="s">
        <v>1067</v>
      </c>
      <c r="B1364" s="423" t="s">
        <v>1737</v>
      </c>
    </row>
    <row r="1365" spans="1:4" ht="12.75">
      <c r="A1365" s="424" t="s">
        <v>1739</v>
      </c>
      <c r="B1365" s="425" t="s">
        <v>1740</v>
      </c>
    </row>
    <row r="1366" spans="1:4" ht="12.75">
      <c r="B1366" s="14"/>
    </row>
    <row r="1367" spans="1:4" ht="12.75">
      <c r="A1367" s="14" t="s">
        <v>1741</v>
      </c>
      <c r="B1367" s="14"/>
    </row>
    <row r="1368" spans="1:4" ht="12.75">
      <c r="A1368" s="655" t="s">
        <v>1742</v>
      </c>
      <c r="B1368" s="14"/>
    </row>
    <row r="1369" spans="1:4" ht="12.75">
      <c r="B1369" s="14"/>
    </row>
    <row r="1371" spans="1:4" ht="18">
      <c r="A1371" s="421" t="s">
        <v>1743</v>
      </c>
    </row>
    <row r="1372" spans="1:4" ht="12.75">
      <c r="A1372" s="14" t="s">
        <v>1744</v>
      </c>
    </row>
    <row r="1373" spans="1:4" ht="12.75">
      <c r="A1373" s="14" t="s">
        <v>1745</v>
      </c>
    </row>
    <row r="1374" spans="1:4" ht="12.75">
      <c r="A1374" s="14" t="s">
        <v>1746</v>
      </c>
      <c r="B1374" s="305" t="s">
        <v>1747</v>
      </c>
      <c r="C1374" s="305" t="s">
        <v>1748</v>
      </c>
      <c r="D1374" s="305" t="s">
        <v>667</v>
      </c>
    </row>
    <row r="1375" spans="1:4" ht="12.75">
      <c r="B1375" s="274" t="s">
        <v>1749</v>
      </c>
      <c r="C1375" s="274" t="s">
        <v>1750</v>
      </c>
      <c r="D1375" s="274">
        <v>10.4</v>
      </c>
    </row>
    <row r="1376" spans="1:4" ht="12.75">
      <c r="B1376" s="274" t="s">
        <v>1718</v>
      </c>
      <c r="C1376" s="274" t="s">
        <v>1751</v>
      </c>
      <c r="D1376" s="274">
        <v>5</v>
      </c>
    </row>
    <row r="1377" spans="1:66" ht="12.75">
      <c r="B1377" s="274" t="s">
        <v>1752</v>
      </c>
      <c r="C1377" s="274" t="s">
        <v>1753</v>
      </c>
      <c r="D1377" s="274">
        <v>5</v>
      </c>
    </row>
    <row r="1378" spans="1:66" ht="12.75">
      <c r="B1378" s="274" t="s">
        <v>1752</v>
      </c>
      <c r="C1378" s="274" t="s">
        <v>1754</v>
      </c>
      <c r="D1378" s="274">
        <v>5</v>
      </c>
    </row>
    <row r="1379" spans="1:66" ht="12.75">
      <c r="B1379" s="274" t="s">
        <v>1752</v>
      </c>
      <c r="C1379" s="274" t="s">
        <v>1755</v>
      </c>
      <c r="D1379" s="274">
        <v>5</v>
      </c>
    </row>
    <row r="1380" spans="1:66" ht="12.75">
      <c r="B1380" s="274" t="s">
        <v>1756</v>
      </c>
      <c r="C1380" s="274" t="s">
        <v>1757</v>
      </c>
      <c r="D1380" s="274">
        <v>5</v>
      </c>
    </row>
    <row r="1381" spans="1:66" ht="12.75">
      <c r="B1381" s="274" t="s">
        <v>1758</v>
      </c>
      <c r="C1381" s="274" t="s">
        <v>1759</v>
      </c>
      <c r="D1381" s="274">
        <v>5</v>
      </c>
    </row>
    <row r="1382" spans="1:66" ht="12.75">
      <c r="B1382" s="424" t="s">
        <v>1758</v>
      </c>
      <c r="C1382" s="424" t="s">
        <v>1760</v>
      </c>
      <c r="D1382" s="424">
        <v>5</v>
      </c>
    </row>
    <row r="1385" spans="1:66" ht="12.75">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row>
    <row r="1386" spans="1:66" ht="12.75">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row>
  </sheetData>
  <hyperlinks>
    <hyperlink ref="B39" r:id="rId1"/>
    <hyperlink ref="B40" r:id="rId2"/>
    <hyperlink ref="B47" r:id="rId3"/>
    <hyperlink ref="B49" r:id="rId4" location="/food-details/1103193/nutrients"/>
    <hyperlink ref="B50" r:id="rId5" location="/food-details/1103193/nutrients)"/>
    <hyperlink ref="B57" r:id="rId6"/>
    <hyperlink ref="B58" r:id="rId7" location="/food-details/1103193/nutrients)"/>
    <hyperlink ref="C76" r:id="rId8"/>
    <hyperlink ref="A87" r:id="rId9"/>
    <hyperlink ref="B94" r:id="rId10"/>
    <hyperlink ref="B95" r:id="rId11" location="/food-details/1103193/nutrients)"/>
    <hyperlink ref="B103" r:id="rId12"/>
    <hyperlink ref="B104" r:id="rId13"/>
    <hyperlink ref="B114" r:id="rId14"/>
    <hyperlink ref="B131" r:id="rId15"/>
    <hyperlink ref="B144" r:id="rId16" location="/food-details/1103193/nutrients)"/>
    <hyperlink ref="B145" r:id="rId17" location="/food-details/1103193/nutrients)"/>
    <hyperlink ref="B163" r:id="rId18"/>
    <hyperlink ref="B189" r:id="rId19"/>
    <hyperlink ref="B190" r:id="rId20"/>
    <hyperlink ref="C224" r:id="rId21"/>
    <hyperlink ref="C233" r:id="rId22"/>
    <hyperlink ref="B241" r:id="rId23"/>
    <hyperlink ref="B242" r:id="rId24"/>
    <hyperlink ref="B288" r:id="rId25"/>
    <hyperlink ref="B289" r:id="rId26" location="/food-details/1103193/nutrients)"/>
    <hyperlink ref="B303" r:id="rId27"/>
    <hyperlink ref="B322" r:id="rId28"/>
    <hyperlink ref="B328" r:id="rId29" location="/food-details/1103193/nutrients)"/>
    <hyperlink ref="B329" r:id="rId30" location="/food-details/1103193/nutrients)"/>
    <hyperlink ref="B345" r:id="rId31" location="/food-details/171697/nutrients"/>
    <hyperlink ref="B404" r:id="rId32" location="/food-details/1103193/nutrients)"/>
    <hyperlink ref="B421" r:id="rId33"/>
    <hyperlink ref="B432" r:id="rId34" location="/food-details/1103193/nutrients)"/>
    <hyperlink ref="B441" r:id="rId35"/>
    <hyperlink ref="B442" r:id="rId36"/>
    <hyperlink ref="B450" r:id="rId37"/>
    <hyperlink ref="B489" r:id="rId38"/>
    <hyperlink ref="B490" r:id="rId39"/>
    <hyperlink ref="B492" r:id="rId40"/>
    <hyperlink ref="B514" r:id="rId41"/>
    <hyperlink ref="B522" r:id="rId42"/>
    <hyperlink ref="B529" r:id="rId43"/>
    <hyperlink ref="B543" r:id="rId44" location="/food-details/1103193/nutrients)"/>
    <hyperlink ref="B575" r:id="rId45"/>
    <hyperlink ref="B587" r:id="rId46"/>
    <hyperlink ref="B588" r:id="rId47" location="/food-details/1103193/nutrients)"/>
    <hyperlink ref="B589" r:id="rId48" location="/food-details/1103193/nutrients)"/>
    <hyperlink ref="B605" r:id="rId49" location="How_much_uncooked_rice_equals_how_much_cooked_rice"/>
    <hyperlink ref="B606" r:id="rId50"/>
    <hyperlink ref="B614" r:id="rId51"/>
    <hyperlink ref="B643" r:id="rId52"/>
    <hyperlink ref="B644" r:id="rId53" location="/food-details/1103193/nutrients)"/>
    <hyperlink ref="B657" r:id="rId54" location="/food-details/1103193/nutrients)"/>
    <hyperlink ref="B666" r:id="rId55" location="/food-details/1103193/nutrients)"/>
    <hyperlink ref="B674" r:id="rId56"/>
    <hyperlink ref="B685" r:id="rId57"/>
    <hyperlink ref="B692" r:id="rId58"/>
    <hyperlink ref="B706" r:id="rId59"/>
    <hyperlink ref="B707" r:id="rId60" location="/food-details/1103193/nutrients)"/>
    <hyperlink ref="B730" r:id="rId61" location="/food-details/1103193/nutrients)"/>
    <hyperlink ref="B752" r:id="rId62" location="/food-details/1103193/nutrients)"/>
    <hyperlink ref="B772" r:id="rId63" location="/food-details/1103193/nutrients)"/>
    <hyperlink ref="B797" r:id="rId64"/>
    <hyperlink ref="B815" r:id="rId65"/>
    <hyperlink ref="B839" r:id="rId66"/>
    <hyperlink ref="B858" r:id="rId67"/>
    <hyperlink ref="B866" r:id="rId68"/>
    <hyperlink ref="B878" r:id="rId69"/>
    <hyperlink ref="B879" r:id="rId70"/>
    <hyperlink ref="B880" r:id="rId71"/>
    <hyperlink ref="B891" r:id="rId72"/>
    <hyperlink ref="B905" r:id="rId73"/>
    <hyperlink ref="B915" r:id="rId74"/>
    <hyperlink ref="B916" r:id="rId75" location="/food-details/1103193/nutrients)"/>
    <hyperlink ref="B970" r:id="rId76"/>
    <hyperlink ref="B971" r:id="rId77"/>
    <hyperlink ref="B972" r:id="rId78"/>
    <hyperlink ref="B973" r:id="rId79"/>
    <hyperlink ref="B974" r:id="rId80"/>
    <hyperlink ref="B975" r:id="rId81"/>
    <hyperlink ref="B976" r:id="rId82"/>
    <hyperlink ref="B977" r:id="rId83"/>
    <hyperlink ref="B978" r:id="rId84"/>
    <hyperlink ref="B979" r:id="rId85"/>
    <hyperlink ref="B980" r:id="rId86"/>
    <hyperlink ref="B987" r:id="rId87"/>
    <hyperlink ref="B988" r:id="rId88"/>
    <hyperlink ref="B1014" r:id="rId89" location="/food-details/174219/nutrients."/>
    <hyperlink ref="B1022" r:id="rId90"/>
    <hyperlink ref="B1035" r:id="rId91"/>
    <hyperlink ref="B1055" r:id="rId92"/>
    <hyperlink ref="B1062" r:id="rId93"/>
    <hyperlink ref="B1063" r:id="rId94"/>
    <hyperlink ref="B1069" r:id="rId95" location="/food-details/1103193/nutrients)"/>
    <hyperlink ref="B1070" r:id="rId96" location="/food-details/1103193/nutrients)"/>
    <hyperlink ref="B1094" r:id="rId97"/>
    <hyperlink ref="B1095" r:id="rId98"/>
    <hyperlink ref="B1111" r:id="rId99" location="/food-details/1103193/nutrients)"/>
    <hyperlink ref="B1112" r:id="rId100"/>
    <hyperlink ref="B1122" r:id="rId101"/>
    <hyperlink ref="B1134" r:id="rId102"/>
    <hyperlink ref="B1135" r:id="rId103"/>
    <hyperlink ref="B1143" r:id="rId104"/>
    <hyperlink ref="B1144" r:id="rId105"/>
    <hyperlink ref="B1153" r:id="rId106" location="/food-details/1103193/nutrients)"/>
    <hyperlink ref="B1154" r:id="rId107"/>
    <hyperlink ref="B1164" r:id="rId108"/>
    <hyperlink ref="B1165" r:id="rId109" location="/food-details/168463/nutrients"/>
    <hyperlink ref="B1174" r:id="rId110"/>
    <hyperlink ref="B1183" r:id="rId111" location="/food-details/1103193/nutrients)"/>
    <hyperlink ref="B1184" r:id="rId112"/>
    <hyperlink ref="B1193" r:id="rId113"/>
    <hyperlink ref="B1194" r:id="rId114" location="/food-details/168463/nutrients"/>
    <hyperlink ref="B1205" r:id="rId115"/>
    <hyperlink ref="B1206" r:id="rId116" location="/food-details/168463/nutrients"/>
    <hyperlink ref="B1219" r:id="rId117" location="/food-details/168463/nutrients"/>
    <hyperlink ref="B1263" r:id="rId118"/>
    <hyperlink ref="B1264" r:id="rId119"/>
    <hyperlink ref="B1267" r:id="rId120" location="/food-details/1103193/nutrients)"/>
    <hyperlink ref="B1306" r:id="rId121"/>
    <hyperlink ref="B1323" r:id="rId122"/>
    <hyperlink ref="B1338" r:id="rId123"/>
    <hyperlink ref="B1339" r:id="rId124"/>
    <hyperlink ref="B1340" r:id="rId125"/>
    <hyperlink ref="B1341" r:id="rId126"/>
    <hyperlink ref="B1356" r:id="rId127"/>
    <hyperlink ref="A1363" r:id="rId128"/>
    <hyperlink ref="A1364" r:id="rId129" location="/food-details/1103193/nutrients)"/>
    <hyperlink ref="A1368" r:id="rId130"/>
  </hyperlinks>
  <pageMargins left="0" right="0" top="0" bottom="0" header="0" footer="0"/>
  <legacyDrawing r:id="rId13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3:R206"/>
  <sheetViews>
    <sheetView tabSelected="1" topLeftCell="A188" workbookViewId="0">
      <selection activeCell="G193" sqref="G193"/>
    </sheetView>
  </sheetViews>
  <sheetFormatPr defaultColWidth="12.5703125" defaultRowHeight="15.75" customHeight="1"/>
  <sheetData>
    <row r="3" spans="1:13" s="92" customFormat="1" ht="78.75">
      <c r="A3" s="47" t="s">
        <v>695</v>
      </c>
      <c r="B3" s="644" t="s">
        <v>649</v>
      </c>
      <c r="C3" s="641" t="s">
        <v>533</v>
      </c>
      <c r="D3" s="641" t="s">
        <v>543</v>
      </c>
      <c r="E3" s="641" t="s">
        <v>522</v>
      </c>
      <c r="F3" s="48" t="s">
        <v>535</v>
      </c>
    </row>
    <row r="4" spans="1:13" ht="12.75">
      <c r="A4" s="616" t="s">
        <v>696</v>
      </c>
      <c r="B4" s="14"/>
      <c r="C4" s="14">
        <f>0.24079/100</f>
        <v>2.4079000000000001E-3</v>
      </c>
      <c r="D4" s="14">
        <f>7.4916/100</f>
        <v>7.4915999999999996E-2</v>
      </c>
      <c r="E4" s="14">
        <f>9/1000000</f>
        <v>9.0000000000000002E-6</v>
      </c>
      <c r="F4" s="3">
        <f>0.04*0.00220462</f>
        <v>8.8184799999999996E-5</v>
      </c>
    </row>
    <row r="5" spans="1:13" ht="12.75">
      <c r="A5" s="675" t="s">
        <v>697</v>
      </c>
      <c r="B5" s="617">
        <v>0.65</v>
      </c>
      <c r="C5" s="646">
        <f>C4/B5</f>
        <v>3.7044615384615384E-3</v>
      </c>
      <c r="D5" s="646">
        <f>D4/B5</f>
        <v>0.11525538461538461</v>
      </c>
      <c r="E5" s="646">
        <f>45/1000000</f>
        <v>4.5000000000000003E-5</v>
      </c>
      <c r="F5" s="191">
        <f>F4/$B5</f>
        <v>1.3566892307692306E-4</v>
      </c>
    </row>
    <row r="6" spans="1:13" ht="12.75">
      <c r="A6" s="14" t="s">
        <v>538</v>
      </c>
      <c r="B6" s="14" t="s">
        <v>698</v>
      </c>
    </row>
    <row r="7" spans="1:13" ht="12.75">
      <c r="B7" s="14" t="s">
        <v>570</v>
      </c>
    </row>
    <row r="8" spans="1:13" ht="12.75">
      <c r="B8" s="66" t="s">
        <v>642</v>
      </c>
    </row>
    <row r="9" spans="1:13" ht="12.75">
      <c r="B9" s="655" t="s">
        <v>656</v>
      </c>
    </row>
    <row r="12" spans="1:13" s="92" customFormat="1" ht="126">
      <c r="A12" s="47" t="s">
        <v>648</v>
      </c>
      <c r="B12" s="644" t="s">
        <v>649</v>
      </c>
      <c r="C12" s="641" t="s">
        <v>533</v>
      </c>
      <c r="D12" s="641" t="s">
        <v>543</v>
      </c>
      <c r="E12" s="641" t="s">
        <v>522</v>
      </c>
      <c r="F12" s="48" t="s">
        <v>650</v>
      </c>
      <c r="L12" s="81"/>
      <c r="M12" s="6"/>
    </row>
    <row r="13" spans="1:13" ht="12.75">
      <c r="A13" s="616" t="s">
        <v>651</v>
      </c>
      <c r="B13" s="14"/>
      <c r="C13" s="14">
        <v>1.109195941E-3</v>
      </c>
      <c r="D13" s="14">
        <v>5.4815712449999996E-3</v>
      </c>
      <c r="E13" s="14">
        <v>9.7E-5</v>
      </c>
      <c r="F13" s="3">
        <v>3.637623E-4</v>
      </c>
      <c r="I13" s="14"/>
      <c r="J13" s="39"/>
      <c r="K13" s="14"/>
      <c r="M13" s="220"/>
    </row>
    <row r="14" spans="1:13" ht="12.75">
      <c r="A14" s="4" t="s">
        <v>652</v>
      </c>
      <c r="B14" s="617">
        <f>(820*1069.37)/1000000</f>
        <v>0.87688339999999987</v>
      </c>
      <c r="C14" s="646">
        <f>C13/B14</f>
        <v>1.2649297968236144E-3</v>
      </c>
      <c r="D14" s="646">
        <f>D13/B14</f>
        <v>6.2511974168971618E-3</v>
      </c>
      <c r="E14" s="646">
        <f>E13/B14</f>
        <v>1.1061904011411325E-4</v>
      </c>
      <c r="F14" s="191">
        <f>F13/B14</f>
        <v>4.1483542737837212E-4</v>
      </c>
      <c r="J14" s="39"/>
      <c r="M14" s="148"/>
    </row>
    <row r="15" spans="1:13" ht="12.75">
      <c r="A15" s="14" t="s">
        <v>538</v>
      </c>
      <c r="B15" s="14" t="s">
        <v>653</v>
      </c>
    </row>
    <row r="16" spans="1:13" ht="12.75">
      <c r="B16" s="14" t="s">
        <v>654</v>
      </c>
    </row>
    <row r="17" spans="1:14" ht="12.75">
      <c r="B17" s="655" t="s">
        <v>655</v>
      </c>
    </row>
    <row r="18" spans="1:14" ht="12.75">
      <c r="B18" s="655" t="s">
        <v>656</v>
      </c>
    </row>
    <row r="19" spans="1:14" ht="12.75">
      <c r="B19" s="14" t="s">
        <v>570</v>
      </c>
    </row>
    <row r="20" spans="1:14" ht="12.75">
      <c r="B20" s="14" t="s">
        <v>657</v>
      </c>
    </row>
    <row r="22" spans="1:14" s="92" customFormat="1" ht="38.25">
      <c r="A22" s="113" t="s">
        <v>699</v>
      </c>
      <c r="B22" s="657" t="s">
        <v>700</v>
      </c>
      <c r="C22" s="1017" t="s">
        <v>701</v>
      </c>
      <c r="D22" s="1017" t="s">
        <v>702</v>
      </c>
      <c r="E22" s="1017" t="s">
        <v>703</v>
      </c>
      <c r="F22" s="1007" t="s">
        <v>704</v>
      </c>
      <c r="G22" s="1017" t="s">
        <v>600</v>
      </c>
      <c r="H22" s="115" t="s">
        <v>705</v>
      </c>
      <c r="I22" s="969" t="s">
        <v>706</v>
      </c>
      <c r="J22" s="315" t="s">
        <v>707</v>
      </c>
      <c r="K22" s="202"/>
      <c r="L22" s="202"/>
      <c r="M22" s="202"/>
      <c r="N22" s="209"/>
    </row>
    <row r="23" spans="1:14" ht="12.75">
      <c r="A23" s="119"/>
      <c r="B23" s="17" t="s">
        <v>708</v>
      </c>
      <c r="C23" s="120">
        <v>89.3</v>
      </c>
      <c r="D23" s="120">
        <v>50.5</v>
      </c>
      <c r="E23" s="120">
        <v>28.5</v>
      </c>
      <c r="F23" s="121">
        <v>13.2</v>
      </c>
      <c r="G23" s="120">
        <f t="shared" ref="G23:G26" si="0">SUM(C23:F23)/4</f>
        <v>45.375</v>
      </c>
      <c r="H23" s="77">
        <f>(J24*2)/(J24*2+K24*4+L24*3)</f>
        <v>0.35</v>
      </c>
      <c r="I23" s="49">
        <f t="shared" ref="I23:I26" si="1">F23*H23</f>
        <v>4.6199999999999992</v>
      </c>
      <c r="J23" s="122" t="s">
        <v>709</v>
      </c>
      <c r="K23" s="123" t="s">
        <v>710</v>
      </c>
      <c r="L23" s="123" t="s">
        <v>711</v>
      </c>
      <c r="M23" s="123" t="s">
        <v>712</v>
      </c>
      <c r="N23" s="124" t="s">
        <v>713</v>
      </c>
    </row>
    <row r="24" spans="1:14" ht="12.75">
      <c r="A24" s="119"/>
      <c r="B24" s="17" t="s">
        <v>714</v>
      </c>
      <c r="C24" s="120">
        <v>304.60000000000002</v>
      </c>
      <c r="D24" s="120">
        <v>50.5</v>
      </c>
      <c r="E24" s="120">
        <v>0</v>
      </c>
      <c r="F24" s="121">
        <v>0</v>
      </c>
      <c r="G24" s="120">
        <f t="shared" si="0"/>
        <v>88.775000000000006</v>
      </c>
      <c r="H24" s="77">
        <f>J24/(M24+J24+L24*3)</f>
        <v>0.13861386138613863</v>
      </c>
      <c r="I24" s="49">
        <f t="shared" si="1"/>
        <v>0</v>
      </c>
      <c r="J24" s="72">
        <v>14</v>
      </c>
      <c r="K24" s="71">
        <v>1</v>
      </c>
      <c r="L24" s="71">
        <v>16</v>
      </c>
      <c r="M24" s="71">
        <v>39</v>
      </c>
      <c r="N24" s="73">
        <v>40</v>
      </c>
    </row>
    <row r="25" spans="1:14" ht="12.75">
      <c r="A25" s="119"/>
      <c r="B25" s="17" t="s">
        <v>715</v>
      </c>
      <c r="C25" s="120">
        <v>0</v>
      </c>
      <c r="D25" s="120">
        <v>8</v>
      </c>
      <c r="E25" s="120">
        <v>3.4</v>
      </c>
      <c r="F25" s="121">
        <v>0</v>
      </c>
      <c r="G25" s="120">
        <f t="shared" si="0"/>
        <v>2.85</v>
      </c>
      <c r="H25" s="77">
        <f>(J24*2)/(N24+J24*2+L24*6)</f>
        <v>0.17073170731707318</v>
      </c>
      <c r="I25" s="49">
        <f t="shared" si="1"/>
        <v>0</v>
      </c>
    </row>
    <row r="26" spans="1:14" ht="12.75">
      <c r="A26" s="119"/>
      <c r="B26" s="634" t="s">
        <v>716</v>
      </c>
      <c r="C26" s="678">
        <f>865.2/1000</f>
        <v>0.86520000000000008</v>
      </c>
      <c r="D26" s="678">
        <f>302.9/1000</f>
        <v>0.3029</v>
      </c>
      <c r="E26" s="678">
        <f>121.7/1000</f>
        <v>0.1217</v>
      </c>
      <c r="F26" s="125">
        <f>53.3/1000</f>
        <v>5.33E-2</v>
      </c>
      <c r="G26" s="678">
        <f t="shared" si="0"/>
        <v>0.33577499999999999</v>
      </c>
      <c r="H26" s="126">
        <f>(J24*2)/(J24*2+L24)</f>
        <v>0.63636363636363635</v>
      </c>
      <c r="I26" s="127">
        <f t="shared" si="1"/>
        <v>3.391818181818182E-2</v>
      </c>
    </row>
    <row r="27" spans="1:14" s="92" customFormat="1" ht="12.75">
      <c r="A27" s="1018"/>
      <c r="B27" s="1019" t="s">
        <v>717</v>
      </c>
      <c r="C27" s="670"/>
      <c r="D27" s="670"/>
      <c r="E27" s="670"/>
      <c r="F27" s="670"/>
      <c r="G27" s="670"/>
      <c r="H27" s="1020"/>
      <c r="I27" s="1021">
        <f>SUM(I23:I26)</f>
        <v>4.653918181818181</v>
      </c>
    </row>
    <row r="28" spans="1:14" s="92" customFormat="1" ht="90">
      <c r="A28" s="1018"/>
      <c r="B28" s="78" t="s">
        <v>718</v>
      </c>
      <c r="C28" s="657" t="s">
        <v>624</v>
      </c>
      <c r="D28" s="79" t="s">
        <v>625</v>
      </c>
      <c r="E28" s="657" t="s">
        <v>719</v>
      </c>
      <c r="F28" s="657" t="s">
        <v>624</v>
      </c>
      <c r="G28" s="79" t="s">
        <v>720</v>
      </c>
      <c r="H28" s="657" t="s">
        <v>721</v>
      </c>
      <c r="I28" s="657" t="s">
        <v>624</v>
      </c>
      <c r="J28" s="682" t="s">
        <v>722</v>
      </c>
      <c r="K28" s="683"/>
    </row>
    <row r="29" spans="1:14" ht="12.75">
      <c r="A29" s="119"/>
      <c r="B29" s="684">
        <f>1/(SUM(1.61,4.34,13.56,21.84)/4)</f>
        <v>9.6735187424425634E-2</v>
      </c>
      <c r="C29" s="30" t="s">
        <v>723</v>
      </c>
      <c r="D29" s="128">
        <f>B29</f>
        <v>9.6735187424425634E-2</v>
      </c>
      <c r="E29" s="30">
        <f>SUM(2456,3967,5958,6359)/4</f>
        <v>4685</v>
      </c>
      <c r="F29" s="30" t="s">
        <v>724</v>
      </c>
      <c r="G29" s="77">
        <f>4685/10.3375/10000</f>
        <v>4.5320435308343406E-2</v>
      </c>
      <c r="H29" s="129">
        <f>SUM(18.2,6.95,2.95,1.84)/4</f>
        <v>7.4849999999999994</v>
      </c>
      <c r="I29" s="129" t="s">
        <v>725</v>
      </c>
      <c r="J29" s="120">
        <f>H29/3.9*0.1</f>
        <v>0.19192307692307692</v>
      </c>
      <c r="K29" s="616"/>
    </row>
    <row r="30" spans="1:14" ht="12.75">
      <c r="A30" s="130"/>
      <c r="B30" s="82"/>
      <c r="C30" s="634"/>
      <c r="D30" s="634"/>
      <c r="E30" s="634"/>
      <c r="F30" s="634"/>
      <c r="G30" s="634"/>
      <c r="H30" s="634"/>
      <c r="I30" s="634"/>
      <c r="J30" s="634">
        <f>0.2*0.220462</f>
        <v>4.4092400000000004E-2</v>
      </c>
      <c r="K30" s="616"/>
    </row>
    <row r="31" spans="1:14" s="92" customFormat="1" ht="60">
      <c r="A31" s="131" t="s">
        <v>726</v>
      </c>
      <c r="B31" s="644" t="s">
        <v>649</v>
      </c>
      <c r="C31" s="641" t="s">
        <v>533</v>
      </c>
      <c r="D31" s="641" t="s">
        <v>543</v>
      </c>
      <c r="E31" s="641" t="s">
        <v>522</v>
      </c>
      <c r="F31" s="48" t="s">
        <v>650</v>
      </c>
    </row>
    <row r="32" spans="1:14" ht="12.75">
      <c r="A32" s="616" t="s">
        <v>1761</v>
      </c>
      <c r="C32">
        <f>D29/100</f>
        <v>9.6735187424425639E-4</v>
      </c>
      <c r="D32">
        <f>I27/100</f>
        <v>4.6539181818181813E-2</v>
      </c>
      <c r="E32">
        <f>G29/100</f>
        <v>4.5320435308343404E-4</v>
      </c>
      <c r="F32" s="3">
        <f>J30/100</f>
        <v>4.4092400000000004E-4</v>
      </c>
    </row>
    <row r="33" spans="1:14" ht="12.75">
      <c r="A33" s="675" t="s">
        <v>53</v>
      </c>
      <c r="B33" s="617">
        <f>AVERAGE(0.335,0.392,0.429)</f>
        <v>0.38533333333333336</v>
      </c>
      <c r="C33" s="646">
        <f>C32/B33</f>
        <v>2.5104287393882085E-3</v>
      </c>
      <c r="D33" s="646">
        <f>D32/B33</f>
        <v>0.12077642340358601</v>
      </c>
      <c r="E33" s="646">
        <f>E32/B33</f>
        <v>1.1761358644033755E-3</v>
      </c>
      <c r="F33" s="191">
        <f>F32/B33</f>
        <v>1.1442664359861592E-3</v>
      </c>
    </row>
    <row r="34" spans="1:14" ht="12.75">
      <c r="A34" s="14" t="s">
        <v>538</v>
      </c>
      <c r="B34" s="14" t="s">
        <v>728</v>
      </c>
    </row>
    <row r="35" spans="1:14" ht="12.75">
      <c r="B35" s="14" t="s">
        <v>729</v>
      </c>
    </row>
    <row r="36" spans="1:14" ht="12.75">
      <c r="B36" s="66" t="s">
        <v>730</v>
      </c>
    </row>
    <row r="39" spans="1:14" s="92" customFormat="1" ht="60">
      <c r="A39" s="78" t="s">
        <v>622</v>
      </c>
      <c r="B39" s="657" t="s">
        <v>623</v>
      </c>
      <c r="C39" s="657" t="s">
        <v>624</v>
      </c>
      <c r="D39" s="682" t="s">
        <v>625</v>
      </c>
      <c r="E39" s="657" t="s">
        <v>626</v>
      </c>
      <c r="F39" s="657" t="s">
        <v>624</v>
      </c>
      <c r="G39" s="682" t="s">
        <v>534</v>
      </c>
      <c r="H39" s="657" t="s">
        <v>955</v>
      </c>
      <c r="I39" s="657" t="s">
        <v>624</v>
      </c>
      <c r="J39" s="682" t="s">
        <v>956</v>
      </c>
      <c r="K39" s="657" t="s">
        <v>957</v>
      </c>
      <c r="L39" s="657" t="s">
        <v>624</v>
      </c>
      <c r="M39" s="80" t="s">
        <v>722</v>
      </c>
    </row>
    <row r="40" spans="1:14" ht="12.75">
      <c r="A40" s="82" t="s">
        <v>627</v>
      </c>
      <c r="B40" s="634">
        <f>13700/1490000</f>
        <v>9.1946308724832216E-3</v>
      </c>
      <c r="C40" s="634" t="s">
        <v>628</v>
      </c>
      <c r="D40" s="679">
        <f>B40*4046.86/100*0.2204621</f>
        <v>8.2032589126726174E-2</v>
      </c>
      <c r="E40" s="634">
        <f>40</f>
        <v>40</v>
      </c>
      <c r="F40" s="634" t="s">
        <v>629</v>
      </c>
      <c r="G40" s="679">
        <f>E40/0.002204621*13700/1490000/100*0.2204621</f>
        <v>0.36778523489932879</v>
      </c>
      <c r="H40" s="634" t="s">
        <v>958</v>
      </c>
      <c r="I40" s="634" t="s">
        <v>959</v>
      </c>
      <c r="J40" s="679">
        <f>108/10000</f>
        <v>1.0800000000000001E-2</v>
      </c>
      <c r="K40" s="634">
        <v>1.4179999999999999</v>
      </c>
      <c r="L40" s="634" t="s">
        <v>960</v>
      </c>
      <c r="M40" s="681">
        <f>1.418/10</f>
        <v>0.14179999999999998</v>
      </c>
      <c r="N40" s="14" t="s">
        <v>630</v>
      </c>
    </row>
    <row r="41" spans="1:14" ht="60">
      <c r="A41" s="83" t="s">
        <v>631</v>
      </c>
      <c r="B41" s="135" t="s">
        <v>632</v>
      </c>
      <c r="C41" s="135" t="s">
        <v>624</v>
      </c>
      <c r="D41" s="135" t="s">
        <v>633</v>
      </c>
      <c r="E41" s="773" t="s">
        <v>532</v>
      </c>
      <c r="F41" s="318" t="s">
        <v>533</v>
      </c>
      <c r="G41" s="318" t="s">
        <v>543</v>
      </c>
      <c r="H41" s="318" t="s">
        <v>522</v>
      </c>
      <c r="I41" s="319" t="s">
        <v>535</v>
      </c>
      <c r="J41" s="206"/>
      <c r="K41" s="29"/>
      <c r="L41" s="29"/>
      <c r="M41" s="205"/>
    </row>
    <row r="42" spans="1:14" ht="12.75">
      <c r="A42" s="85" t="s">
        <v>627</v>
      </c>
      <c r="B42" s="14">
        <v>1.66</v>
      </c>
      <c r="C42" s="14" t="s">
        <v>637</v>
      </c>
      <c r="D42">
        <f>B42*100/0.002204621</f>
        <v>75296.388812408128</v>
      </c>
      <c r="E42" s="97"/>
      <c r="F42">
        <f>D40/100</f>
        <v>8.2032589126726171E-4</v>
      </c>
      <c r="G42">
        <f>G40/100</f>
        <v>3.6778523489932879E-3</v>
      </c>
      <c r="H42">
        <f>J40/100</f>
        <v>1.0800000000000001E-4</v>
      </c>
      <c r="I42" s="3">
        <f>M40/100</f>
        <v>1.4179999999999998E-3</v>
      </c>
      <c r="J42" s="426"/>
      <c r="K42" s="29"/>
      <c r="L42" s="29"/>
      <c r="M42" s="29"/>
    </row>
    <row r="43" spans="1:14" ht="12.75">
      <c r="A43" s="774" t="str">
        <f>HYPERLINK("https://nutritiondata.self.com/facts/fruits-and-fruit-juices/7678/2","Cranberry Juice")</f>
        <v>Cranberry Juice</v>
      </c>
      <c r="B43" s="617">
        <v>1</v>
      </c>
      <c r="C43" s="617" t="s">
        <v>638</v>
      </c>
      <c r="D43" s="617">
        <f>B43*4048</f>
        <v>4048</v>
      </c>
      <c r="E43" s="98">
        <f>D42/D43</f>
        <v>18.600886564330072</v>
      </c>
      <c r="F43" s="617">
        <f>F42*E43</f>
        <v>1.52587888492453E-2</v>
      </c>
      <c r="G43" s="617">
        <f>G42*E43</f>
        <v>6.8411314343979041E-2</v>
      </c>
      <c r="H43" s="617">
        <f>H42*E43</f>
        <v>2.0088957489476479E-3</v>
      </c>
      <c r="I43" s="5">
        <f>I42*E43</f>
        <v>2.6376057148220038E-2</v>
      </c>
      <c r="J43" s="148"/>
      <c r="K43" s="14"/>
      <c r="L43" s="14"/>
      <c r="M43" s="148"/>
    </row>
    <row r="44" spans="1:14" ht="15">
      <c r="A44" s="14" t="s">
        <v>560</v>
      </c>
      <c r="B44" s="66" t="s">
        <v>641</v>
      </c>
      <c r="C44" s="14"/>
      <c r="D44" s="14"/>
      <c r="E44" s="81"/>
      <c r="F44" s="64"/>
      <c r="G44" s="64"/>
      <c r="H44" s="64"/>
      <c r="I44" s="64"/>
    </row>
    <row r="45" spans="1:14" ht="15">
      <c r="B45" s="14" t="s">
        <v>642</v>
      </c>
      <c r="D45" s="14"/>
      <c r="E45" s="81"/>
      <c r="F45" s="64"/>
      <c r="G45" s="64"/>
      <c r="H45" s="64"/>
      <c r="I45" s="64"/>
    </row>
    <row r="46" spans="1:14" ht="12.75">
      <c r="B46" s="14" t="s">
        <v>643</v>
      </c>
    </row>
    <row r="47" spans="1:14" ht="12.75">
      <c r="B47" s="14" t="s">
        <v>644</v>
      </c>
    </row>
    <row r="48" spans="1:14" ht="12.75">
      <c r="B48" s="14" t="s">
        <v>645</v>
      </c>
    </row>
    <row r="50" spans="1:12" ht="12.75">
      <c r="C50" s="14"/>
      <c r="D50" s="14"/>
      <c r="E50" s="14"/>
      <c r="F50" s="14"/>
      <c r="G50" s="14"/>
      <c r="H50" s="14"/>
      <c r="I50" s="14"/>
    </row>
    <row r="51" spans="1:12" s="92" customFormat="1" ht="60">
      <c r="A51" s="52" t="s">
        <v>568</v>
      </c>
      <c r="B51" s="644" t="s">
        <v>1464</v>
      </c>
      <c r="C51" s="644" t="s">
        <v>913</v>
      </c>
      <c r="D51" s="644" t="s">
        <v>1762</v>
      </c>
      <c r="E51" s="644" t="s">
        <v>532</v>
      </c>
      <c r="F51" s="644" t="s">
        <v>1763</v>
      </c>
      <c r="G51" s="641" t="s">
        <v>533</v>
      </c>
      <c r="H51" s="641" t="s">
        <v>543</v>
      </c>
      <c r="I51" s="641" t="s">
        <v>522</v>
      </c>
      <c r="J51" s="48" t="s">
        <v>535</v>
      </c>
    </row>
    <row r="52" spans="1:12" ht="12.75">
      <c r="A52" s="62" t="s">
        <v>569</v>
      </c>
      <c r="B52" s="14">
        <v>41</v>
      </c>
      <c r="C52" s="14">
        <v>100</v>
      </c>
      <c r="D52">
        <f t="shared" ref="D52:D53" si="2">B52/C52</f>
        <v>0.41</v>
      </c>
      <c r="F52" s="14">
        <v>1</v>
      </c>
      <c r="G52" s="14">
        <f>0.05498/100</f>
        <v>5.4980000000000003E-4</v>
      </c>
      <c r="H52">
        <f>1.010611/100</f>
        <v>1.010611E-2</v>
      </c>
      <c r="I52">
        <f>28/1000000</f>
        <v>2.8E-5</v>
      </c>
      <c r="J52" s="3">
        <f>0.05*0.00220462</f>
        <v>1.1023100000000001E-4</v>
      </c>
    </row>
    <row r="53" spans="1:12" ht="12.75">
      <c r="A53" s="63" t="s">
        <v>22</v>
      </c>
      <c r="B53" s="617">
        <v>40</v>
      </c>
      <c r="C53" s="617">
        <v>100</v>
      </c>
      <c r="D53" s="617">
        <f t="shared" si="2"/>
        <v>0.4</v>
      </c>
      <c r="E53" s="775">
        <f>D53/D52</f>
        <v>0.97560975609756106</v>
      </c>
      <c r="F53" s="617">
        <f>AVERAGE(0.55,0.65,0.8)</f>
        <v>0.66666666666666663</v>
      </c>
      <c r="G53" s="646">
        <f>G52/$F53</f>
        <v>8.2470000000000004E-4</v>
      </c>
      <c r="H53" s="646">
        <f t="shared" ref="H53:J53" si="3">H52*$F53</f>
        <v>6.7374066666666659E-3</v>
      </c>
      <c r="I53" s="646">
        <f t="shared" si="3"/>
        <v>1.8666666666666665E-5</v>
      </c>
      <c r="J53" s="191">
        <f t="shared" si="3"/>
        <v>7.348733333333333E-5</v>
      </c>
    </row>
    <row r="54" spans="1:12" ht="12.75">
      <c r="A54" s="615" t="s">
        <v>538</v>
      </c>
      <c r="B54" s="615" t="s">
        <v>570</v>
      </c>
      <c r="C54" s="14"/>
    </row>
    <row r="55" spans="1:12" ht="12.75">
      <c r="A55" s="14"/>
      <c r="B55" s="622" t="s">
        <v>571</v>
      </c>
      <c r="C55" s="14"/>
    </row>
    <row r="56" spans="1:12" ht="15">
      <c r="A56" s="14"/>
      <c r="B56" s="656" t="s">
        <v>567</v>
      </c>
      <c r="C56" s="14"/>
      <c r="D56" s="14"/>
      <c r="E56" s="14"/>
      <c r="F56" s="14"/>
      <c r="G56" s="81"/>
      <c r="H56" s="64"/>
      <c r="I56" s="64"/>
      <c r="J56" s="64"/>
      <c r="K56" s="64"/>
      <c r="L56" s="14"/>
    </row>
    <row r="57" spans="1:12" ht="12.75">
      <c r="A57" s="14"/>
      <c r="B57" s="14" t="s">
        <v>572</v>
      </c>
      <c r="H57" s="14"/>
    </row>
    <row r="58" spans="1:12" ht="12.75">
      <c r="A58" s="14"/>
      <c r="B58" s="14"/>
      <c r="C58" s="14"/>
      <c r="D58" s="14"/>
      <c r="E58" s="14"/>
      <c r="F58" s="14"/>
      <c r="G58" s="148"/>
      <c r="H58" s="14"/>
      <c r="I58" s="14"/>
      <c r="J58" s="14"/>
      <c r="K58" s="14"/>
      <c r="L58" s="14"/>
    </row>
    <row r="59" spans="1:12" ht="12.75">
      <c r="A59" s="14"/>
      <c r="B59" s="14"/>
      <c r="C59" s="14"/>
      <c r="D59" s="14"/>
      <c r="E59" s="14"/>
      <c r="F59" s="14"/>
      <c r="G59" s="148"/>
      <c r="H59" s="14"/>
      <c r="I59" s="14"/>
      <c r="J59" s="14"/>
      <c r="K59" s="14"/>
      <c r="L59" s="14"/>
    </row>
    <row r="60" spans="1:12" s="92" customFormat="1" ht="126">
      <c r="A60" s="52" t="s">
        <v>575</v>
      </c>
      <c r="B60" s="644" t="s">
        <v>576</v>
      </c>
      <c r="C60" s="641" t="s">
        <v>533</v>
      </c>
      <c r="D60" s="641" t="s">
        <v>543</v>
      </c>
      <c r="E60" s="641" t="s">
        <v>522</v>
      </c>
      <c r="F60" s="48" t="s">
        <v>535</v>
      </c>
    </row>
    <row r="61" spans="1:12" ht="12.75">
      <c r="A61" s="62" t="s">
        <v>577</v>
      </c>
      <c r="C61">
        <v>4.3923571105605004E-3</v>
      </c>
      <c r="D61">
        <v>0.23597848213994407</v>
      </c>
      <c r="E61">
        <v>1.3957957957957959E-4</v>
      </c>
      <c r="F61" s="3">
        <v>1.0010166486486489E-3</v>
      </c>
      <c r="H61">
        <f>44/C61</f>
        <v>10017.400428169021</v>
      </c>
    </row>
    <row r="62" spans="1:12" ht="12.75">
      <c r="A62" s="63" t="s">
        <v>578</v>
      </c>
      <c r="B62" s="617">
        <f>10.83/76.29</f>
        <v>0.14195831694848604</v>
      </c>
      <c r="C62" s="617">
        <f t="shared" ref="C62:F62" si="4">C61*$B62</f>
        <v>6.2353162285188387E-4</v>
      </c>
      <c r="D62" s="617">
        <f t="shared" si="4"/>
        <v>3.349910816064483E-2</v>
      </c>
      <c r="E62" s="617">
        <f t="shared" si="4"/>
        <v>1.9814482197494391E-5</v>
      </c>
      <c r="F62" s="5">
        <f t="shared" si="4"/>
        <v>1.4210263867957617E-4</v>
      </c>
      <c r="I62" s="65"/>
    </row>
    <row r="63" spans="1:12" ht="12.75">
      <c r="A63" s="14" t="s">
        <v>538</v>
      </c>
      <c r="B63" s="66" t="s">
        <v>580</v>
      </c>
    </row>
    <row r="64" spans="1:12" ht="12.75">
      <c r="B64" s="658" t="s">
        <v>581</v>
      </c>
    </row>
    <row r="65" spans="1:18" ht="12.75">
      <c r="B65" s="655" t="s">
        <v>1764</v>
      </c>
    </row>
    <row r="68" spans="1:18" s="92" customFormat="1" ht="51">
      <c r="A68" s="315" t="s">
        <v>737</v>
      </c>
      <c r="B68" s="202" t="s">
        <v>738</v>
      </c>
      <c r="C68" s="202"/>
      <c r="D68" s="202"/>
      <c r="E68" s="202"/>
      <c r="F68" s="209" t="s">
        <v>739</v>
      </c>
      <c r="L68" s="81"/>
    </row>
    <row r="69" spans="1:18" ht="12.75">
      <c r="A69" s="46"/>
      <c r="B69" s="17" t="s">
        <v>740</v>
      </c>
      <c r="C69" s="17" t="s">
        <v>741</v>
      </c>
      <c r="D69" s="17" t="s">
        <v>742</v>
      </c>
      <c r="E69" s="17" t="s">
        <v>743</v>
      </c>
      <c r="F69" s="77">
        <f>500.5*100000</f>
        <v>50050000</v>
      </c>
      <c r="L69" s="14"/>
    </row>
    <row r="70" spans="1:18" ht="12.75">
      <c r="A70" s="72"/>
      <c r="B70" s="71" t="s">
        <v>744</v>
      </c>
      <c r="C70" s="71" t="s">
        <v>745</v>
      </c>
      <c r="D70" s="71" t="s">
        <v>746</v>
      </c>
      <c r="E70" s="71" t="s">
        <v>747</v>
      </c>
      <c r="F70" s="73">
        <f>285*100000</f>
        <v>28500000</v>
      </c>
      <c r="G70" s="135"/>
      <c r="H70" s="135"/>
      <c r="I70" s="135"/>
      <c r="K70" s="135"/>
      <c r="L70" s="135"/>
      <c r="M70" s="135"/>
      <c r="N70" s="135"/>
      <c r="O70" s="135"/>
    </row>
    <row r="71" spans="1:18" s="92" customFormat="1" ht="76.5">
      <c r="A71" s="961" t="s">
        <v>748</v>
      </c>
      <c r="B71" s="74" t="s">
        <v>749</v>
      </c>
      <c r="C71" s="74" t="s">
        <v>750</v>
      </c>
      <c r="D71" s="74" t="s">
        <v>751</v>
      </c>
      <c r="E71" s="74" t="s">
        <v>752</v>
      </c>
      <c r="F71" s="74" t="s">
        <v>753</v>
      </c>
      <c r="G71" s="74" t="s">
        <v>754</v>
      </c>
      <c r="H71" s="962" t="s">
        <v>755</v>
      </c>
      <c r="I71" s="74" t="s">
        <v>756</v>
      </c>
      <c r="J71" s="202" t="s">
        <v>757</v>
      </c>
      <c r="K71" s="963" t="s">
        <v>758</v>
      </c>
      <c r="L71" s="74" t="s">
        <v>759</v>
      </c>
      <c r="M71" s="74" t="s">
        <v>760</v>
      </c>
      <c r="N71" s="74" t="s">
        <v>761</v>
      </c>
      <c r="O71" s="75" t="s">
        <v>758</v>
      </c>
      <c r="P71" s="202" t="s">
        <v>762</v>
      </c>
      <c r="Q71" s="202" t="s">
        <v>763</v>
      </c>
      <c r="R71" s="202" t="s">
        <v>764</v>
      </c>
    </row>
    <row r="72" spans="1:18" ht="12.75">
      <c r="A72" s="46"/>
      <c r="B72" s="17">
        <f t="shared" ref="B72:C72" si="5">2986*1000</f>
        <v>2986000</v>
      </c>
      <c r="C72" s="17">
        <f t="shared" si="5"/>
        <v>2986000</v>
      </c>
      <c r="D72" s="17">
        <f>261*10000</f>
        <v>2610000</v>
      </c>
      <c r="E72" s="17">
        <f>27.3*1000</f>
        <v>27300</v>
      </c>
      <c r="F72" s="17">
        <f>5.6*10000</f>
        <v>56000</v>
      </c>
      <c r="G72" s="17">
        <f>C72/D72</f>
        <v>1.1440613026819924</v>
      </c>
      <c r="H72" s="659">
        <f>G72*1000/1000000</f>
        <v>1.1440613026819924E-3</v>
      </c>
      <c r="I72" s="17">
        <f>E72/F72</f>
        <v>0.48749999999999999</v>
      </c>
      <c r="J72" s="17">
        <f>I72/1000000</f>
        <v>4.8749999999999999E-7</v>
      </c>
      <c r="K72" s="643">
        <f>J72*1000</f>
        <v>4.8749999999999998E-4</v>
      </c>
      <c r="L72" s="17" t="s">
        <v>768</v>
      </c>
      <c r="M72" s="17">
        <f>226.5*1000</f>
        <v>226500</v>
      </c>
      <c r="N72" s="17">
        <f t="shared" ref="N72:N76" si="6">1/M72</f>
        <v>4.4150110375275942E-6</v>
      </c>
      <c r="O72" s="77">
        <f t="shared" ref="O72:O76" si="7">N72*10000</f>
        <v>4.4150110375275942E-2</v>
      </c>
      <c r="P72" s="17" t="s">
        <v>744</v>
      </c>
      <c r="Q72" s="17">
        <v>1.01</v>
      </c>
      <c r="R72" s="17">
        <f t="shared" ref="R72:R77" si="8">1/Q72</f>
        <v>0.99009900990099009</v>
      </c>
    </row>
    <row r="73" spans="1:18" ht="12.75">
      <c r="A73" s="46"/>
      <c r="B73" s="17"/>
      <c r="C73" s="17"/>
      <c r="D73" s="17"/>
      <c r="E73" s="17"/>
      <c r="F73" s="17" t="s">
        <v>770</v>
      </c>
      <c r="G73" s="17"/>
      <c r="H73" s="17"/>
      <c r="I73" s="17"/>
      <c r="J73" s="17"/>
      <c r="K73" s="77"/>
      <c r="L73" s="16" t="s">
        <v>771</v>
      </c>
      <c r="M73" s="17">
        <f>219*1000</f>
        <v>219000</v>
      </c>
      <c r="N73" s="17">
        <f t="shared" si="6"/>
        <v>4.5662100456621006E-6</v>
      </c>
      <c r="O73" s="77">
        <f t="shared" si="7"/>
        <v>4.5662100456621009E-2</v>
      </c>
      <c r="P73" s="17" t="s">
        <v>772</v>
      </c>
      <c r="Q73" s="17">
        <v>1.67</v>
      </c>
      <c r="R73" s="17">
        <f t="shared" si="8"/>
        <v>0.5988023952095809</v>
      </c>
    </row>
    <row r="74" spans="1:18" ht="12.75">
      <c r="A74" s="46"/>
      <c r="B74" s="17"/>
      <c r="C74" s="17"/>
      <c r="D74" s="17"/>
      <c r="E74" s="17"/>
      <c r="F74" s="17"/>
      <c r="G74" s="17"/>
      <c r="H74" s="17"/>
      <c r="I74" s="17"/>
      <c r="J74" s="17"/>
      <c r="K74" s="77"/>
      <c r="L74" s="16" t="s">
        <v>774</v>
      </c>
      <c r="M74" s="17">
        <f>213*1000</f>
        <v>213000</v>
      </c>
      <c r="N74" s="17">
        <f t="shared" si="6"/>
        <v>4.6948356807511736E-6</v>
      </c>
      <c r="O74" s="77">
        <f t="shared" si="7"/>
        <v>4.6948356807511735E-2</v>
      </c>
      <c r="P74" s="17" t="s">
        <v>775</v>
      </c>
      <c r="Q74" s="17">
        <v>2.48</v>
      </c>
      <c r="R74" s="17">
        <f t="shared" si="8"/>
        <v>0.40322580645161293</v>
      </c>
    </row>
    <row r="75" spans="1:18" ht="12.75">
      <c r="A75" s="46"/>
      <c r="B75" s="17"/>
      <c r="C75" s="17"/>
      <c r="D75" s="17"/>
      <c r="E75" s="17"/>
      <c r="F75" s="17"/>
      <c r="G75" s="17"/>
      <c r="H75" s="17"/>
      <c r="I75" s="17"/>
      <c r="J75" s="17"/>
      <c r="K75" s="77"/>
      <c r="L75" s="16" t="s">
        <v>777</v>
      </c>
      <c r="M75" s="17">
        <f>181.5*1000</f>
        <v>181500</v>
      </c>
      <c r="N75" s="17">
        <f t="shared" si="6"/>
        <v>5.5096418732782371E-6</v>
      </c>
      <c r="O75" s="77">
        <f t="shared" si="7"/>
        <v>5.5096418732782371E-2</v>
      </c>
      <c r="P75" s="17" t="s">
        <v>778</v>
      </c>
      <c r="Q75" s="17">
        <v>1.43</v>
      </c>
      <c r="R75" s="17">
        <f t="shared" si="8"/>
        <v>0.69930069930069938</v>
      </c>
    </row>
    <row r="76" spans="1:18" ht="12.75">
      <c r="A76" s="46"/>
      <c r="B76" s="17"/>
      <c r="C76" s="17"/>
      <c r="D76" s="17"/>
      <c r="E76" s="17"/>
      <c r="F76" s="17"/>
      <c r="G76" s="17"/>
      <c r="H76" s="17"/>
      <c r="I76" s="17"/>
      <c r="J76" s="17"/>
      <c r="K76" s="77"/>
      <c r="L76" s="16" t="s">
        <v>779</v>
      </c>
      <c r="M76" s="17">
        <f>169.5*1000</f>
        <v>169500</v>
      </c>
      <c r="N76" s="17">
        <f t="shared" si="6"/>
        <v>5.8997050147492627E-6</v>
      </c>
      <c r="O76" s="77">
        <f t="shared" si="7"/>
        <v>5.8997050147492625E-2</v>
      </c>
      <c r="P76" s="17" t="s">
        <v>780</v>
      </c>
      <c r="Q76" s="17">
        <v>2.71</v>
      </c>
      <c r="R76" s="17">
        <f t="shared" si="8"/>
        <v>0.36900369003690037</v>
      </c>
    </row>
    <row r="77" spans="1:18" ht="12.75">
      <c r="A77" s="46"/>
      <c r="B77" s="17"/>
      <c r="C77" s="17"/>
      <c r="D77" s="17"/>
      <c r="E77" s="17"/>
      <c r="F77" s="17"/>
      <c r="G77" s="17"/>
      <c r="H77" s="17"/>
      <c r="I77" s="17"/>
      <c r="J77" s="17"/>
      <c r="K77" s="77"/>
      <c r="L77" s="16"/>
      <c r="M77" s="17"/>
      <c r="N77" s="17"/>
      <c r="O77" s="77"/>
      <c r="P77" s="17" t="s">
        <v>782</v>
      </c>
      <c r="Q77" s="123">
        <v>1.37</v>
      </c>
      <c r="R77" s="17">
        <f t="shared" si="8"/>
        <v>0.72992700729927007</v>
      </c>
    </row>
    <row r="78" spans="1:18" ht="12.75">
      <c r="A78" s="72"/>
      <c r="B78" s="71"/>
      <c r="C78" s="71"/>
      <c r="D78" s="71"/>
      <c r="E78" s="71"/>
      <c r="F78" s="71"/>
      <c r="G78" s="71"/>
      <c r="H78" s="71"/>
      <c r="I78" s="71"/>
      <c r="J78" s="71"/>
      <c r="K78" s="73"/>
      <c r="L78" s="71" t="s">
        <v>600</v>
      </c>
      <c r="M78" s="71"/>
      <c r="N78" s="71"/>
      <c r="O78" s="73">
        <f>AVERAGE(O72:O76)</f>
        <v>5.0170807303936735E-2</v>
      </c>
      <c r="P78" s="17"/>
      <c r="Q78" s="17"/>
      <c r="R78" s="17"/>
    </row>
    <row r="79" spans="1:18" s="92" customFormat="1" ht="63.75">
      <c r="A79" s="961" t="s">
        <v>784</v>
      </c>
      <c r="B79" s="74" t="s">
        <v>785</v>
      </c>
      <c r="C79" s="74" t="s">
        <v>705</v>
      </c>
      <c r="D79" s="74" t="s">
        <v>786</v>
      </c>
      <c r="E79" s="74" t="s">
        <v>787</v>
      </c>
      <c r="F79" s="74" t="s">
        <v>788</v>
      </c>
      <c r="G79" s="962" t="s">
        <v>789</v>
      </c>
      <c r="H79" s="74" t="s">
        <v>790</v>
      </c>
      <c r="I79" s="962" t="s">
        <v>791</v>
      </c>
      <c r="J79" s="961" t="s">
        <v>792</v>
      </c>
      <c r="K79" s="967" t="s">
        <v>793</v>
      </c>
      <c r="L79" s="74" t="s">
        <v>794</v>
      </c>
      <c r="M79" s="74" t="s">
        <v>795</v>
      </c>
      <c r="N79" s="74" t="s">
        <v>705</v>
      </c>
      <c r="O79" s="74" t="s">
        <v>796</v>
      </c>
      <c r="P79" s="968" t="s">
        <v>797</v>
      </c>
      <c r="Q79" s="1022" t="s">
        <v>1765</v>
      </c>
      <c r="R79" s="1023" t="s">
        <v>1766</v>
      </c>
    </row>
    <row r="80" spans="1:18" ht="12.75">
      <c r="A80" s="46" t="s">
        <v>744</v>
      </c>
      <c r="B80" s="17"/>
      <c r="C80" s="17"/>
      <c r="D80" s="17"/>
      <c r="E80" s="17"/>
      <c r="F80" s="17"/>
      <c r="G80" s="659">
        <f>F84*J72</f>
        <v>1.8747602213851241E-2</v>
      </c>
      <c r="H80" s="17">
        <f>553*1000</f>
        <v>553000</v>
      </c>
      <c r="I80" s="659">
        <f>H80*J72</f>
        <v>0.26958749999999998</v>
      </c>
      <c r="J80" s="46">
        <f>500*1000</f>
        <v>500000</v>
      </c>
      <c r="K80" s="691">
        <f>J80*J72</f>
        <v>0.24374999999999999</v>
      </c>
      <c r="L80" s="17" t="s">
        <v>798</v>
      </c>
      <c r="M80" s="17">
        <f>136*1000</f>
        <v>136000</v>
      </c>
      <c r="N80" s="30">
        <f>(14*2)/(12+16+(14*2)+(1*4))</f>
        <v>0.46666666666666667</v>
      </c>
      <c r="O80" s="17">
        <f>M80*N80</f>
        <v>63466.666666666664</v>
      </c>
      <c r="P80" s="659">
        <f>O80*J72</f>
        <v>3.0939999999999999E-2</v>
      </c>
      <c r="Q80" s="427"/>
      <c r="R80" s="120" t="s">
        <v>1767</v>
      </c>
    </row>
    <row r="81" spans="1:18" ht="12.75">
      <c r="A81" s="46"/>
      <c r="B81" s="17" t="s">
        <v>799</v>
      </c>
      <c r="C81" s="17">
        <f>(0.5*(14/(14+16)))+(0.5*(14/(14+16*2)))</f>
        <v>0.38550724637681161</v>
      </c>
      <c r="D81" s="17">
        <f>0.02*1000</f>
        <v>20</v>
      </c>
      <c r="E81" s="17">
        <f t="shared" ref="E81:E84" si="9">C81*D81</f>
        <v>7.7101449275362324</v>
      </c>
      <c r="F81" s="17"/>
      <c r="G81" s="17"/>
      <c r="H81" s="17"/>
      <c r="I81" s="17"/>
      <c r="J81" s="46"/>
      <c r="K81" s="121"/>
      <c r="L81" s="17"/>
      <c r="M81" s="17"/>
      <c r="N81" s="17"/>
      <c r="O81" s="17"/>
      <c r="P81" s="17"/>
      <c r="Q81" s="427"/>
      <c r="R81" s="120" t="s">
        <v>1768</v>
      </c>
    </row>
    <row r="82" spans="1:18" ht="12.75">
      <c r="A82" s="46"/>
      <c r="B82" s="17" t="s">
        <v>716</v>
      </c>
      <c r="C82" s="17">
        <f>(14*2)/(14*2+16)</f>
        <v>0.63636363636363635</v>
      </c>
      <c r="D82" s="17">
        <f>5.68*1000</f>
        <v>5680</v>
      </c>
      <c r="E82" s="17">
        <f t="shared" si="9"/>
        <v>3614.5454545454545</v>
      </c>
      <c r="F82" s="17"/>
      <c r="G82" s="17"/>
      <c r="H82" s="17"/>
      <c r="I82" s="17"/>
      <c r="J82" s="46"/>
      <c r="K82" s="121"/>
      <c r="L82" s="17"/>
      <c r="M82" s="17"/>
      <c r="N82" s="17"/>
      <c r="O82" s="17"/>
      <c r="P82" s="17"/>
      <c r="Q82" s="46"/>
      <c r="R82" s="17"/>
    </row>
    <row r="83" spans="1:18" ht="12.75">
      <c r="A83" s="46"/>
      <c r="B83" s="17" t="s">
        <v>800</v>
      </c>
      <c r="C83" s="17">
        <f>14/(14+1*3)</f>
        <v>0.82352941176470584</v>
      </c>
      <c r="D83" s="17">
        <f>30.44*1000</f>
        <v>30440</v>
      </c>
      <c r="E83" s="17">
        <f t="shared" si="9"/>
        <v>25068.235294117647</v>
      </c>
      <c r="F83" s="17"/>
      <c r="G83" s="17"/>
      <c r="H83" s="17"/>
      <c r="I83" s="17"/>
      <c r="J83" s="46"/>
      <c r="K83" s="121"/>
      <c r="L83" s="17"/>
      <c r="M83" s="17"/>
      <c r="N83" s="17"/>
      <c r="O83" s="17"/>
      <c r="P83" s="776">
        <f>AVERAGE(I80,K80,P80)</f>
        <v>0.18142583333333331</v>
      </c>
      <c r="Q83" s="428" t="s">
        <v>1769</v>
      </c>
      <c r="R83" s="136"/>
    </row>
    <row r="84" spans="1:18" ht="12.75">
      <c r="A84" s="72"/>
      <c r="B84" s="71" t="s">
        <v>801</v>
      </c>
      <c r="C84" s="71">
        <f>14/(14+16*3)</f>
        <v>0.22580645161290322</v>
      </c>
      <c r="D84" s="71">
        <f>43.25*1000</f>
        <v>43250</v>
      </c>
      <c r="E84" s="71">
        <f t="shared" si="9"/>
        <v>9766.1290322580644</v>
      </c>
      <c r="F84" s="71">
        <f>SUM(E81:E84)</f>
        <v>38456.619925848703</v>
      </c>
      <c r="G84" s="71"/>
      <c r="H84" s="71"/>
      <c r="I84" s="71"/>
      <c r="J84" s="72"/>
      <c r="K84" s="137"/>
      <c r="L84" s="71"/>
      <c r="M84" s="71"/>
      <c r="N84" s="71"/>
      <c r="O84" s="71"/>
      <c r="P84" s="73"/>
      <c r="Q84" s="71"/>
      <c r="R84" s="71"/>
    </row>
    <row r="85" spans="1:18" s="92" customFormat="1" ht="63.75">
      <c r="A85" s="961" t="s">
        <v>802</v>
      </c>
      <c r="B85" s="74" t="s">
        <v>803</v>
      </c>
      <c r="C85" s="74" t="s">
        <v>804</v>
      </c>
      <c r="D85" s="74" t="s">
        <v>805</v>
      </c>
      <c r="E85" s="74" t="s">
        <v>12</v>
      </c>
      <c r="F85" s="75" t="s">
        <v>806</v>
      </c>
      <c r="G85" s="74" t="s">
        <v>807</v>
      </c>
      <c r="H85" s="74" t="s">
        <v>808</v>
      </c>
      <c r="I85" s="74" t="s">
        <v>809</v>
      </c>
      <c r="J85" s="74" t="s">
        <v>810</v>
      </c>
      <c r="K85" s="74" t="s">
        <v>811</v>
      </c>
      <c r="L85" s="75" t="s">
        <v>812</v>
      </c>
      <c r="M85" s="961" t="s">
        <v>807</v>
      </c>
      <c r="N85" s="74" t="s">
        <v>813</v>
      </c>
      <c r="O85" s="74" t="s">
        <v>814</v>
      </c>
      <c r="P85" s="75" t="s">
        <v>815</v>
      </c>
      <c r="Q85" s="74"/>
      <c r="R85" s="962" t="s">
        <v>816</v>
      </c>
    </row>
    <row r="86" spans="1:18" ht="12.75">
      <c r="A86" s="46"/>
      <c r="B86" s="17">
        <f>12.73</f>
        <v>12.73</v>
      </c>
      <c r="C86" s="17" t="s">
        <v>817</v>
      </c>
      <c r="D86" s="17">
        <v>14.5</v>
      </c>
      <c r="E86" s="659">
        <f t="shared" ref="E86:E95" si="10">D86/1000/2</f>
        <v>7.2500000000000004E-3</v>
      </c>
      <c r="F86" s="77"/>
      <c r="G86" s="17"/>
      <c r="H86" s="17">
        <f>9-1.8</f>
        <v>7.2</v>
      </c>
      <c r="I86" s="17">
        <f>H86/1000</f>
        <v>7.1999999999999998E-3</v>
      </c>
      <c r="J86" s="17">
        <f>(SUM(0.3,3.3,1.9,0.33))/1000</f>
        <v>5.8300000000000001E-3</v>
      </c>
      <c r="K86" s="17">
        <f>(SUM(0.65,9.6,1.9,0.92))/1000</f>
        <v>1.307E-2</v>
      </c>
      <c r="L86" s="643">
        <f>AVERAGE(J86:K86)</f>
        <v>9.4500000000000001E-3</v>
      </c>
      <c r="M86" s="46" t="s">
        <v>818</v>
      </c>
      <c r="N86" s="17">
        <f>5.1/1.75/1000</f>
        <v>2.9142857142857143E-3</v>
      </c>
      <c r="O86" s="17">
        <f>3/1.75/1000</f>
        <v>1.7142857142857142E-3</v>
      </c>
      <c r="P86" s="77"/>
      <c r="Q86" s="17"/>
      <c r="R86" s="692">
        <f>AVERAGE(E86:E90,E92:E95,L86,P88)</f>
        <v>4.2987012987012983E-3</v>
      </c>
    </row>
    <row r="87" spans="1:18" ht="12.75">
      <c r="A87" s="46"/>
      <c r="B87" s="17"/>
      <c r="C87" s="17" t="s">
        <v>820</v>
      </c>
      <c r="D87" s="17">
        <v>14.1</v>
      </c>
      <c r="E87" s="659">
        <f t="shared" si="10"/>
        <v>7.0499999999999998E-3</v>
      </c>
      <c r="F87" s="77"/>
      <c r="G87" s="17"/>
      <c r="H87" s="17"/>
      <c r="I87" s="17"/>
      <c r="J87" s="17"/>
      <c r="K87" s="17"/>
      <c r="L87" s="17"/>
      <c r="M87" s="46" t="s">
        <v>821</v>
      </c>
      <c r="N87" s="17">
        <f t="shared" ref="N87:O87" si="11">6.6/1.75/1000</f>
        <v>3.7714285714285714E-3</v>
      </c>
      <c r="O87" s="17">
        <f t="shared" si="11"/>
        <v>3.7714285714285714E-3</v>
      </c>
      <c r="P87" s="77"/>
      <c r="Q87" s="17"/>
      <c r="R87" s="17"/>
    </row>
    <row r="88" spans="1:18" ht="12.75">
      <c r="A88" s="46"/>
      <c r="B88" s="17"/>
      <c r="C88" s="17" t="s">
        <v>822</v>
      </c>
      <c r="D88" s="17">
        <v>15.9</v>
      </c>
      <c r="E88" s="659">
        <f t="shared" si="10"/>
        <v>7.9500000000000005E-3</v>
      </c>
      <c r="F88" s="77"/>
      <c r="G88" s="17"/>
      <c r="H88" s="17"/>
      <c r="I88" s="17"/>
      <c r="J88" s="17"/>
      <c r="K88" s="17"/>
      <c r="L88" s="77"/>
      <c r="M88" s="46"/>
      <c r="N88" s="17">
        <f t="shared" ref="N88:O88" si="12">SUM(N86:N87)</f>
        <v>6.6857142857142862E-3</v>
      </c>
      <c r="O88" s="17">
        <f t="shared" si="12"/>
        <v>5.4857142857142856E-3</v>
      </c>
      <c r="P88" s="643">
        <f>AVERAGE(N88:O88)</f>
        <v>6.0857142857142863E-3</v>
      </c>
      <c r="Q88" s="17"/>
      <c r="R88" s="659"/>
    </row>
    <row r="89" spans="1:18" ht="12.75">
      <c r="A89" s="46"/>
      <c r="B89" s="17"/>
      <c r="C89" s="17" t="s">
        <v>823</v>
      </c>
      <c r="D89" s="17">
        <v>6</v>
      </c>
      <c r="E89" s="659">
        <f t="shared" si="10"/>
        <v>3.0000000000000001E-3</v>
      </c>
      <c r="F89" s="77"/>
      <c r="G89" s="17"/>
      <c r="H89" s="17"/>
      <c r="I89" s="17"/>
      <c r="J89" s="17"/>
      <c r="K89" s="17"/>
      <c r="L89" s="17"/>
      <c r="M89" s="46"/>
      <c r="N89" s="17"/>
      <c r="O89" s="17"/>
      <c r="P89" s="77"/>
      <c r="Q89" s="17"/>
      <c r="R89" s="17"/>
    </row>
    <row r="90" spans="1:18" ht="12.75">
      <c r="A90" s="46"/>
      <c r="B90" s="17"/>
      <c r="C90" s="17" t="s">
        <v>824</v>
      </c>
      <c r="D90" s="17">
        <v>1</v>
      </c>
      <c r="E90" s="659">
        <f t="shared" si="10"/>
        <v>5.0000000000000001E-4</v>
      </c>
      <c r="F90" s="77"/>
      <c r="G90" s="17"/>
      <c r="H90" s="17"/>
      <c r="I90" s="17"/>
      <c r="J90" s="17"/>
      <c r="K90" s="17"/>
      <c r="L90" s="17"/>
      <c r="M90" s="46"/>
      <c r="N90" s="17"/>
      <c r="O90" s="17"/>
      <c r="P90" s="77"/>
      <c r="Q90" s="17"/>
      <c r="R90" s="17"/>
    </row>
    <row r="91" spans="1:18" ht="12.75">
      <c r="A91" s="46"/>
      <c r="B91" s="17"/>
      <c r="C91" s="120" t="s">
        <v>825</v>
      </c>
      <c r="D91" s="120">
        <v>11.5</v>
      </c>
      <c r="E91" s="120">
        <f t="shared" si="10"/>
        <v>5.7499999999999999E-3</v>
      </c>
      <c r="F91" s="77"/>
      <c r="G91" s="17"/>
      <c r="H91" s="17"/>
      <c r="I91" s="17"/>
      <c r="J91" s="17"/>
      <c r="K91" s="17"/>
      <c r="L91" s="17"/>
      <c r="M91" s="46"/>
      <c r="N91" s="17"/>
      <c r="O91" s="17"/>
      <c r="P91" s="77"/>
      <c r="Q91" s="17"/>
      <c r="R91" s="17"/>
    </row>
    <row r="92" spans="1:18" ht="12.75">
      <c r="A92" s="46"/>
      <c r="B92" s="17"/>
      <c r="C92" s="17" t="s">
        <v>826</v>
      </c>
      <c r="D92" s="17">
        <v>3</v>
      </c>
      <c r="E92" s="659">
        <f t="shared" si="10"/>
        <v>1.5E-3</v>
      </c>
      <c r="F92" s="77"/>
      <c r="G92" s="17"/>
      <c r="H92" s="17"/>
      <c r="I92" s="17"/>
      <c r="J92" s="17"/>
      <c r="K92" s="17"/>
      <c r="L92" s="17"/>
      <c r="M92" s="46"/>
      <c r="N92" s="17"/>
      <c r="O92" s="17"/>
      <c r="P92" s="77"/>
      <c r="Q92" s="17"/>
      <c r="R92" s="17"/>
    </row>
    <row r="93" spans="1:18" ht="12.75">
      <c r="A93" s="46"/>
      <c r="B93" s="17"/>
      <c r="C93" s="17" t="s">
        <v>827</v>
      </c>
      <c r="D93" s="17">
        <v>6.3</v>
      </c>
      <c r="E93" s="659">
        <f t="shared" si="10"/>
        <v>3.15E-3</v>
      </c>
      <c r="F93" s="77"/>
      <c r="G93" s="17"/>
      <c r="H93" s="17"/>
      <c r="I93" s="17"/>
      <c r="J93" s="17"/>
      <c r="K93" s="17"/>
      <c r="L93" s="17"/>
      <c r="M93" s="46"/>
      <c r="N93" s="17"/>
      <c r="O93" s="17"/>
      <c r="P93" s="77"/>
      <c r="Q93" s="17"/>
      <c r="R93" s="17"/>
    </row>
    <row r="94" spans="1:18" ht="12.75">
      <c r="A94" s="46"/>
      <c r="B94" s="123"/>
      <c r="C94" s="138" t="s">
        <v>828</v>
      </c>
      <c r="D94" s="17">
        <v>2</v>
      </c>
      <c r="E94" s="659">
        <f t="shared" si="10"/>
        <v>1E-3</v>
      </c>
      <c r="F94" s="124" t="s">
        <v>829</v>
      </c>
      <c r="G94" s="17"/>
      <c r="H94" s="17"/>
      <c r="I94" s="17"/>
      <c r="J94" s="17"/>
      <c r="K94" s="17"/>
      <c r="L94" s="17"/>
      <c r="M94" s="46"/>
      <c r="N94" s="17"/>
      <c r="O94" s="17"/>
      <c r="P94" s="77"/>
      <c r="Q94" s="17"/>
      <c r="R94" s="17"/>
    </row>
    <row r="95" spans="1:18" ht="12.75">
      <c r="A95" s="46"/>
      <c r="B95" s="17"/>
      <c r="C95" s="17" t="s">
        <v>830</v>
      </c>
      <c r="D95" s="17">
        <v>0.7</v>
      </c>
      <c r="E95" s="659">
        <f t="shared" si="10"/>
        <v>3.5E-4</v>
      </c>
      <c r="F95" s="77">
        <f>AVERAGE(E86:E90,E92:E95)</f>
        <v>3.5277777777777777E-3</v>
      </c>
      <c r="G95" s="71"/>
      <c r="H95" s="71"/>
      <c r="I95" s="71"/>
      <c r="J95" s="71"/>
      <c r="K95" s="71"/>
      <c r="L95" s="71"/>
      <c r="M95" s="72"/>
      <c r="N95" s="71"/>
      <c r="O95" s="71"/>
      <c r="P95" s="73"/>
      <c r="Q95" s="71"/>
      <c r="R95" s="71"/>
    </row>
    <row r="96" spans="1:18" s="92" customFormat="1" ht="47.25">
      <c r="A96" s="1024" t="s">
        <v>831</v>
      </c>
      <c r="B96" s="644" t="s">
        <v>832</v>
      </c>
      <c r="C96" s="429" t="s">
        <v>833</v>
      </c>
      <c r="D96" s="429" t="s">
        <v>834</v>
      </c>
      <c r="E96" s="429" t="s">
        <v>835</v>
      </c>
      <c r="F96" s="430" t="s">
        <v>836</v>
      </c>
    </row>
    <row r="97" spans="1:6" ht="12.75">
      <c r="A97" s="431" t="s">
        <v>837</v>
      </c>
      <c r="C97" s="136">
        <f>W74</f>
        <v>0</v>
      </c>
      <c r="D97" s="136">
        <f>P83</f>
        <v>0.18142583333333331</v>
      </c>
      <c r="E97" s="777">
        <f>898/1000000</f>
        <v>8.9800000000000004E-4</v>
      </c>
      <c r="F97" s="432">
        <f>R86</f>
        <v>4.2987012987012983E-3</v>
      </c>
    </row>
    <row r="98" spans="1:6" ht="12.75">
      <c r="A98" s="433" t="s">
        <v>838</v>
      </c>
      <c r="B98" s="778">
        <f>2/237</f>
        <v>8.4388185654008432E-3</v>
      </c>
      <c r="C98" s="778">
        <f>C97*B98</f>
        <v>0</v>
      </c>
      <c r="D98" s="778">
        <f>D97*B98</f>
        <v>1.5310196905766523E-3</v>
      </c>
      <c r="E98" s="778">
        <f>E97*B98</f>
        <v>7.5780590717299575E-6</v>
      </c>
      <c r="F98" s="434">
        <f>F97*B98</f>
        <v>3.6275960326593231E-5</v>
      </c>
    </row>
    <row r="99" spans="1:6" ht="12.75">
      <c r="A99" s="14" t="s">
        <v>538</v>
      </c>
      <c r="B99" s="14" t="s">
        <v>839</v>
      </c>
      <c r="C99" s="133" t="s">
        <v>840</v>
      </c>
    </row>
    <row r="100" spans="1:6" ht="12.75">
      <c r="B100" s="14" t="s">
        <v>841</v>
      </c>
      <c r="C100" s="29" t="s">
        <v>842</v>
      </c>
    </row>
    <row r="101" spans="1:6" ht="12.75">
      <c r="B101" s="14" t="s">
        <v>841</v>
      </c>
      <c r="C101" s="29" t="s">
        <v>843</v>
      </c>
    </row>
    <row r="102" spans="1:6" ht="12.75">
      <c r="B102" s="14" t="s">
        <v>844</v>
      </c>
      <c r="C102" s="29" t="s">
        <v>845</v>
      </c>
    </row>
    <row r="103" spans="1:6" ht="12.75">
      <c r="B103" s="14" t="s">
        <v>841</v>
      </c>
      <c r="C103" s="10" t="s">
        <v>846</v>
      </c>
    </row>
    <row r="104" spans="1:6" ht="12.75">
      <c r="B104" s="14" t="s">
        <v>847</v>
      </c>
      <c r="C104" s="14" t="s">
        <v>848</v>
      </c>
    </row>
    <row r="105" spans="1:6" ht="12.75">
      <c r="B105" s="14" t="s">
        <v>847</v>
      </c>
      <c r="C105" s="14" t="s">
        <v>849</v>
      </c>
    </row>
    <row r="106" spans="1:6" ht="12.75">
      <c r="B106" s="39" t="s">
        <v>609</v>
      </c>
      <c r="C106" s="39" t="s">
        <v>1770</v>
      </c>
    </row>
    <row r="107" spans="1:6" ht="12.75">
      <c r="B107" s="14" t="s">
        <v>614</v>
      </c>
      <c r="C107" s="14" t="s">
        <v>848</v>
      </c>
    </row>
    <row r="108" spans="1:6" ht="12.75">
      <c r="B108" s="14" t="s">
        <v>851</v>
      </c>
      <c r="C108" s="655" t="s">
        <v>852</v>
      </c>
    </row>
    <row r="109" spans="1:6" ht="12.75">
      <c r="C109" s="14" t="s">
        <v>853</v>
      </c>
    </row>
    <row r="112" spans="1:6" s="92" customFormat="1" ht="51.75">
      <c r="A112" s="144" t="s">
        <v>1771</v>
      </c>
      <c r="B112" s="644" t="s">
        <v>861</v>
      </c>
      <c r="C112" s="685" t="s">
        <v>533</v>
      </c>
      <c r="D112" s="685" t="s">
        <v>543</v>
      </c>
      <c r="E112" s="685" t="s">
        <v>522</v>
      </c>
      <c r="F112" s="291" t="s">
        <v>862</v>
      </c>
    </row>
    <row r="113" spans="1:18" ht="12.75">
      <c r="A113" s="62" t="s">
        <v>863</v>
      </c>
      <c r="B113" s="14">
        <f>1.06/0.75</f>
        <v>1.4133333333333333</v>
      </c>
      <c r="C113" s="14">
        <f>0.1109195941/100</f>
        <v>1.109195941E-3</v>
      </c>
      <c r="D113" s="14">
        <v>5.4815712449999996E-3</v>
      </c>
      <c r="E113" s="14">
        <f>97/1000000</f>
        <v>9.7E-5</v>
      </c>
      <c r="F113" s="3">
        <v>5.1441133333333326E-4</v>
      </c>
    </row>
    <row r="114" spans="1:18" ht="15">
      <c r="A114" s="190" t="s">
        <v>864</v>
      </c>
      <c r="B114" s="617">
        <v>1</v>
      </c>
      <c r="C114" s="646">
        <f t="shared" ref="C114:F114" si="13">C113*$B113</f>
        <v>1.5676635966133333E-3</v>
      </c>
      <c r="D114" s="646">
        <f t="shared" si="13"/>
        <v>7.7472873595999994E-3</v>
      </c>
      <c r="E114" s="646">
        <f t="shared" si="13"/>
        <v>1.3709333333333334E-4</v>
      </c>
      <c r="F114" s="191">
        <f t="shared" si="13"/>
        <v>7.2703468444444436E-4</v>
      </c>
      <c r="L114" s="145"/>
      <c r="M114" s="145"/>
      <c r="N114" s="146"/>
      <c r="O114" s="147"/>
      <c r="P114" s="14"/>
      <c r="Q114" s="14"/>
      <c r="R114" s="14"/>
    </row>
    <row r="115" spans="1:18" ht="15">
      <c r="A115" s="14" t="s">
        <v>538</v>
      </c>
      <c r="B115" s="14" t="s">
        <v>865</v>
      </c>
      <c r="L115" s="146"/>
      <c r="M115" s="146"/>
      <c r="N115" s="14"/>
      <c r="O115" s="55"/>
    </row>
    <row r="116" spans="1:18" ht="15">
      <c r="B116" s="14" t="s">
        <v>866</v>
      </c>
      <c r="L116" s="149"/>
      <c r="M116" s="149"/>
      <c r="N116" s="146"/>
      <c r="O116" s="55"/>
    </row>
    <row r="117" spans="1:18" ht="15">
      <c r="L117" s="14"/>
      <c r="M117" s="14"/>
      <c r="N117" s="14"/>
      <c r="O117" s="55"/>
    </row>
    <row r="118" spans="1:18" ht="15">
      <c r="L118" s="14"/>
      <c r="M118" s="14"/>
      <c r="N118" s="14"/>
      <c r="O118" s="55"/>
    </row>
    <row r="119" spans="1:18" s="92" customFormat="1" ht="51.75">
      <c r="A119" s="144" t="s">
        <v>1772</v>
      </c>
      <c r="B119" s="644" t="s">
        <v>861</v>
      </c>
      <c r="C119" s="685" t="s">
        <v>533</v>
      </c>
      <c r="D119" s="685" t="s">
        <v>543</v>
      </c>
      <c r="E119" s="685" t="s">
        <v>522</v>
      </c>
      <c r="F119" s="291" t="s">
        <v>862</v>
      </c>
      <c r="L119" s="81"/>
      <c r="M119" s="81"/>
      <c r="N119" s="81"/>
      <c r="O119" s="1025"/>
    </row>
    <row r="120" spans="1:18" ht="15">
      <c r="A120" s="62" t="s">
        <v>863</v>
      </c>
      <c r="B120" s="14">
        <f>1.2/0.75</f>
        <v>1.5999999999999999</v>
      </c>
      <c r="C120" s="14">
        <f>0.1109195941/100</f>
        <v>1.109195941E-3</v>
      </c>
      <c r="D120" s="14">
        <v>5.4815712449999996E-3</v>
      </c>
      <c r="E120" s="14">
        <f>97/1000000</f>
        <v>9.7E-5</v>
      </c>
      <c r="F120" s="3">
        <v>3.9683160000000004E-4</v>
      </c>
      <c r="L120" s="14"/>
      <c r="M120" s="14"/>
      <c r="N120" s="14"/>
      <c r="O120" s="55"/>
    </row>
    <row r="121" spans="1:18" ht="15">
      <c r="A121" s="190" t="s">
        <v>869</v>
      </c>
      <c r="B121" s="646">
        <v>1</v>
      </c>
      <c r="C121" s="646">
        <f t="shared" ref="C121:F121" si="14">C120*$B120</f>
        <v>1.7747135055999998E-3</v>
      </c>
      <c r="D121" s="646">
        <f t="shared" si="14"/>
        <v>8.7705139919999984E-3</v>
      </c>
      <c r="E121" s="646">
        <f t="shared" si="14"/>
        <v>1.5519999999999998E-4</v>
      </c>
      <c r="F121" s="191">
        <f t="shared" si="14"/>
        <v>6.3493056000000006E-4</v>
      </c>
      <c r="L121" s="14"/>
      <c r="M121" s="14"/>
      <c r="N121" s="14"/>
      <c r="O121" s="55"/>
    </row>
    <row r="122" spans="1:18" ht="15">
      <c r="A122" s="14" t="s">
        <v>538</v>
      </c>
      <c r="B122" s="14" t="s">
        <v>865</v>
      </c>
      <c r="L122" s="14"/>
      <c r="M122" s="14"/>
      <c r="N122" s="14"/>
      <c r="O122" s="55"/>
    </row>
    <row r="123" spans="1:18" ht="15">
      <c r="B123" s="14" t="s">
        <v>866</v>
      </c>
      <c r="L123" s="14"/>
      <c r="M123" s="14"/>
      <c r="N123" s="14"/>
      <c r="O123" s="55"/>
    </row>
    <row r="124" spans="1:18" ht="15">
      <c r="L124" s="14"/>
      <c r="M124" s="14"/>
      <c r="N124" s="14"/>
      <c r="O124" s="55"/>
    </row>
    <row r="125" spans="1:18" ht="15">
      <c r="L125" s="14"/>
      <c r="M125" s="14"/>
      <c r="N125" s="14"/>
      <c r="O125" s="55"/>
    </row>
    <row r="126" spans="1:18" s="92" customFormat="1" ht="51.75">
      <c r="A126" s="52" t="s">
        <v>546</v>
      </c>
      <c r="B126" s="644" t="s">
        <v>547</v>
      </c>
      <c r="C126" s="644" t="s">
        <v>548</v>
      </c>
      <c r="D126" s="53" t="s">
        <v>549</v>
      </c>
      <c r="E126" s="648" t="s">
        <v>550</v>
      </c>
      <c r="F126" s="648" t="s">
        <v>551</v>
      </c>
      <c r="G126" s="54" t="s">
        <v>552</v>
      </c>
      <c r="H126" s="6"/>
      <c r="I126" s="81"/>
      <c r="J126" s="6"/>
      <c r="L126" s="81"/>
      <c r="M126" s="81"/>
      <c r="N126" s="81"/>
      <c r="O126" s="1025"/>
    </row>
    <row r="127" spans="1:18" ht="15">
      <c r="A127" s="62" t="s">
        <v>553</v>
      </c>
      <c r="D127" s="616"/>
      <c r="F127" s="148">
        <f>16/1000000</f>
        <v>1.5999999999999999E-5</v>
      </c>
      <c r="G127" s="3"/>
      <c r="H127" s="148"/>
      <c r="J127" s="57"/>
      <c r="L127" s="14"/>
      <c r="M127" s="14"/>
      <c r="N127" s="14"/>
      <c r="O127" s="55"/>
    </row>
    <row r="128" spans="1:18" ht="12.75">
      <c r="A128" s="62" t="s">
        <v>554</v>
      </c>
      <c r="B128" s="14">
        <f>73/1000/1.015</f>
        <v>7.1921182266009853E-2</v>
      </c>
      <c r="D128" s="779"/>
      <c r="E128" s="220"/>
      <c r="G128" s="719">
        <f>0.17/453.592</f>
        <v>3.7478615143124222E-4</v>
      </c>
      <c r="H128" s="148"/>
      <c r="J128" s="148"/>
    </row>
    <row r="129" spans="1:15" ht="12.75">
      <c r="A129" s="62" t="s">
        <v>555</v>
      </c>
      <c r="D129" s="616">
        <f>((1/3281.53)*10000/1000)*(73/1015)</f>
        <v>2.1916966252330425E-4</v>
      </c>
      <c r="E129">
        <f>2.9/100</f>
        <v>2.8999999999999998E-2</v>
      </c>
      <c r="G129" s="3">
        <f>678/1000/72/28.35</f>
        <v>3.3215755437977659E-4</v>
      </c>
      <c r="H129" s="57"/>
      <c r="I129" s="39"/>
      <c r="J129" s="57"/>
    </row>
    <row r="130" spans="1:15" ht="12.75">
      <c r="A130" s="62" t="s">
        <v>556</v>
      </c>
      <c r="D130" s="616">
        <f>(1/9200)*10000/1000</f>
        <v>1.0869565217391304E-3</v>
      </c>
      <c r="G130" s="3"/>
      <c r="H130" s="148"/>
      <c r="J130" s="148"/>
    </row>
    <row r="131" spans="1:15" ht="12.75">
      <c r="A131" s="62" t="s">
        <v>557</v>
      </c>
      <c r="D131" s="616">
        <f>(0.063/127.2)*10000/1000</f>
        <v>4.9528301886792451E-3</v>
      </c>
      <c r="E131">
        <f>(0.472/127.2)*0.35*1000/1000</f>
        <v>1.2987421383647798E-3</v>
      </c>
      <c r="F131">
        <f>(75600/127.2)/1000/1000</f>
        <v>5.9433962264150947E-4</v>
      </c>
      <c r="G131" s="3"/>
      <c r="H131" s="220"/>
      <c r="J131" s="148"/>
    </row>
    <row r="132" spans="1:15" ht="12.75">
      <c r="A132" s="652" t="s">
        <v>558</v>
      </c>
      <c r="B132" s="626"/>
      <c r="C132" s="626"/>
      <c r="D132" s="653">
        <f>AVERAGE(D129:D131)</f>
        <v>2.0863187909805599E-3</v>
      </c>
      <c r="E132" s="626">
        <f>AVERAGE(E131,E129)</f>
        <v>1.5149371069182389E-2</v>
      </c>
      <c r="F132" s="626">
        <f>F127</f>
        <v>1.5999999999999999E-5</v>
      </c>
      <c r="G132" s="654">
        <f>AVERAGE(G128:G129)</f>
        <v>3.5347185290550941E-4</v>
      </c>
      <c r="H132" s="148"/>
      <c r="J132" s="148"/>
    </row>
    <row r="133" spans="1:15" ht="14.25">
      <c r="A133" s="14" t="s">
        <v>560</v>
      </c>
      <c r="B133" s="14" t="s">
        <v>866</v>
      </c>
      <c r="D133" s="242"/>
      <c r="E133" s="58"/>
      <c r="F133" s="242"/>
      <c r="G133" s="59"/>
      <c r="H133" s="242"/>
      <c r="I133" s="60"/>
      <c r="J133" s="242"/>
    </row>
    <row r="134" spans="1:15" ht="12.75">
      <c r="B134" s="14" t="s">
        <v>562</v>
      </c>
    </row>
    <row r="135" spans="1:15" ht="12.75">
      <c r="B135" s="14" t="s">
        <v>563</v>
      </c>
    </row>
    <row r="136" spans="1:15" ht="12.75">
      <c r="B136" s="14" t="s">
        <v>564</v>
      </c>
    </row>
    <row r="137" spans="1:15" ht="12.75">
      <c r="B137" s="14" t="s">
        <v>565</v>
      </c>
    </row>
    <row r="140" spans="1:15" s="92" customFormat="1" ht="51.75">
      <c r="A140" s="52" t="s">
        <v>680</v>
      </c>
      <c r="B140" s="644" t="s">
        <v>681</v>
      </c>
      <c r="C140" s="644" t="s">
        <v>682</v>
      </c>
      <c r="D140" s="648" t="s">
        <v>549</v>
      </c>
      <c r="E140" s="648" t="s">
        <v>550</v>
      </c>
      <c r="F140" s="648" t="s">
        <v>551</v>
      </c>
      <c r="G140" s="54" t="s">
        <v>552</v>
      </c>
      <c r="H140" s="102"/>
      <c r="I140" s="102"/>
      <c r="J140" s="81"/>
      <c r="K140" s="102"/>
      <c r="L140" s="81"/>
      <c r="M140" s="81"/>
      <c r="N140" s="81"/>
      <c r="O140" s="81"/>
    </row>
    <row r="141" spans="1:15" ht="12.75">
      <c r="A141" s="62" t="s">
        <v>536</v>
      </c>
      <c r="B141" s="14">
        <v>43</v>
      </c>
      <c r="C141" s="14">
        <v>100</v>
      </c>
      <c r="D141">
        <v>2.0863187909805599E-3</v>
      </c>
      <c r="E141">
        <v>1.5149371069182389E-2</v>
      </c>
      <c r="F141">
        <v>1.5999999999999999E-5</v>
      </c>
      <c r="G141" s="3">
        <v>3.5347185290550941E-4</v>
      </c>
      <c r="H141" s="14"/>
      <c r="L141" s="220"/>
      <c r="M141" s="220"/>
      <c r="N141" s="14"/>
      <c r="O141" s="220"/>
    </row>
    <row r="142" spans="1:15" ht="12.75">
      <c r="A142" s="63" t="s">
        <v>683</v>
      </c>
      <c r="B142" s="617">
        <v>29</v>
      </c>
      <c r="C142" s="617">
        <v>100</v>
      </c>
      <c r="D142" s="646">
        <f t="shared" ref="D142:F142" si="15">D141*$B141/$B142</f>
        <v>3.0935071728332439E-3</v>
      </c>
      <c r="E142" s="646">
        <f t="shared" si="15"/>
        <v>2.2462860550856643E-2</v>
      </c>
      <c r="F142" s="646">
        <f t="shared" si="15"/>
        <v>2.3724137931034479E-5</v>
      </c>
      <c r="G142" s="191">
        <v>3.0935071729999999E-3</v>
      </c>
      <c r="H142" s="14"/>
      <c r="J142" s="14"/>
    </row>
    <row r="145" spans="1:14" s="92" customFormat="1" ht="94.5">
      <c r="A145" s="52" t="s">
        <v>672</v>
      </c>
      <c r="B145" s="644" t="s">
        <v>532</v>
      </c>
      <c r="C145" s="641" t="s">
        <v>533</v>
      </c>
      <c r="D145" s="641" t="s">
        <v>543</v>
      </c>
      <c r="E145" s="641" t="s">
        <v>603</v>
      </c>
      <c r="F145" s="48" t="s">
        <v>535</v>
      </c>
    </row>
    <row r="146" spans="1:14" ht="12.75">
      <c r="A146" s="62" t="s">
        <v>1773</v>
      </c>
      <c r="B146" s="14"/>
      <c r="C146" s="14">
        <f>0.4013085777/100</f>
        <v>4.0130857770000004E-3</v>
      </c>
      <c r="D146" s="14">
        <f>3.019933363/100</f>
        <v>3.0199333629999998E-2</v>
      </c>
      <c r="E146" s="220">
        <f>152/1000000</f>
        <v>1.5200000000000001E-4</v>
      </c>
      <c r="F146" s="3">
        <f>0.04/453.592</f>
        <v>8.8184976807351105E-5</v>
      </c>
    </row>
    <row r="147" spans="1:14" ht="12.75">
      <c r="A147" s="63" t="s">
        <v>675</v>
      </c>
      <c r="B147" s="780">
        <v>0.3</v>
      </c>
      <c r="C147" s="646">
        <f t="shared" ref="C147:F147" si="16">C146/$B147</f>
        <v>1.3376952590000001E-2</v>
      </c>
      <c r="D147" s="646">
        <f t="shared" si="16"/>
        <v>0.10066444543333333</v>
      </c>
      <c r="E147" s="646">
        <f t="shared" si="16"/>
        <v>5.0666666666666677E-4</v>
      </c>
      <c r="F147" s="191">
        <f t="shared" si="16"/>
        <v>2.9394992269117038E-4</v>
      </c>
      <c r="G147" s="14" t="s">
        <v>676</v>
      </c>
    </row>
    <row r="148" spans="1:14" ht="12.75">
      <c r="A148" s="14" t="s">
        <v>538</v>
      </c>
      <c r="B148" s="622" t="s">
        <v>570</v>
      </c>
    </row>
    <row r="149" spans="1:14" ht="12.75">
      <c r="B149" s="622" t="s">
        <v>678</v>
      </c>
    </row>
    <row r="150" spans="1:14" ht="12.75">
      <c r="B150" s="656" t="s">
        <v>679</v>
      </c>
    </row>
    <row r="151" spans="1:14" ht="12.75">
      <c r="B151" s="14" t="s">
        <v>1774</v>
      </c>
      <c r="H151" s="6"/>
    </row>
    <row r="153" spans="1:14" ht="12.75">
      <c r="H153" s="148"/>
    </row>
    <row r="154" spans="1:14" s="92" customFormat="1" ht="38.25">
      <c r="A154" s="208" t="s">
        <v>583</v>
      </c>
      <c r="B154" s="44" t="s">
        <v>584</v>
      </c>
      <c r="C154" s="1026"/>
      <c r="D154" s="1026"/>
      <c r="E154" s="1027"/>
      <c r="F154" s="1026" t="s">
        <v>585</v>
      </c>
      <c r="G154" s="1026"/>
      <c r="H154" s="1026"/>
      <c r="I154" s="1026"/>
      <c r="J154" s="44" t="s">
        <v>586</v>
      </c>
      <c r="K154" s="1027"/>
      <c r="M154" s="81"/>
      <c r="N154" s="81"/>
    </row>
    <row r="155" spans="1:14" s="92" customFormat="1" ht="38.25">
      <c r="A155" s="1028"/>
      <c r="B155" s="74" t="s">
        <v>587</v>
      </c>
      <c r="C155" s="74" t="s">
        <v>588</v>
      </c>
      <c r="D155" s="74" t="s">
        <v>589</v>
      </c>
      <c r="E155" s="74" t="s">
        <v>590</v>
      </c>
      <c r="F155" s="961"/>
      <c r="G155" s="74" t="s">
        <v>591</v>
      </c>
      <c r="H155" s="74" t="s">
        <v>592</v>
      </c>
      <c r="I155" s="75" t="s">
        <v>593</v>
      </c>
      <c r="J155" s="74" t="s">
        <v>594</v>
      </c>
      <c r="K155" s="75" t="s">
        <v>595</v>
      </c>
    </row>
    <row r="156" spans="1:14" ht="12.75">
      <c r="A156" s="76"/>
      <c r="B156" s="17" t="s">
        <v>596</v>
      </c>
      <c r="C156" s="17">
        <f>1/(30*60)*10000/1000</f>
        <v>5.5555555555555558E-3</v>
      </c>
      <c r="D156" s="17">
        <v>0.3</v>
      </c>
      <c r="E156" s="17">
        <f t="shared" ref="E156:E159" si="17">C156*D156</f>
        <v>1.6666666666666668E-3</v>
      </c>
      <c r="F156" s="46" t="s">
        <v>596</v>
      </c>
      <c r="G156" s="17">
        <v>114</v>
      </c>
      <c r="H156" s="17">
        <f t="shared" ref="H156:H157" si="18">G156*1000/10000</f>
        <v>11.4</v>
      </c>
      <c r="I156" s="17">
        <f>H156*$E160</f>
        <v>6.9685365853658546E-2</v>
      </c>
      <c r="J156" s="46">
        <v>0.12590000000000001</v>
      </c>
      <c r="K156" s="643">
        <f>1-AVERAGE(J156:J164)</f>
        <v>0.82754444444444442</v>
      </c>
    </row>
    <row r="157" spans="1:14" ht="12.75">
      <c r="A157" s="76"/>
      <c r="B157" s="17" t="s">
        <v>597</v>
      </c>
      <c r="C157" s="17">
        <f>1/(20.5*60)*10000/1000</f>
        <v>8.130081300813009E-3</v>
      </c>
      <c r="D157" s="17">
        <v>0.21</v>
      </c>
      <c r="E157" s="17">
        <f t="shared" si="17"/>
        <v>1.7073170731707319E-3</v>
      </c>
      <c r="F157" s="46" t="s">
        <v>598</v>
      </c>
      <c r="G157" s="17">
        <v>250</v>
      </c>
      <c r="H157" s="17">
        <f t="shared" si="18"/>
        <v>25</v>
      </c>
      <c r="I157" s="17">
        <f>H157*$E160</f>
        <v>0.15281878476679506</v>
      </c>
      <c r="J157" s="46">
        <v>0.1492</v>
      </c>
      <c r="K157" s="77"/>
    </row>
    <row r="158" spans="1:14" ht="12.75">
      <c r="A158" s="76"/>
      <c r="B158" s="17" t="s">
        <v>599</v>
      </c>
      <c r="C158" s="17">
        <f>1/(38*60)*10000/1000</f>
        <v>4.3859649122807024E-3</v>
      </c>
      <c r="D158" s="17">
        <v>0.13</v>
      </c>
      <c r="E158" s="17">
        <f t="shared" si="17"/>
        <v>5.7017543859649129E-4</v>
      </c>
      <c r="F158" s="46" t="s">
        <v>600</v>
      </c>
      <c r="G158" s="17"/>
      <c r="H158" s="17"/>
      <c r="I158" s="17">
        <f>AVERAGE(I156:I157)</f>
        <v>0.11125207531022679</v>
      </c>
      <c r="J158" s="46">
        <v>0.1542</v>
      </c>
      <c r="K158" s="77"/>
    </row>
    <row r="159" spans="1:14" ht="12.75">
      <c r="A159" s="76"/>
      <c r="B159" s="17" t="s">
        <v>600</v>
      </c>
      <c r="C159" s="17">
        <f>AVERAGE(C156:C158)</f>
        <v>6.0238672562164218E-3</v>
      </c>
      <c r="D159" s="17">
        <f>1-(SUM(D156:D158))</f>
        <v>0.36</v>
      </c>
      <c r="E159" s="17">
        <f t="shared" si="17"/>
        <v>2.1685922122379117E-3</v>
      </c>
      <c r="F159" s="46"/>
      <c r="G159" s="17"/>
      <c r="H159" s="17"/>
      <c r="I159" s="17"/>
      <c r="J159" s="46">
        <v>0.16089999999999999</v>
      </c>
      <c r="K159" s="77"/>
      <c r="N159" s="148"/>
    </row>
    <row r="160" spans="1:14" ht="12.75">
      <c r="A160" s="76"/>
      <c r="B160" s="17"/>
      <c r="C160" s="17"/>
      <c r="D160" s="17"/>
      <c r="E160" s="659">
        <f>SUM(E156:E159)</f>
        <v>6.1127513906718018E-3</v>
      </c>
      <c r="F160" s="46"/>
      <c r="G160" s="71"/>
      <c r="H160" s="71"/>
      <c r="I160" s="71"/>
      <c r="J160" s="660">
        <v>0.17430000000000001</v>
      </c>
      <c r="K160" s="643"/>
    </row>
    <row r="161" spans="1:14" s="92" customFormat="1" ht="60">
      <c r="A161" s="52" t="s">
        <v>601</v>
      </c>
      <c r="B161" s="644" t="s">
        <v>602</v>
      </c>
      <c r="C161" s="641" t="s">
        <v>533</v>
      </c>
      <c r="D161" s="641" t="s">
        <v>543</v>
      </c>
      <c r="E161" s="641" t="s">
        <v>603</v>
      </c>
      <c r="F161" s="48" t="s">
        <v>535</v>
      </c>
      <c r="J161" s="964">
        <v>0.1825</v>
      </c>
      <c r="K161" s="965"/>
    </row>
    <row r="162" spans="1:14" ht="12.75">
      <c r="A162" s="62" t="s">
        <v>604</v>
      </c>
      <c r="C162">
        <f>E160</f>
        <v>6.1127513906718018E-3</v>
      </c>
      <c r="D162" s="14">
        <f>I158</f>
        <v>0.11125207531022679</v>
      </c>
      <c r="E162" s="622">
        <f>139/1000000</f>
        <v>1.3899999999999999E-4</v>
      </c>
      <c r="F162" s="3">
        <f>(0.75/453.592)*K156</f>
        <v>1.3683185182572295E-3</v>
      </c>
      <c r="J162" s="46">
        <v>0.19220000000000001</v>
      </c>
      <c r="K162" s="77"/>
    </row>
    <row r="163" spans="1:14" ht="12.75">
      <c r="A163" s="661" t="s">
        <v>605</v>
      </c>
      <c r="B163" s="148">
        <f>1.8/28</f>
        <v>6.4285714285714293E-2</v>
      </c>
      <c r="C163" s="148">
        <f>C162*B163</f>
        <v>3.9296258940033015E-4</v>
      </c>
      <c r="D163" s="148">
        <f>D162*B163</f>
        <v>7.1519191270860089E-3</v>
      </c>
      <c r="E163" s="148">
        <f>E162*B163</f>
        <v>8.9357142857142858E-6</v>
      </c>
      <c r="F163" s="357">
        <f>F162*B163</f>
        <v>8.7963333316536194E-5</v>
      </c>
      <c r="J163" s="46">
        <v>0.20019999999999999</v>
      </c>
      <c r="K163" s="77"/>
      <c r="N163" s="39"/>
    </row>
    <row r="164" spans="1:14" ht="12.75">
      <c r="A164" s="190" t="s">
        <v>606</v>
      </c>
      <c r="B164" s="646">
        <f>1/2.5</f>
        <v>0.4</v>
      </c>
      <c r="C164" s="646">
        <f>C162*B164</f>
        <v>2.4451005562687207E-3</v>
      </c>
      <c r="D164" s="646">
        <f>D162*B164</f>
        <v>4.4500830124090722E-2</v>
      </c>
      <c r="E164" s="646">
        <f>E162*B164</f>
        <v>5.5599999999999996E-5</v>
      </c>
      <c r="F164" s="191">
        <f>F162*B164</f>
        <v>5.4732740730289184E-4</v>
      </c>
      <c r="J164" s="72">
        <v>0.2127</v>
      </c>
      <c r="K164" s="73"/>
    </row>
    <row r="165" spans="1:14" ht="12.75">
      <c r="A165" s="14" t="s">
        <v>538</v>
      </c>
      <c r="B165" s="14" t="s">
        <v>607</v>
      </c>
      <c r="C165" s="14" t="s">
        <v>608</v>
      </c>
    </row>
    <row r="166" spans="1:14" ht="12.75">
      <c r="B166" s="14" t="s">
        <v>609</v>
      </c>
      <c r="C166" s="14" t="s">
        <v>610</v>
      </c>
    </row>
    <row r="167" spans="1:14" ht="12.75">
      <c r="B167" s="14"/>
      <c r="C167" s="14" t="s">
        <v>611</v>
      </c>
    </row>
    <row r="168" spans="1:14" ht="12.75">
      <c r="B168" s="14" t="s">
        <v>612</v>
      </c>
      <c r="C168" s="14" t="s">
        <v>613</v>
      </c>
    </row>
    <row r="169" spans="1:14" ht="12.75">
      <c r="B169" s="14" t="s">
        <v>614</v>
      </c>
      <c r="C169" s="656" t="s">
        <v>615</v>
      </c>
    </row>
    <row r="170" spans="1:14" ht="12.75">
      <c r="B170" s="14" t="s">
        <v>616</v>
      </c>
      <c r="C170" s="14" t="s">
        <v>617</v>
      </c>
    </row>
    <row r="171" spans="1:14" ht="12.75">
      <c r="B171" s="14" t="s">
        <v>618</v>
      </c>
      <c r="C171" s="14" t="s">
        <v>619</v>
      </c>
    </row>
    <row r="172" spans="1:14" ht="12.75">
      <c r="B172" s="14" t="s">
        <v>620</v>
      </c>
      <c r="C172" s="14" t="s">
        <v>621</v>
      </c>
    </row>
    <row r="175" spans="1:14" s="92" customFormat="1" ht="60">
      <c r="A175" s="47" t="s">
        <v>541</v>
      </c>
      <c r="B175" s="644" t="s">
        <v>542</v>
      </c>
      <c r="C175" s="50" t="s">
        <v>533</v>
      </c>
      <c r="D175" s="641" t="s">
        <v>543</v>
      </c>
      <c r="E175" s="641" t="s">
        <v>522</v>
      </c>
      <c r="F175" s="48" t="s">
        <v>535</v>
      </c>
    </row>
    <row r="176" spans="1:14" ht="12.75">
      <c r="A176" s="616" t="s">
        <v>147</v>
      </c>
      <c r="C176" s="616">
        <f>0.05366/100</f>
        <v>5.3660000000000003E-4</v>
      </c>
      <c r="D176" s="14">
        <f>0.2893/100</f>
        <v>2.8930000000000002E-3</v>
      </c>
      <c r="E176" s="14">
        <f>133/1000000</f>
        <v>1.3300000000000001E-4</v>
      </c>
      <c r="F176" s="3">
        <v>1.9841579999999996E-4</v>
      </c>
    </row>
    <row r="177" spans="1:8" ht="12.75">
      <c r="A177" s="4" t="s">
        <v>13</v>
      </c>
      <c r="B177" s="617">
        <f>AVERAGE(0.7,0.75)</f>
        <v>0.72499999999999998</v>
      </c>
      <c r="C177" s="4">
        <f t="shared" ref="C177:D177" si="19">C176/$B177</f>
        <v>7.4013793103448278E-4</v>
      </c>
      <c r="D177" s="617">
        <f t="shared" si="19"/>
        <v>3.9903448275862069E-3</v>
      </c>
      <c r="E177" s="617">
        <f>185/1000000</f>
        <v>1.85E-4</v>
      </c>
      <c r="F177" s="5">
        <f>F176/$B177</f>
        <v>2.7367696551724134E-4</v>
      </c>
    </row>
    <row r="178" spans="1:8" ht="12.75">
      <c r="A178" s="14" t="s">
        <v>538</v>
      </c>
      <c r="B178" s="14" t="s">
        <v>544</v>
      </c>
    </row>
    <row r="181" spans="1:8" s="92" customFormat="1" ht="25.5">
      <c r="A181" s="44" t="s">
        <v>526</v>
      </c>
      <c r="B181" s="1026" t="s">
        <v>527</v>
      </c>
      <c r="C181" s="1026" t="s">
        <v>528</v>
      </c>
      <c r="D181" s="1029" t="s">
        <v>529</v>
      </c>
      <c r="E181" s="1030"/>
    </row>
    <row r="182" spans="1:8" ht="12.75">
      <c r="A182" s="46" t="s">
        <v>530</v>
      </c>
      <c r="B182" s="17">
        <v>6.4</v>
      </c>
      <c r="C182" s="17">
        <f>6.4/70/9.4003</f>
        <v>9.7261333604854554E-3</v>
      </c>
      <c r="D182" s="643">
        <f>C182*2.521008403</f>
        <v>2.4519663930482462E-2</v>
      </c>
      <c r="E182" s="32"/>
    </row>
    <row r="183" spans="1:8" s="92" customFormat="1" ht="60">
      <c r="A183" s="47" t="s">
        <v>531</v>
      </c>
      <c r="B183" s="644" t="s">
        <v>532</v>
      </c>
      <c r="C183" s="641" t="s">
        <v>533</v>
      </c>
      <c r="D183" s="641" t="s">
        <v>534</v>
      </c>
      <c r="E183" s="641" t="s">
        <v>522</v>
      </c>
      <c r="F183" s="48" t="s">
        <v>535</v>
      </c>
    </row>
    <row r="184" spans="1:8" ht="12.75">
      <c r="A184" s="616" t="s">
        <v>536</v>
      </c>
      <c r="C184">
        <v>2.0863187909805599E-3</v>
      </c>
      <c r="D184">
        <v>1.5149371069182389E-2</v>
      </c>
      <c r="E184">
        <v>1.5999999999999999E-5</v>
      </c>
      <c r="F184" s="3">
        <v>3.5347185290550941E-4</v>
      </c>
    </row>
    <row r="185" spans="1:8" ht="12.75">
      <c r="A185" s="4" t="s">
        <v>537</v>
      </c>
      <c r="B185" s="617">
        <f>F185/F184</f>
        <v>7.7339518226325934</v>
      </c>
      <c r="C185" s="646">
        <f>$B185*C184</f>
        <v>1.6135489016096731E-2</v>
      </c>
      <c r="D185" s="646">
        <f>D182</f>
        <v>2.4519663930482462E-2</v>
      </c>
      <c r="E185" s="646">
        <f>$B185*E184</f>
        <v>1.2374322916212149E-4</v>
      </c>
      <c r="F185" s="191">
        <f>1.24/453.592</f>
        <v>2.7337342810278844E-3</v>
      </c>
    </row>
    <row r="186" spans="1:8" ht="12.75">
      <c r="A186" s="14" t="s">
        <v>538</v>
      </c>
      <c r="B186" s="14" t="s">
        <v>1775</v>
      </c>
    </row>
    <row r="187" spans="1:8" ht="12.75">
      <c r="B187" s="14" t="s">
        <v>540</v>
      </c>
    </row>
    <row r="188" spans="1:8" ht="12.75">
      <c r="H188" s="148"/>
    </row>
    <row r="190" spans="1:8" s="92" customFormat="1" ht="94.5">
      <c r="A190" s="144" t="s">
        <v>687</v>
      </c>
      <c r="B190" s="644" t="s">
        <v>1776</v>
      </c>
      <c r="C190" s="641" t="s">
        <v>533</v>
      </c>
      <c r="D190" s="641" t="s">
        <v>543</v>
      </c>
      <c r="E190" s="641" t="s">
        <v>603</v>
      </c>
      <c r="F190" s="48" t="s">
        <v>535</v>
      </c>
    </row>
    <row r="191" spans="1:8" ht="12.75">
      <c r="A191" s="62" t="s">
        <v>689</v>
      </c>
      <c r="B191" s="14">
        <v>1000</v>
      </c>
      <c r="C191">
        <v>9.6530647293316797E-4</v>
      </c>
      <c r="D191">
        <v>1.9624016847597899E-2</v>
      </c>
      <c r="E191">
        <v>1.1E-4</v>
      </c>
      <c r="F191" s="3">
        <v>4.7399425033951224E-4</v>
      </c>
    </row>
    <row r="192" spans="1:8" ht="12.75">
      <c r="A192" s="63" t="s">
        <v>690</v>
      </c>
      <c r="B192" s="617">
        <v>529</v>
      </c>
      <c r="C192" s="646">
        <f t="shared" ref="C192:D192" si="20">C191*$B191/$B192</f>
        <v>1.8247759412725292E-3</v>
      </c>
      <c r="D192" s="646">
        <f t="shared" si="20"/>
        <v>3.7096440165591493E-2</v>
      </c>
      <c r="E192" s="646">
        <f>199/1000000</f>
        <v>1.9900000000000001E-4</v>
      </c>
      <c r="F192" s="191">
        <f>0.97/453.592</f>
        <v>2.1384856875782642E-3</v>
      </c>
    </row>
    <row r="193" spans="1:13" ht="12.75">
      <c r="A193" s="14" t="s">
        <v>691</v>
      </c>
      <c r="B193" s="14" t="s">
        <v>692</v>
      </c>
    </row>
    <row r="194" spans="1:13" ht="12.75">
      <c r="A194" s="14"/>
      <c r="B194" s="14" t="s">
        <v>693</v>
      </c>
    </row>
    <row r="195" spans="1:13" ht="12.75">
      <c r="B195" s="14" t="s">
        <v>694</v>
      </c>
    </row>
    <row r="197" spans="1:13" ht="15">
      <c r="B197" s="14"/>
      <c r="C197" s="14"/>
      <c r="D197" s="14"/>
      <c r="E197" s="14"/>
      <c r="F197" s="14"/>
      <c r="G197" s="81"/>
      <c r="H197" s="64"/>
      <c r="I197" s="64"/>
      <c r="J197" s="64"/>
      <c r="K197" s="64"/>
      <c r="L197" s="14"/>
      <c r="M197" s="6"/>
    </row>
    <row r="198" spans="1:13" s="92" customFormat="1" ht="60">
      <c r="A198" s="1033" t="s">
        <v>1777</v>
      </c>
      <c r="B198" s="644" t="s">
        <v>1778</v>
      </c>
      <c r="C198" s="644" t="s">
        <v>1779</v>
      </c>
      <c r="D198" s="644" t="s">
        <v>1464</v>
      </c>
      <c r="E198" s="644" t="s">
        <v>913</v>
      </c>
      <c r="F198" s="644" t="s">
        <v>1762</v>
      </c>
      <c r="G198" s="644" t="s">
        <v>532</v>
      </c>
      <c r="H198" s="641" t="s">
        <v>625</v>
      </c>
      <c r="I198" s="641" t="s">
        <v>534</v>
      </c>
      <c r="J198" s="641" t="s">
        <v>720</v>
      </c>
      <c r="K198" s="641" t="s">
        <v>722</v>
      </c>
      <c r="L198" s="1031" t="s">
        <v>523</v>
      </c>
      <c r="M198" s="1032"/>
    </row>
    <row r="199" spans="1:13" ht="12.75">
      <c r="A199" s="616" t="s">
        <v>855</v>
      </c>
      <c r="B199" t="s">
        <v>1780</v>
      </c>
      <c r="C199" t="s">
        <v>1781</v>
      </c>
      <c r="D199" s="14">
        <v>26.8</v>
      </c>
      <c r="E199" s="14">
        <v>149</v>
      </c>
      <c r="F199">
        <f t="shared" ref="F199:F201" si="21">D199/E199</f>
        <v>0.17986577181208055</v>
      </c>
      <c r="H199">
        <v>4.8059999999999999E-2</v>
      </c>
      <c r="I199">
        <v>0.98775999999999997</v>
      </c>
      <c r="J199" s="39">
        <v>3.2199999999999999E-2</v>
      </c>
      <c r="K199">
        <v>2.3E-2</v>
      </c>
      <c r="L199" s="3"/>
      <c r="M199" s="220"/>
    </row>
    <row r="200" spans="1:13" ht="12.75">
      <c r="A200" s="616" t="s">
        <v>856</v>
      </c>
      <c r="D200" s="14">
        <v>17</v>
      </c>
      <c r="E200" s="14">
        <v>100</v>
      </c>
      <c r="F200">
        <f t="shared" si="21"/>
        <v>0.17</v>
      </c>
      <c r="G200">
        <f>F200/F199</f>
        <v>0.94514925373134329</v>
      </c>
      <c r="H200" s="142">
        <f t="shared" ref="H200:K200" si="22">$G200*H199</f>
        <v>4.5423873134328357E-2</v>
      </c>
      <c r="I200" s="142">
        <f t="shared" si="22"/>
        <v>0.93358062686567167</v>
      </c>
      <c r="J200" s="143">
        <f t="shared" si="22"/>
        <v>3.0433805970149254E-2</v>
      </c>
      <c r="K200" s="142">
        <f t="shared" si="22"/>
        <v>2.1738432835820894E-2</v>
      </c>
      <c r="L200" s="3"/>
      <c r="M200" s="57"/>
    </row>
    <row r="201" spans="1:13" ht="12.75">
      <c r="A201" s="4" t="s">
        <v>1551</v>
      </c>
      <c r="B201" s="617"/>
      <c r="C201" s="617"/>
      <c r="D201" s="617">
        <v>215</v>
      </c>
      <c r="E201" s="617">
        <v>262</v>
      </c>
      <c r="F201" s="617">
        <f t="shared" si="21"/>
        <v>0.82061068702290074</v>
      </c>
      <c r="G201" s="617">
        <f>F201/F199</f>
        <v>4.562350461433291</v>
      </c>
      <c r="H201" s="617">
        <f t="shared" ref="H201:K201" si="23">$G201*H199</f>
        <v>0.21926656317648396</v>
      </c>
      <c r="I201" s="617">
        <f t="shared" si="23"/>
        <v>4.506507291785347</v>
      </c>
      <c r="J201" s="781">
        <f t="shared" si="23"/>
        <v>0.14690768485815198</v>
      </c>
      <c r="K201" s="617">
        <f t="shared" si="23"/>
        <v>0.10493406061296569</v>
      </c>
      <c r="L201" s="5"/>
    </row>
    <row r="206" spans="1:13" ht="12.75"/>
  </sheetData>
  <hyperlinks>
    <hyperlink ref="B9" r:id="rId1"/>
    <hyperlink ref="B17" r:id="rId2"/>
    <hyperlink ref="B18" r:id="rId3"/>
    <hyperlink ref="B56" r:id="rId4"/>
    <hyperlink ref="B64" r:id="rId5"/>
    <hyperlink ref="B65" r:id="rId6" location="/food-details/1103193/nutrients)"/>
    <hyperlink ref="C99" r:id="rId7"/>
    <hyperlink ref="C108" r:id="rId8"/>
    <hyperlink ref="B150" r:id="rId9"/>
    <hyperlink ref="C169" r:id="rId10"/>
  </hyperlinks>
  <pageMargins left="0" right="0" top="0" bottom="0" header="0" footer="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DP111"/>
  <sheetViews>
    <sheetView workbookViewId="0">
      <pane xSplit="3" ySplit="1" topLeftCell="D2" activePane="bottomRight" state="frozen"/>
      <selection pane="topRight" activeCell="D1" sqref="D1"/>
      <selection pane="bottomLeft" activeCell="A2" sqref="A2"/>
      <selection pane="bottomRight" activeCell="F11" sqref="F11"/>
    </sheetView>
  </sheetViews>
  <sheetFormatPr defaultColWidth="12.5703125" defaultRowHeight="15.75" customHeight="1"/>
  <cols>
    <col min="1" max="1" width="22.7109375" customWidth="1"/>
    <col min="2" max="2" width="11" customWidth="1"/>
    <col min="3" max="3" width="10.28515625" customWidth="1"/>
    <col min="4" max="4" width="15.85546875" customWidth="1"/>
    <col min="5" max="19" width="18.5703125" customWidth="1"/>
    <col min="20" max="20" width="19.5703125" customWidth="1"/>
    <col min="21" max="21" width="20.42578125" customWidth="1"/>
    <col min="22" max="22" width="21" customWidth="1"/>
    <col min="23" max="24" width="18.85546875" customWidth="1"/>
  </cols>
  <sheetData>
    <row r="1" spans="1:120" s="92" customFormat="1" ht="51">
      <c r="A1" s="6" t="s">
        <v>1782</v>
      </c>
      <c r="B1" s="81" t="s">
        <v>1783</v>
      </c>
      <c r="C1" s="81" t="s">
        <v>1784</v>
      </c>
      <c r="D1" s="81" t="s">
        <v>1785</v>
      </c>
      <c r="E1" s="81" t="s">
        <v>1786</v>
      </c>
      <c r="F1" s="81" t="s">
        <v>1787</v>
      </c>
      <c r="G1" s="81" t="s">
        <v>1788</v>
      </c>
      <c r="H1" s="81" t="s">
        <v>1789</v>
      </c>
      <c r="I1" s="81" t="s">
        <v>1790</v>
      </c>
      <c r="J1" s="81" t="s">
        <v>1791</v>
      </c>
      <c r="K1" s="81" t="s">
        <v>1792</v>
      </c>
      <c r="L1" s="81" t="s">
        <v>1793</v>
      </c>
      <c r="M1" s="81" t="s">
        <v>1794</v>
      </c>
      <c r="N1" s="81" t="s">
        <v>1795</v>
      </c>
      <c r="O1" s="81" t="s">
        <v>1796</v>
      </c>
      <c r="P1" s="81" t="s">
        <v>1797</v>
      </c>
      <c r="Q1" s="81" t="s">
        <v>1798</v>
      </c>
      <c r="R1" s="81" t="s">
        <v>1799</v>
      </c>
      <c r="S1" s="81" t="s">
        <v>1800</v>
      </c>
      <c r="T1" s="81" t="s">
        <v>1801</v>
      </c>
      <c r="U1" s="81" t="s">
        <v>1802</v>
      </c>
      <c r="V1" s="81" t="s">
        <v>1803</v>
      </c>
      <c r="W1" s="81" t="s">
        <v>1804</v>
      </c>
      <c r="X1" s="81" t="s">
        <v>1805</v>
      </c>
      <c r="Y1" s="81" t="s">
        <v>1806</v>
      </c>
      <c r="Z1" s="81" t="s">
        <v>1807</v>
      </c>
      <c r="AA1" s="81" t="s">
        <v>1808</v>
      </c>
      <c r="AB1" s="81" t="s">
        <v>1809</v>
      </c>
      <c r="AC1" s="81" t="s">
        <v>1810</v>
      </c>
      <c r="AD1" s="81" t="s">
        <v>1811</v>
      </c>
      <c r="AE1" s="81" t="s">
        <v>1812</v>
      </c>
      <c r="AF1" s="81" t="s">
        <v>1813</v>
      </c>
      <c r="AG1" s="81" t="s">
        <v>1814</v>
      </c>
      <c r="AH1" s="81" t="s">
        <v>1815</v>
      </c>
      <c r="AI1" s="81" t="s">
        <v>1816</v>
      </c>
      <c r="AJ1" s="81" t="s">
        <v>1817</v>
      </c>
      <c r="AK1" s="81" t="s">
        <v>1818</v>
      </c>
      <c r="AL1" s="81" t="s">
        <v>1819</v>
      </c>
      <c r="AM1" s="81" t="s">
        <v>1820</v>
      </c>
      <c r="AN1" s="81" t="s">
        <v>1821</v>
      </c>
      <c r="AO1" s="81" t="s">
        <v>1822</v>
      </c>
      <c r="AP1" s="81" t="s">
        <v>1823</v>
      </c>
      <c r="AQ1" s="81" t="s">
        <v>1824</v>
      </c>
      <c r="AR1" s="81" t="s">
        <v>1825</v>
      </c>
      <c r="AS1" s="81" t="s">
        <v>1826</v>
      </c>
      <c r="AT1" s="81" t="s">
        <v>1827</v>
      </c>
      <c r="AU1" s="81" t="s">
        <v>1828</v>
      </c>
      <c r="AV1" s="81" t="s">
        <v>1829</v>
      </c>
      <c r="AW1" s="81" t="s">
        <v>1830</v>
      </c>
      <c r="AX1" s="81" t="s">
        <v>1831</v>
      </c>
      <c r="AY1" s="81" t="s">
        <v>1832</v>
      </c>
      <c r="AZ1" s="81" t="s">
        <v>1833</v>
      </c>
      <c r="BA1" s="81" t="s">
        <v>1834</v>
      </c>
      <c r="BB1" s="81" t="s">
        <v>1835</v>
      </c>
      <c r="BC1" s="81" t="s">
        <v>1836</v>
      </c>
      <c r="BD1" s="81" t="s">
        <v>1837</v>
      </c>
      <c r="BE1" s="81" t="s">
        <v>1838</v>
      </c>
      <c r="BF1" s="81" t="s">
        <v>1839</v>
      </c>
      <c r="BG1" s="81" t="s">
        <v>1840</v>
      </c>
      <c r="BH1" s="81" t="s">
        <v>1841</v>
      </c>
      <c r="BI1" s="81" t="s">
        <v>1842</v>
      </c>
      <c r="BJ1" s="81" t="s">
        <v>1843</v>
      </c>
      <c r="BK1" s="81" t="s">
        <v>1844</v>
      </c>
      <c r="BL1" s="81" t="s">
        <v>1845</v>
      </c>
      <c r="BM1" s="81" t="s">
        <v>1846</v>
      </c>
      <c r="BN1" s="81" t="s">
        <v>1847</v>
      </c>
      <c r="BO1" s="81" t="s">
        <v>1848</v>
      </c>
      <c r="BP1" s="81" t="s">
        <v>1849</v>
      </c>
      <c r="BQ1" s="81" t="s">
        <v>1850</v>
      </c>
      <c r="BR1" s="81" t="s">
        <v>1851</v>
      </c>
      <c r="BS1" s="81" t="s">
        <v>1852</v>
      </c>
      <c r="BT1" s="81" t="s">
        <v>1853</v>
      </c>
      <c r="BU1" s="81" t="s">
        <v>1854</v>
      </c>
      <c r="BV1" s="81" t="s">
        <v>1855</v>
      </c>
      <c r="BW1" s="81" t="s">
        <v>1856</v>
      </c>
      <c r="BX1" s="81" t="s">
        <v>1857</v>
      </c>
      <c r="BY1" s="81" t="s">
        <v>1856</v>
      </c>
      <c r="BZ1" s="81" t="s">
        <v>1858</v>
      </c>
      <c r="CA1" s="81" t="s">
        <v>1859</v>
      </c>
      <c r="CB1" s="81" t="s">
        <v>1860</v>
      </c>
      <c r="CC1" s="1034" t="s">
        <v>1861</v>
      </c>
      <c r="CD1" s="81" t="s">
        <v>1862</v>
      </c>
      <c r="CE1" s="81" t="s">
        <v>1863</v>
      </c>
      <c r="CF1" s="81" t="s">
        <v>1864</v>
      </c>
      <c r="CG1" s="81" t="s">
        <v>1863</v>
      </c>
      <c r="CH1" s="81" t="s">
        <v>1865</v>
      </c>
      <c r="CI1" s="81" t="s">
        <v>1866</v>
      </c>
      <c r="CJ1" s="81" t="s">
        <v>1867</v>
      </c>
      <c r="CK1" s="81" t="s">
        <v>1868</v>
      </c>
      <c r="CL1" s="81" t="s">
        <v>1869</v>
      </c>
      <c r="CM1" s="81" t="s">
        <v>1870</v>
      </c>
      <c r="CN1" s="81" t="s">
        <v>1871</v>
      </c>
      <c r="CO1" s="81" t="s">
        <v>1872</v>
      </c>
      <c r="CP1" s="81" t="s">
        <v>1873</v>
      </c>
      <c r="CQ1" s="81" t="s">
        <v>1874</v>
      </c>
      <c r="CR1" s="81" t="s">
        <v>1875</v>
      </c>
      <c r="CS1" s="81" t="s">
        <v>1876</v>
      </c>
      <c r="CT1" s="81" t="s">
        <v>1877</v>
      </c>
      <c r="CU1" s="81" t="s">
        <v>1878</v>
      </c>
      <c r="CV1" s="81" t="s">
        <v>1879</v>
      </c>
      <c r="CW1" s="81" t="s">
        <v>1880</v>
      </c>
      <c r="CX1" s="81" t="s">
        <v>1881</v>
      </c>
      <c r="CY1" s="81" t="s">
        <v>1882</v>
      </c>
      <c r="CZ1" s="81" t="s">
        <v>1883</v>
      </c>
      <c r="DA1" s="81" t="s">
        <v>1884</v>
      </c>
      <c r="DB1" s="81" t="s">
        <v>1885</v>
      </c>
      <c r="DC1" s="81" t="s">
        <v>1886</v>
      </c>
      <c r="DD1" s="81" t="s">
        <v>1887</v>
      </c>
      <c r="DE1" s="81" t="s">
        <v>1888</v>
      </c>
      <c r="DF1" s="81" t="s">
        <v>1889</v>
      </c>
      <c r="DG1" s="81" t="s">
        <v>1890</v>
      </c>
      <c r="DH1" s="81" t="s">
        <v>1891</v>
      </c>
      <c r="DI1" s="81" t="s">
        <v>1892</v>
      </c>
      <c r="DJ1" s="81" t="s">
        <v>1891</v>
      </c>
      <c r="DK1" s="81" t="s">
        <v>1892</v>
      </c>
      <c r="DL1" s="81" t="s">
        <v>1891</v>
      </c>
      <c r="DM1" s="81" t="s">
        <v>1893</v>
      </c>
      <c r="DN1" s="81" t="s">
        <v>1894</v>
      </c>
      <c r="DO1" s="81" t="s">
        <v>1895</v>
      </c>
      <c r="DP1" s="81"/>
    </row>
    <row r="2" spans="1:120" ht="12.75">
      <c r="A2" s="6" t="s">
        <v>314</v>
      </c>
      <c r="B2" s="332"/>
      <c r="C2" s="332"/>
      <c r="D2" s="332"/>
      <c r="E2" s="332"/>
      <c r="F2" s="332"/>
      <c r="G2" s="332"/>
      <c r="H2" s="332" t="s">
        <v>1896</v>
      </c>
      <c r="I2" s="332" t="s">
        <v>1897</v>
      </c>
      <c r="J2" s="332"/>
      <c r="K2" s="332"/>
      <c r="L2" s="332" t="s">
        <v>1898</v>
      </c>
      <c r="M2" s="332" t="s">
        <v>1899</v>
      </c>
      <c r="N2" s="332" t="s">
        <v>1900</v>
      </c>
      <c r="O2" s="332" t="s">
        <v>1901</v>
      </c>
      <c r="P2" s="332"/>
      <c r="Q2" s="332"/>
      <c r="R2" s="332"/>
      <c r="S2" s="332"/>
      <c r="T2" s="332"/>
      <c r="U2" s="332"/>
      <c r="V2" s="332" t="s">
        <v>1902</v>
      </c>
      <c r="W2" s="436" t="s">
        <v>1903</v>
      </c>
      <c r="X2" s="436"/>
      <c r="Y2" s="782"/>
      <c r="Z2" s="782"/>
      <c r="AA2" s="782"/>
      <c r="AB2" s="332"/>
      <c r="AC2" s="332" t="s">
        <v>1904</v>
      </c>
      <c r="AD2" s="782" t="s">
        <v>1905</v>
      </c>
      <c r="AE2" s="332"/>
      <c r="AF2" s="782" t="s">
        <v>1906</v>
      </c>
      <c r="AG2" s="782"/>
      <c r="AH2" s="782"/>
      <c r="AI2" s="782"/>
      <c r="AJ2" s="782"/>
      <c r="AK2" s="78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row>
    <row r="3" spans="1:120" ht="12.75">
      <c r="A3" s="6" t="s">
        <v>1907</v>
      </c>
      <c r="B3" s="332"/>
      <c r="C3" s="332" t="s">
        <v>1908</v>
      </c>
      <c r="D3" s="332"/>
      <c r="E3" s="332"/>
      <c r="F3" s="332"/>
      <c r="G3" s="332"/>
      <c r="H3" s="332" t="s">
        <v>1909</v>
      </c>
      <c r="I3" s="332" t="s">
        <v>1910</v>
      </c>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t="s">
        <v>1911</v>
      </c>
      <c r="CT3" s="332" t="s">
        <v>1912</v>
      </c>
      <c r="CU3" s="332"/>
      <c r="CV3" s="332"/>
      <c r="CW3" s="332"/>
      <c r="CX3" s="332"/>
      <c r="CY3" s="332"/>
      <c r="CZ3" s="332"/>
      <c r="DA3" s="332"/>
      <c r="DB3" s="332"/>
      <c r="DC3" s="332"/>
      <c r="DD3" s="332"/>
      <c r="DE3" s="332"/>
      <c r="DF3" s="332"/>
      <c r="DG3" s="332"/>
      <c r="DH3" s="332"/>
      <c r="DI3" s="332"/>
      <c r="DJ3" s="332"/>
      <c r="DK3" s="332"/>
      <c r="DL3" s="332"/>
      <c r="DM3" s="332"/>
      <c r="DN3" s="332"/>
      <c r="DO3" s="332"/>
      <c r="DP3" s="332"/>
    </row>
    <row r="4" spans="1:120" ht="12.75">
      <c r="A4" s="6" t="s">
        <v>370</v>
      </c>
      <c r="B4" s="332"/>
      <c r="C4" s="332" t="s">
        <v>1913</v>
      </c>
      <c r="D4" s="332"/>
      <c r="E4" s="332"/>
      <c r="F4" s="332" t="s">
        <v>1914</v>
      </c>
      <c r="G4" s="332" t="s">
        <v>1915</v>
      </c>
      <c r="H4" s="332"/>
      <c r="I4" s="332"/>
      <c r="J4" s="332"/>
      <c r="K4" s="332"/>
      <c r="L4" s="332" t="s">
        <v>1916</v>
      </c>
      <c r="M4" s="332" t="s">
        <v>1917</v>
      </c>
      <c r="N4" s="437" t="s">
        <v>1918</v>
      </c>
      <c r="O4" s="437" t="s">
        <v>1919</v>
      </c>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t="s">
        <v>1920</v>
      </c>
      <c r="CT4" s="782" t="s">
        <v>1921</v>
      </c>
      <c r="CU4" s="782"/>
      <c r="CV4" s="782"/>
      <c r="CW4" s="332"/>
      <c r="CX4" s="332"/>
      <c r="CY4" s="332"/>
      <c r="CZ4" s="332"/>
      <c r="DA4" s="332"/>
      <c r="DB4" s="332"/>
      <c r="DC4" s="332"/>
      <c r="DD4" s="332"/>
      <c r="DE4" s="332"/>
      <c r="DF4" s="332"/>
      <c r="DG4" s="332"/>
      <c r="DH4" s="332"/>
      <c r="DI4" s="332"/>
      <c r="DJ4" s="332"/>
      <c r="DK4" s="332"/>
      <c r="DL4" s="332"/>
      <c r="DM4" s="332"/>
      <c r="DN4" s="332"/>
      <c r="DO4" s="332"/>
      <c r="DP4" s="332"/>
    </row>
    <row r="5" spans="1:120" ht="12.75">
      <c r="A5" s="148" t="s">
        <v>375</v>
      </c>
      <c r="B5" s="332"/>
      <c r="C5" s="332" t="s">
        <v>1922</v>
      </c>
      <c r="D5" s="332"/>
      <c r="E5" s="332"/>
      <c r="F5" s="332"/>
      <c r="G5" s="332"/>
      <c r="H5" s="332"/>
      <c r="I5" s="332"/>
      <c r="J5" s="332" t="s">
        <v>1923</v>
      </c>
      <c r="K5" s="332" t="s">
        <v>1924</v>
      </c>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t="s">
        <v>1920</v>
      </c>
      <c r="CT5" s="782" t="s">
        <v>1921</v>
      </c>
      <c r="CU5" s="782"/>
      <c r="CV5" s="782"/>
      <c r="CW5" s="332"/>
      <c r="CX5" s="332"/>
      <c r="CY5" s="332"/>
      <c r="CZ5" s="332"/>
      <c r="DA5" s="332"/>
      <c r="DB5" s="332"/>
      <c r="DC5" s="332"/>
      <c r="DD5" s="332"/>
      <c r="DE5" s="332"/>
      <c r="DF5" s="332"/>
      <c r="DG5" s="332"/>
      <c r="DH5" s="332"/>
      <c r="DI5" s="332"/>
      <c r="DJ5" s="332"/>
      <c r="DK5" s="332"/>
      <c r="DL5" s="332"/>
      <c r="DM5" s="332"/>
      <c r="DN5" s="332"/>
      <c r="DO5" s="332"/>
      <c r="DP5" s="332"/>
    </row>
    <row r="6" spans="1:120" ht="12.75">
      <c r="A6" s="148" t="s">
        <v>1925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438" t="s">
        <v>1926</v>
      </c>
      <c r="BP6" s="439" t="s">
        <v>1927</v>
      </c>
      <c r="BQ6" s="332" t="s">
        <v>1928</v>
      </c>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t="s">
        <v>1920</v>
      </c>
      <c r="CT6" s="782" t="s">
        <v>1921</v>
      </c>
      <c r="CU6" s="782"/>
      <c r="CV6" s="782"/>
      <c r="CW6" s="332"/>
      <c r="CX6" s="332"/>
      <c r="CY6" s="332"/>
      <c r="CZ6" s="332"/>
      <c r="DA6" s="332"/>
      <c r="DB6" s="332"/>
      <c r="DC6" s="332"/>
      <c r="DD6" s="332"/>
      <c r="DE6" s="332"/>
      <c r="DF6" s="332"/>
      <c r="DG6" s="332"/>
      <c r="DH6" s="332"/>
      <c r="DI6" s="332"/>
      <c r="DJ6" s="332"/>
      <c r="DK6" s="332"/>
      <c r="DL6" s="332"/>
      <c r="DM6" s="332"/>
      <c r="DN6" s="332"/>
      <c r="DO6" s="332"/>
      <c r="DP6" s="332"/>
    </row>
    <row r="7" spans="1:120" ht="25.5">
      <c r="A7" s="6" t="s">
        <v>447</v>
      </c>
      <c r="B7" s="783" t="s">
        <v>1929</v>
      </c>
      <c r="C7" s="332" t="s">
        <v>1930</v>
      </c>
      <c r="D7" s="332"/>
      <c r="E7" s="332"/>
      <c r="F7" s="332" t="s">
        <v>1931</v>
      </c>
      <c r="G7" s="332" t="s">
        <v>1932</v>
      </c>
      <c r="H7" s="332"/>
      <c r="I7" s="332"/>
      <c r="J7" s="332"/>
      <c r="K7" s="332"/>
      <c r="L7" s="440" t="s">
        <v>1933</v>
      </c>
      <c r="M7" s="440" t="s">
        <v>1934</v>
      </c>
      <c r="N7" s="332" t="s">
        <v>1935</v>
      </c>
      <c r="O7" s="332"/>
      <c r="P7" s="332"/>
      <c r="Q7" s="332"/>
      <c r="R7" s="332"/>
      <c r="S7" s="332"/>
      <c r="T7" s="332"/>
      <c r="U7" s="332"/>
      <c r="V7" s="332"/>
      <c r="W7" s="332"/>
      <c r="X7" s="332" t="s">
        <v>1936</v>
      </c>
      <c r="Y7" s="332" t="s">
        <v>1937</v>
      </c>
      <c r="Z7" s="439" t="s">
        <v>1938</v>
      </c>
      <c r="AA7" s="332" t="s">
        <v>1939</v>
      </c>
      <c r="AB7" s="782" t="s">
        <v>1940</v>
      </c>
      <c r="AC7" s="782"/>
      <c r="AD7" s="782"/>
      <c r="AE7" s="782"/>
      <c r="AF7" s="78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row>
    <row r="8" spans="1:120" ht="12.75">
      <c r="A8" s="6" t="s">
        <v>1941</v>
      </c>
      <c r="B8" s="783"/>
      <c r="C8" s="332"/>
      <c r="D8" s="332"/>
      <c r="E8" s="332"/>
      <c r="F8" s="332"/>
      <c r="G8" s="332"/>
      <c r="H8" s="332"/>
      <c r="I8" s="332"/>
      <c r="J8" s="332"/>
      <c r="K8" s="332"/>
      <c r="L8" s="440"/>
      <c r="M8" s="440"/>
      <c r="N8" s="332"/>
      <c r="O8" s="332"/>
      <c r="P8" s="332"/>
      <c r="Q8" s="332"/>
      <c r="R8" s="332"/>
      <c r="S8" s="332"/>
      <c r="T8" s="332"/>
      <c r="U8" s="332"/>
      <c r="V8" s="332"/>
      <c r="W8" s="332"/>
      <c r="X8" s="332"/>
      <c r="Y8" s="332"/>
      <c r="Z8" s="439"/>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t="s">
        <v>1942</v>
      </c>
      <c r="CO8" s="782" t="s">
        <v>1943</v>
      </c>
      <c r="CP8" s="782"/>
      <c r="CQ8" s="782"/>
      <c r="CR8" s="782"/>
      <c r="CS8" s="782"/>
      <c r="CT8" s="782"/>
      <c r="CU8" s="332"/>
      <c r="CV8" s="332"/>
      <c r="CW8" s="332"/>
      <c r="CX8" s="332"/>
      <c r="CY8" s="332"/>
      <c r="CZ8" s="332"/>
      <c r="DA8" s="332"/>
      <c r="DB8" s="332"/>
      <c r="DC8" s="332"/>
      <c r="DD8" s="332"/>
      <c r="DE8" s="332"/>
      <c r="DF8" s="332"/>
      <c r="DG8" s="332"/>
      <c r="DH8" s="332"/>
      <c r="DI8" s="332"/>
      <c r="DJ8" s="332"/>
      <c r="DK8" s="332"/>
      <c r="DL8" s="332"/>
      <c r="DM8" s="332"/>
      <c r="DN8" s="332"/>
      <c r="DO8" s="332"/>
      <c r="DP8" s="332"/>
    </row>
    <row r="9" spans="1:120" ht="18">
      <c r="A9" s="148" t="s">
        <v>1944</v>
      </c>
      <c r="B9" s="332"/>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t="s">
        <v>1945</v>
      </c>
      <c r="AP9" s="782" t="s">
        <v>1946</v>
      </c>
      <c r="AQ9" s="782"/>
      <c r="AR9" s="332"/>
      <c r="AS9" s="332" t="s">
        <v>1947</v>
      </c>
      <c r="AT9" s="332" t="s">
        <v>1948</v>
      </c>
      <c r="AU9" s="784" t="s">
        <v>1949</v>
      </c>
      <c r="AV9" s="441" t="s">
        <v>1950</v>
      </c>
      <c r="AW9" s="441"/>
      <c r="AX9" s="441"/>
      <c r="AY9" s="441"/>
      <c r="AZ9" s="441"/>
      <c r="BA9" s="441"/>
      <c r="BB9" s="441"/>
      <c r="BC9" s="441"/>
      <c r="BD9" s="441"/>
      <c r="BE9" s="441"/>
      <c r="BF9" s="441"/>
      <c r="BG9" s="441"/>
      <c r="BH9" s="441"/>
      <c r="BI9" s="441"/>
      <c r="BJ9" s="441"/>
      <c r="BK9" s="441"/>
      <c r="BL9" s="441"/>
      <c r="BM9" s="441"/>
      <c r="BN9" s="441"/>
      <c r="BO9" s="441"/>
      <c r="BP9" s="441"/>
      <c r="BQ9" s="441"/>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row>
    <row r="10" spans="1:120" ht="12.75">
      <c r="A10" s="6" t="s">
        <v>315</v>
      </c>
      <c r="B10" s="332"/>
      <c r="C10" s="332"/>
      <c r="D10" s="332"/>
      <c r="E10" s="332"/>
      <c r="F10" s="332"/>
      <c r="G10" s="332"/>
      <c r="H10" s="332" t="s">
        <v>1896</v>
      </c>
      <c r="I10" s="332" t="s">
        <v>1897</v>
      </c>
      <c r="J10" s="332"/>
      <c r="K10" s="332"/>
      <c r="L10" s="440" t="s">
        <v>1951</v>
      </c>
      <c r="M10" s="332" t="s">
        <v>1899</v>
      </c>
      <c r="N10" s="332" t="s">
        <v>1900</v>
      </c>
      <c r="O10" s="332" t="s">
        <v>1901</v>
      </c>
      <c r="P10" s="332"/>
      <c r="Q10" s="332"/>
      <c r="R10" s="332"/>
      <c r="S10" s="332"/>
      <c r="T10" s="332"/>
      <c r="U10" s="332"/>
      <c r="V10" s="332" t="s">
        <v>1902</v>
      </c>
      <c r="W10" s="436" t="s">
        <v>1903</v>
      </c>
      <c r="X10" s="436"/>
      <c r="Y10" s="782"/>
      <c r="Z10" s="782"/>
      <c r="AA10" s="782"/>
      <c r="AB10" s="332"/>
      <c r="AC10" s="332" t="s">
        <v>1952</v>
      </c>
      <c r="AD10" s="332" t="s">
        <v>1905</v>
      </c>
      <c r="AE10" s="332" t="s">
        <v>1953</v>
      </c>
      <c r="AF10" s="332" t="s">
        <v>1906</v>
      </c>
      <c r="AG10" s="332" t="s">
        <v>1954</v>
      </c>
      <c r="AH10" s="332" t="s">
        <v>1955</v>
      </c>
      <c r="AI10" s="332" t="s">
        <v>1956</v>
      </c>
      <c r="AJ10" s="332" t="s">
        <v>1957</v>
      </c>
      <c r="AK10" s="782" t="s">
        <v>1958</v>
      </c>
      <c r="AL10" s="332"/>
      <c r="AM10" s="332" t="s">
        <v>1959</v>
      </c>
      <c r="AN10" s="436" t="s">
        <v>1960</v>
      </c>
      <c r="AO10" s="439"/>
      <c r="AP10" s="439"/>
      <c r="AQ10" s="439"/>
      <c r="AR10" s="439"/>
      <c r="AS10" s="439"/>
      <c r="AT10" s="439"/>
      <c r="AU10" s="439"/>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row>
    <row r="11" spans="1:120" ht="12.75">
      <c r="A11" s="6" t="s">
        <v>386</v>
      </c>
      <c r="B11" s="332"/>
      <c r="C11" s="332" t="s">
        <v>1930</v>
      </c>
      <c r="D11" s="332" t="s">
        <v>1961</v>
      </c>
      <c r="E11" s="332" t="s">
        <v>1962</v>
      </c>
      <c r="F11" s="332" t="s">
        <v>1963</v>
      </c>
      <c r="G11" s="332" t="s">
        <v>1964</v>
      </c>
      <c r="H11" s="332"/>
      <c r="I11" s="332"/>
      <c r="J11" s="332"/>
      <c r="K11" s="332"/>
      <c r="L11" s="440" t="s">
        <v>1965</v>
      </c>
      <c r="M11" s="332" t="s">
        <v>1966</v>
      </c>
      <c r="N11" s="440" t="s">
        <v>1967</v>
      </c>
      <c r="O11" s="332" t="s">
        <v>1968</v>
      </c>
      <c r="P11" s="332"/>
      <c r="Q11" s="332"/>
      <c r="R11" s="332"/>
      <c r="S11" s="332"/>
      <c r="T11" s="332" t="s">
        <v>1969</v>
      </c>
      <c r="U11" s="332" t="s">
        <v>1970</v>
      </c>
      <c r="V11" s="332" t="s">
        <v>1971</v>
      </c>
      <c r="W11" s="436" t="s">
        <v>1972</v>
      </c>
      <c r="X11" s="436"/>
      <c r="Y11" s="782"/>
      <c r="Z11" s="782"/>
      <c r="AA11" s="782"/>
      <c r="AB11" s="782"/>
      <c r="AC11" s="782"/>
      <c r="AD11" s="782"/>
      <c r="AE11" s="782"/>
      <c r="AF11" s="332"/>
      <c r="AG11" s="332" t="s">
        <v>1973</v>
      </c>
      <c r="AH11" s="332" t="s">
        <v>1974</v>
      </c>
      <c r="AI11" s="439" t="s">
        <v>1975</v>
      </c>
      <c r="AJ11" s="332" t="s">
        <v>1976</v>
      </c>
      <c r="AK11" s="332" t="s">
        <v>1977</v>
      </c>
      <c r="AL11" s="782" t="s">
        <v>1978</v>
      </c>
      <c r="AM11" s="782"/>
      <c r="AN11" s="782"/>
      <c r="AO11" s="782"/>
      <c r="AP11" s="782"/>
      <c r="AQ11" s="782"/>
      <c r="AR11" s="782"/>
      <c r="AS11" s="782"/>
      <c r="AT11" s="782"/>
      <c r="AU11" s="782"/>
      <c r="AV11" s="782"/>
      <c r="AW11" s="782"/>
      <c r="AX11" s="782"/>
      <c r="AY11" s="782"/>
      <c r="AZ11" s="782"/>
      <c r="BA11" s="782"/>
      <c r="BB11" s="782"/>
      <c r="BC11" s="782"/>
      <c r="BD11" s="782"/>
      <c r="BE11" s="782"/>
      <c r="BF11" s="782"/>
      <c r="BG11" s="782"/>
      <c r="BH11" s="782"/>
      <c r="BI11" s="332"/>
      <c r="BJ11" s="332" t="s">
        <v>1979</v>
      </c>
      <c r="BK11" s="332"/>
      <c r="BL11" s="332"/>
      <c r="BM11" s="332"/>
      <c r="BN11" s="332"/>
      <c r="BO11" s="332" t="s">
        <v>1980</v>
      </c>
      <c r="BP11" s="782" t="s">
        <v>1981</v>
      </c>
      <c r="BQ11" s="78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row>
    <row r="12" spans="1:120" ht="12.75">
      <c r="A12" s="148" t="s">
        <v>1982</v>
      </c>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t="s">
        <v>1983</v>
      </c>
      <c r="BP12" s="332" t="s">
        <v>1984</v>
      </c>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row>
    <row r="13" spans="1:120" ht="12.75">
      <c r="A13" s="6" t="s">
        <v>1985</v>
      </c>
      <c r="B13" s="783"/>
      <c r="C13" s="332" t="s">
        <v>1986</v>
      </c>
      <c r="D13" s="332"/>
      <c r="E13" s="332"/>
      <c r="F13" s="332"/>
      <c r="G13" s="332"/>
      <c r="H13" s="332"/>
      <c r="I13" s="332"/>
      <c r="J13" s="332"/>
      <c r="K13" s="332"/>
      <c r="L13" s="332"/>
      <c r="M13" s="332"/>
      <c r="N13" s="332"/>
      <c r="O13" s="332"/>
      <c r="P13" s="332"/>
      <c r="Q13" s="332"/>
      <c r="R13" s="332"/>
      <c r="S13" s="332"/>
      <c r="T13" s="332" t="s">
        <v>1987</v>
      </c>
      <c r="U13" s="332" t="s">
        <v>1988</v>
      </c>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t="s">
        <v>1920</v>
      </c>
      <c r="CT13" s="782" t="s">
        <v>1921</v>
      </c>
      <c r="CU13" s="782"/>
      <c r="CV13" s="782"/>
      <c r="CW13" s="332"/>
      <c r="CX13" s="332"/>
      <c r="CY13" s="332"/>
      <c r="CZ13" s="332"/>
      <c r="DA13" s="332"/>
      <c r="DB13" s="332"/>
      <c r="DC13" s="332"/>
      <c r="DD13" s="332"/>
      <c r="DE13" s="332"/>
      <c r="DF13" s="332"/>
      <c r="DG13" s="332"/>
      <c r="DH13" s="332"/>
      <c r="DI13" s="332"/>
      <c r="DJ13" s="332"/>
      <c r="DK13" s="332"/>
      <c r="DL13" s="332"/>
      <c r="DM13" s="332"/>
      <c r="DN13" s="332"/>
      <c r="DO13" s="332"/>
      <c r="DP13" s="332"/>
    </row>
    <row r="14" spans="1:120" ht="12.75">
      <c r="A14" s="6" t="s">
        <v>410</v>
      </c>
      <c r="B14" s="440" t="s">
        <v>1989</v>
      </c>
      <c r="C14" s="332" t="s">
        <v>1990</v>
      </c>
      <c r="D14" s="332" t="s">
        <v>1991</v>
      </c>
      <c r="E14" s="332" t="s">
        <v>1992</v>
      </c>
      <c r="F14" s="437" t="s">
        <v>1993</v>
      </c>
      <c r="G14" s="332" t="s">
        <v>1994</v>
      </c>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t="s">
        <v>1995</v>
      </c>
      <c r="AP14" s="782" t="s">
        <v>1996</v>
      </c>
      <c r="AQ14" s="782"/>
      <c r="AR14" s="332"/>
      <c r="AS14" s="332" t="s">
        <v>1997</v>
      </c>
      <c r="AT14" s="332" t="s">
        <v>1998</v>
      </c>
      <c r="AU14" s="332" t="s">
        <v>1999</v>
      </c>
      <c r="AV14" s="332" t="s">
        <v>2000</v>
      </c>
      <c r="AW14" s="332"/>
      <c r="AX14" s="332"/>
      <c r="AY14" s="332"/>
      <c r="AZ14" s="332"/>
      <c r="BA14" s="332"/>
      <c r="BB14" s="332"/>
      <c r="BC14" s="332"/>
      <c r="BD14" s="332"/>
      <c r="BE14" s="332"/>
      <c r="BF14" s="332"/>
      <c r="BG14" s="332" t="s">
        <v>2001</v>
      </c>
      <c r="BH14" s="332"/>
      <c r="BI14" s="332" t="s">
        <v>2002</v>
      </c>
      <c r="BJ14" s="332"/>
      <c r="BK14" s="332" t="s">
        <v>2003</v>
      </c>
      <c r="BL14" s="332" t="s">
        <v>2004</v>
      </c>
      <c r="BM14" s="332" t="s">
        <v>2005</v>
      </c>
      <c r="BN14" s="332" t="s">
        <v>2006</v>
      </c>
      <c r="BO14" s="332" t="s">
        <v>2007</v>
      </c>
      <c r="BP14" s="332" t="s">
        <v>2008</v>
      </c>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332"/>
      <c r="DE14" s="332"/>
      <c r="DF14" s="332"/>
      <c r="DG14" s="332"/>
      <c r="DH14" s="332"/>
      <c r="DI14" s="332"/>
      <c r="DJ14" s="332"/>
      <c r="DK14" s="332"/>
      <c r="DL14" s="332"/>
      <c r="DM14" s="332"/>
      <c r="DN14" s="332"/>
      <c r="DO14" s="332"/>
      <c r="DP14" s="332"/>
    </row>
    <row r="15" spans="1:120" ht="12.75">
      <c r="A15" s="148" t="s">
        <v>2009</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t="s">
        <v>2010</v>
      </c>
      <c r="BS15" s="332" t="s">
        <v>2011</v>
      </c>
      <c r="BT15" s="782" t="s">
        <v>2011</v>
      </c>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row>
    <row r="16" spans="1:120" ht="25.5">
      <c r="A16" s="6" t="s">
        <v>388</v>
      </c>
      <c r="B16" s="783" t="s">
        <v>2012</v>
      </c>
      <c r="C16" s="332" t="s">
        <v>1930</v>
      </c>
      <c r="D16" s="332" t="s">
        <v>2013</v>
      </c>
      <c r="E16" s="332" t="s">
        <v>2014</v>
      </c>
      <c r="F16" s="332" t="s">
        <v>2015</v>
      </c>
      <c r="G16" s="332" t="s">
        <v>2016</v>
      </c>
      <c r="H16" s="332"/>
      <c r="I16" s="332"/>
      <c r="J16" s="332"/>
      <c r="K16" s="332"/>
      <c r="L16" s="332" t="s">
        <v>2017</v>
      </c>
      <c r="M16" s="332" t="s">
        <v>2018</v>
      </c>
      <c r="N16" s="332" t="s">
        <v>1967</v>
      </c>
      <c r="O16" s="332" t="s">
        <v>1968</v>
      </c>
      <c r="P16" s="332"/>
      <c r="Q16" s="332"/>
      <c r="R16" s="332"/>
      <c r="S16" s="332"/>
      <c r="T16" s="332" t="s">
        <v>1969</v>
      </c>
      <c r="U16" s="332" t="s">
        <v>1970</v>
      </c>
      <c r="V16" s="332" t="s">
        <v>1971</v>
      </c>
      <c r="W16" s="436" t="s">
        <v>1972</v>
      </c>
      <c r="X16" s="436"/>
      <c r="Y16" s="782"/>
      <c r="Z16" s="782"/>
      <c r="AA16" s="782"/>
      <c r="AB16" s="782"/>
      <c r="AC16" s="782"/>
      <c r="AD16" s="782"/>
      <c r="AE16" s="782"/>
      <c r="AF16" s="332"/>
      <c r="AG16" s="332" t="s">
        <v>2019</v>
      </c>
      <c r="AH16" s="332" t="s">
        <v>2020</v>
      </c>
      <c r="AI16" s="332" t="s">
        <v>1975</v>
      </c>
      <c r="AJ16" s="332" t="s">
        <v>1976</v>
      </c>
      <c r="AK16" s="332" t="s">
        <v>1977</v>
      </c>
      <c r="AL16" s="782" t="s">
        <v>1978</v>
      </c>
      <c r="AM16" s="782"/>
      <c r="AN16" s="782"/>
      <c r="AO16" s="782"/>
      <c r="AP16" s="782"/>
      <c r="AQ16" s="332"/>
      <c r="AR16" s="782" t="s">
        <v>2021</v>
      </c>
      <c r="AS16" s="78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t="s">
        <v>1980</v>
      </c>
      <c r="BP16" s="782" t="s">
        <v>1981</v>
      </c>
      <c r="BQ16" s="78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row>
    <row r="17" spans="1:120" ht="12.75">
      <c r="A17" s="148" t="s">
        <v>578</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784" t="s">
        <v>2022</v>
      </c>
      <c r="AV17" s="332" t="s">
        <v>2023</v>
      </c>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row>
    <row r="18" spans="1:120" ht="25.5">
      <c r="A18" s="6" t="s">
        <v>319</v>
      </c>
      <c r="B18" s="783" t="s">
        <v>2024</v>
      </c>
      <c r="C18" s="332" t="s">
        <v>2025</v>
      </c>
      <c r="D18" s="332" t="s">
        <v>2026</v>
      </c>
      <c r="E18" s="332" t="s">
        <v>2027</v>
      </c>
      <c r="F18" s="440" t="s">
        <v>2028</v>
      </c>
      <c r="G18" s="442" t="s">
        <v>2029</v>
      </c>
      <c r="H18" s="442"/>
      <c r="I18" s="440"/>
      <c r="J18" s="440" t="s">
        <v>2030</v>
      </c>
      <c r="K18" s="440" t="s">
        <v>2031</v>
      </c>
      <c r="L18" s="440" t="s">
        <v>2032</v>
      </c>
      <c r="M18" s="332" t="s">
        <v>2033</v>
      </c>
      <c r="N18" s="332" t="s">
        <v>2034</v>
      </c>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t="s">
        <v>2035</v>
      </c>
      <c r="CO18" s="782" t="s">
        <v>2036</v>
      </c>
      <c r="CP18" s="782"/>
      <c r="CQ18" s="782"/>
      <c r="CR18" s="782"/>
      <c r="CS18" s="782"/>
      <c r="CT18" s="78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row>
    <row r="19" spans="1:120" ht="12.75">
      <c r="A19" s="6" t="s">
        <v>389</v>
      </c>
      <c r="B19" s="332"/>
      <c r="C19" s="332" t="s">
        <v>1930</v>
      </c>
      <c r="D19" s="332" t="s">
        <v>1961</v>
      </c>
      <c r="E19" s="332" t="s">
        <v>1962</v>
      </c>
      <c r="F19" s="332" t="s">
        <v>1963</v>
      </c>
      <c r="G19" s="332" t="s">
        <v>1964</v>
      </c>
      <c r="H19" s="332"/>
      <c r="I19" s="332"/>
      <c r="J19" s="332"/>
      <c r="K19" s="332"/>
      <c r="L19" s="440" t="s">
        <v>1965</v>
      </c>
      <c r="M19" s="332" t="s">
        <v>1966</v>
      </c>
      <c r="N19" s="440" t="s">
        <v>1967</v>
      </c>
      <c r="O19" s="332" t="s">
        <v>1968</v>
      </c>
      <c r="P19" s="332"/>
      <c r="Q19" s="332"/>
      <c r="R19" s="332"/>
      <c r="S19" s="332"/>
      <c r="T19" s="332" t="s">
        <v>1969</v>
      </c>
      <c r="U19" s="332" t="s">
        <v>1970</v>
      </c>
      <c r="V19" s="332" t="s">
        <v>1971</v>
      </c>
      <c r="W19" s="436" t="s">
        <v>1972</v>
      </c>
      <c r="X19" s="436"/>
      <c r="Y19" s="782"/>
      <c r="Z19" s="782"/>
      <c r="AA19" s="782"/>
      <c r="AB19" s="782"/>
      <c r="AC19" s="782"/>
      <c r="AD19" s="782"/>
      <c r="AE19" s="782"/>
      <c r="AF19" s="332"/>
      <c r="AG19" s="332" t="s">
        <v>1973</v>
      </c>
      <c r="AH19" s="332" t="s">
        <v>1974</v>
      </c>
      <c r="AI19" s="439" t="s">
        <v>1975</v>
      </c>
      <c r="AJ19" s="332" t="s">
        <v>1976</v>
      </c>
      <c r="AK19" s="332" t="s">
        <v>1977</v>
      </c>
      <c r="AL19" s="782" t="s">
        <v>1978</v>
      </c>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c r="BK19" s="782"/>
      <c r="BL19" s="782"/>
      <c r="BM19" s="782"/>
      <c r="BN19" s="332"/>
      <c r="BO19" s="332" t="s">
        <v>1980</v>
      </c>
      <c r="BP19" s="782" t="s">
        <v>1981</v>
      </c>
      <c r="BQ19" s="78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row>
    <row r="20" spans="1:120" ht="12.75">
      <c r="A20" s="148" t="s">
        <v>2037</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t="s">
        <v>2038</v>
      </c>
      <c r="CC20" s="332" t="s">
        <v>2039</v>
      </c>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row>
    <row r="21" spans="1:120" ht="12.75">
      <c r="A21" s="6" t="s">
        <v>250</v>
      </c>
      <c r="B21" s="332"/>
      <c r="C21" s="332" t="s">
        <v>175</v>
      </c>
      <c r="D21" s="332"/>
      <c r="E21" s="332"/>
      <c r="F21" s="332"/>
      <c r="G21" s="332"/>
      <c r="H21" s="332" t="s">
        <v>2040</v>
      </c>
      <c r="I21" s="332" t="s">
        <v>2041</v>
      </c>
      <c r="J21" s="332" t="s">
        <v>2042</v>
      </c>
      <c r="K21" s="332" t="s">
        <v>2043</v>
      </c>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row>
    <row r="22" spans="1:120" ht="38.25">
      <c r="A22" s="6" t="s">
        <v>55</v>
      </c>
      <c r="B22" s="783" t="s">
        <v>2044</v>
      </c>
      <c r="C22" s="332" t="s">
        <v>2045</v>
      </c>
      <c r="D22" s="332"/>
      <c r="E22" s="332"/>
      <c r="F22" s="332" t="s">
        <v>2046</v>
      </c>
      <c r="G22" s="332" t="s">
        <v>2047</v>
      </c>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t="s">
        <v>2048</v>
      </c>
      <c r="BP22" s="332" t="s">
        <v>2049</v>
      </c>
      <c r="BQ22" s="332" t="s">
        <v>2050</v>
      </c>
      <c r="BR22" s="332"/>
      <c r="BS22" s="332"/>
      <c r="BT22" s="332"/>
      <c r="BU22" s="332"/>
      <c r="BV22" s="332"/>
      <c r="BW22" s="332"/>
      <c r="BX22" s="332"/>
      <c r="BY22" s="332"/>
      <c r="BZ22" s="332"/>
      <c r="CA22" s="332"/>
      <c r="CB22" s="332" t="s">
        <v>2051</v>
      </c>
      <c r="CC22" s="782" t="s">
        <v>2052</v>
      </c>
      <c r="CD22" s="782"/>
      <c r="CE22" s="782"/>
      <c r="CF22" s="782"/>
      <c r="CG22" s="782"/>
      <c r="CH22" s="782"/>
      <c r="CI22" s="782"/>
      <c r="CJ22" s="782"/>
      <c r="CK22" s="782"/>
      <c r="CL22" s="782"/>
      <c r="CM22" s="782"/>
      <c r="CN22" s="782"/>
      <c r="CO22" s="782"/>
      <c r="CP22" s="782"/>
      <c r="CQ22" s="332"/>
      <c r="CR22" s="332" t="s">
        <v>2053</v>
      </c>
      <c r="CS22" s="332" t="s">
        <v>1911</v>
      </c>
      <c r="CT22" s="332" t="s">
        <v>1912</v>
      </c>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row>
    <row r="23" spans="1:120" ht="12.75">
      <c r="A23" s="148" t="s">
        <v>220</v>
      </c>
      <c r="B23" s="332"/>
      <c r="C23" s="332" t="s">
        <v>2054</v>
      </c>
      <c r="D23" s="332"/>
      <c r="E23" s="332"/>
      <c r="F23" s="332"/>
      <c r="G23" s="332"/>
      <c r="H23" s="332"/>
      <c r="I23" s="332"/>
      <c r="J23" s="332" t="s">
        <v>2055</v>
      </c>
      <c r="K23" s="332" t="s">
        <v>2056</v>
      </c>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row>
    <row r="24" spans="1:120" ht="12.75">
      <c r="A24" s="148" t="s">
        <v>2057</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t="s">
        <v>2058</v>
      </c>
      <c r="BS24" s="332" t="s">
        <v>2059</v>
      </c>
      <c r="BT24" s="782" t="s">
        <v>2060</v>
      </c>
      <c r="BU24" s="782"/>
      <c r="BV24" s="782"/>
      <c r="BW24" s="782"/>
      <c r="BX24" s="332"/>
      <c r="BY24" s="332"/>
      <c r="BZ24" s="332"/>
      <c r="CA24" s="332"/>
      <c r="CB24" s="332"/>
      <c r="CC24" s="332"/>
      <c r="CD24" s="332"/>
      <c r="CE24" s="332"/>
      <c r="CF24" s="332" t="s">
        <v>2061</v>
      </c>
      <c r="CG24" s="332" t="s">
        <v>2062</v>
      </c>
      <c r="CH24" s="332" t="s">
        <v>2063</v>
      </c>
      <c r="CI24" s="332" t="s">
        <v>2064</v>
      </c>
      <c r="CJ24" s="332" t="s">
        <v>2065</v>
      </c>
      <c r="CK24" s="332" t="s">
        <v>2066</v>
      </c>
      <c r="CL24" s="782" t="s">
        <v>2067</v>
      </c>
      <c r="CM24" s="782"/>
      <c r="CN24" s="332"/>
      <c r="CO24" s="332" t="s">
        <v>2068</v>
      </c>
      <c r="CP24" s="332" t="s">
        <v>2069</v>
      </c>
      <c r="CQ24" s="782" t="s">
        <v>2070</v>
      </c>
      <c r="CR24" s="782"/>
      <c r="CS24" s="782"/>
      <c r="CT24" s="782"/>
      <c r="CU24" s="782"/>
      <c r="CV24" s="782"/>
      <c r="CW24" s="782"/>
      <c r="CX24" s="782"/>
      <c r="CY24" s="782"/>
      <c r="CZ24" s="782"/>
      <c r="DA24" s="332"/>
      <c r="DB24" s="332"/>
      <c r="DC24" s="332"/>
      <c r="DD24" s="332"/>
      <c r="DE24" s="332"/>
      <c r="DF24" s="332"/>
      <c r="DG24" s="332"/>
      <c r="DH24" s="332"/>
      <c r="DI24" s="332"/>
      <c r="DJ24" s="332"/>
      <c r="DK24" s="332"/>
      <c r="DL24" s="332"/>
      <c r="DM24" s="332"/>
      <c r="DN24" s="332"/>
      <c r="DO24" s="332"/>
      <c r="DP24" s="332"/>
    </row>
    <row r="25" spans="1:120" ht="12.75">
      <c r="A25" s="148" t="s">
        <v>1560</v>
      </c>
      <c r="B25" s="785" t="str">
        <f>HYPERLINK("https://docs.google.com/spreadsheets/d/1BbCL2gri47aPSb-v94zeByl8WBLT57MgapxjyGb_fLA/edit#gid=1214142331","K170")</f>
        <v>K170</v>
      </c>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t="s">
        <v>2071</v>
      </c>
      <c r="AP25" s="782" t="s">
        <v>2072</v>
      </c>
      <c r="AQ25" s="782"/>
      <c r="AR25" s="332"/>
      <c r="AS25" s="332" t="s">
        <v>2073</v>
      </c>
      <c r="AT25" s="782" t="s">
        <v>2074</v>
      </c>
      <c r="AU25" s="782"/>
      <c r="AV25" s="782"/>
      <c r="AW25" s="782"/>
      <c r="AX25" s="782"/>
      <c r="AY25" s="782"/>
      <c r="AZ25" s="782"/>
      <c r="BA25" s="782"/>
      <c r="BB25" s="782"/>
      <c r="BC25" s="782"/>
      <c r="BD25" s="782"/>
      <c r="BE25" s="782"/>
      <c r="BF25" s="782"/>
      <c r="BG25" s="782"/>
      <c r="BH25" s="782"/>
      <c r="BI25" s="782"/>
      <c r="BJ25" s="782"/>
      <c r="BK25" s="782"/>
      <c r="BL25" s="782"/>
      <c r="BM25" s="78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row>
    <row r="26" spans="1:120" ht="38.25">
      <c r="A26" s="6" t="s">
        <v>2075</v>
      </c>
      <c r="B26" s="332"/>
      <c r="C26" s="332" t="s">
        <v>2076</v>
      </c>
      <c r="D26" s="332"/>
      <c r="E26" s="332"/>
      <c r="F26" s="437" t="s">
        <v>2077</v>
      </c>
      <c r="G26" s="332" t="s">
        <v>2047</v>
      </c>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t="s">
        <v>2078</v>
      </c>
      <c r="AP26" s="782" t="s">
        <v>2072</v>
      </c>
      <c r="AQ26" s="782"/>
      <c r="AR26" s="332"/>
      <c r="AS26" s="332" t="s">
        <v>2079</v>
      </c>
      <c r="AT26" s="332" t="s">
        <v>2074</v>
      </c>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row>
    <row r="27" spans="1:120" ht="63.75">
      <c r="A27" s="6" t="s">
        <v>2080</v>
      </c>
      <c r="B27" s="783"/>
      <c r="C27" s="783" t="s">
        <v>2081</v>
      </c>
      <c r="D27" s="332" t="s">
        <v>2026</v>
      </c>
      <c r="E27" s="332" t="s">
        <v>2027</v>
      </c>
      <c r="F27" s="332" t="s">
        <v>2028</v>
      </c>
      <c r="G27" s="786" t="s">
        <v>2082</v>
      </c>
      <c r="H27" s="332"/>
      <c r="I27" s="332"/>
      <c r="J27" s="332"/>
      <c r="K27" s="332"/>
      <c r="L27" s="332" t="s">
        <v>2083</v>
      </c>
      <c r="M27" s="332" t="s">
        <v>2084</v>
      </c>
      <c r="N27" s="332" t="s">
        <v>2085</v>
      </c>
      <c r="O27" s="783"/>
      <c r="P27" s="332" t="s">
        <v>2086</v>
      </c>
      <c r="Q27" s="332" t="s">
        <v>2087</v>
      </c>
      <c r="R27" s="332"/>
      <c r="S27" s="332"/>
      <c r="T27" s="332"/>
      <c r="U27" s="332"/>
      <c r="V27" s="332"/>
      <c r="W27" s="332"/>
      <c r="X27" s="332" t="s">
        <v>2088</v>
      </c>
      <c r="Y27" s="332" t="s">
        <v>2089</v>
      </c>
      <c r="Z27" s="439" t="s">
        <v>2090</v>
      </c>
      <c r="AA27" s="332" t="s">
        <v>2091</v>
      </c>
      <c r="AB27" s="332" t="s">
        <v>2092</v>
      </c>
      <c r="AC27" s="332" t="s">
        <v>2093</v>
      </c>
      <c r="AD27" s="332" t="s">
        <v>2094</v>
      </c>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t="s">
        <v>2095</v>
      </c>
      <c r="CO27" s="782" t="s">
        <v>2096</v>
      </c>
      <c r="CP27" s="782"/>
      <c r="CQ27" s="782"/>
      <c r="CR27" s="332"/>
      <c r="CS27" s="332" t="s">
        <v>2097</v>
      </c>
      <c r="CT27" s="332" t="s">
        <v>2098</v>
      </c>
      <c r="CU27" s="332" t="s">
        <v>2099</v>
      </c>
      <c r="CV27" s="332" t="s">
        <v>2100</v>
      </c>
      <c r="CW27" s="332" t="s">
        <v>2101</v>
      </c>
      <c r="CX27" s="332" t="s">
        <v>2102</v>
      </c>
      <c r="CY27" s="332" t="s">
        <v>2103</v>
      </c>
      <c r="CZ27" s="332" t="s">
        <v>2104</v>
      </c>
      <c r="DA27" s="782" t="s">
        <v>2105</v>
      </c>
      <c r="DB27" s="782"/>
      <c r="DC27" s="782"/>
      <c r="DD27" s="782"/>
      <c r="DE27" s="782"/>
      <c r="DF27" s="782"/>
      <c r="DG27" s="782"/>
      <c r="DH27" s="332"/>
      <c r="DI27" s="332"/>
      <c r="DJ27" s="332"/>
      <c r="DK27" s="332"/>
      <c r="DL27" s="332"/>
      <c r="DM27" s="332"/>
      <c r="DN27" s="332"/>
      <c r="DO27" s="332"/>
      <c r="DP27" s="332"/>
    </row>
    <row r="28" spans="1:120" ht="38.25">
      <c r="A28" s="6" t="s">
        <v>2106</v>
      </c>
      <c r="B28" s="783" t="s">
        <v>2107</v>
      </c>
      <c r="C28" s="332" t="s">
        <v>2108</v>
      </c>
      <c r="D28" s="332"/>
      <c r="E28" s="332"/>
      <c r="F28" s="440" t="s">
        <v>1931</v>
      </c>
      <c r="G28" s="332" t="s">
        <v>1932</v>
      </c>
      <c r="H28" s="332"/>
      <c r="I28" s="332"/>
      <c r="J28" s="332"/>
      <c r="K28" s="332"/>
      <c r="L28" s="332" t="s">
        <v>2109</v>
      </c>
      <c r="M28" s="440" t="s">
        <v>2110</v>
      </c>
      <c r="N28" s="442" t="s">
        <v>2111</v>
      </c>
      <c r="O28" s="782"/>
      <c r="P28" s="782"/>
      <c r="Q28" s="332"/>
      <c r="R28" s="332"/>
      <c r="S28" s="332"/>
      <c r="T28" s="332"/>
      <c r="U28" s="332"/>
      <c r="V28" s="332"/>
      <c r="W28" s="332"/>
      <c r="X28" s="332" t="s">
        <v>2112</v>
      </c>
      <c r="Y28" s="332" t="s">
        <v>2113</v>
      </c>
      <c r="Z28" s="785" t="s">
        <v>2114</v>
      </c>
      <c r="AA28" s="332" t="s">
        <v>2115</v>
      </c>
      <c r="AB28" s="782" t="s">
        <v>2116</v>
      </c>
      <c r="AC28" s="782"/>
      <c r="AD28" s="78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t="s">
        <v>2117</v>
      </c>
      <c r="DI28" s="332" t="s">
        <v>2118</v>
      </c>
      <c r="DJ28" s="786" t="s">
        <v>2119</v>
      </c>
      <c r="DK28" s="332" t="s">
        <v>2120</v>
      </c>
      <c r="DL28" s="332" t="s">
        <v>2121</v>
      </c>
      <c r="DM28" s="332" t="s">
        <v>2122</v>
      </c>
      <c r="DN28" s="332" t="s">
        <v>2123</v>
      </c>
      <c r="DO28" s="782" t="s">
        <v>2124</v>
      </c>
      <c r="DP28" s="332"/>
    </row>
    <row r="29" spans="1:120" ht="12.75">
      <c r="A29" s="148" t="s">
        <v>2125</v>
      </c>
      <c r="B29" s="332"/>
      <c r="C29" s="440" t="s">
        <v>2126</v>
      </c>
      <c r="D29" s="332"/>
      <c r="E29" s="332"/>
      <c r="F29" s="332"/>
      <c r="G29" s="332"/>
      <c r="H29" s="332"/>
      <c r="I29" s="332"/>
      <c r="J29" s="332" t="s">
        <v>2127</v>
      </c>
      <c r="K29" s="332" t="s">
        <v>2128</v>
      </c>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row>
    <row r="30" spans="1:120" ht="12.75">
      <c r="A30" s="148" t="s">
        <v>2129</v>
      </c>
      <c r="B30" s="332"/>
      <c r="C30" s="332" t="s">
        <v>2130</v>
      </c>
      <c r="D30" s="332"/>
      <c r="E30" s="332"/>
      <c r="F30" s="332"/>
      <c r="G30" s="332"/>
      <c r="H30" s="332"/>
      <c r="I30" s="332"/>
      <c r="J30" s="332" t="s">
        <v>2131</v>
      </c>
      <c r="K30" s="332" t="s">
        <v>2132</v>
      </c>
      <c r="L30" s="332" t="s">
        <v>2133</v>
      </c>
      <c r="M30" s="332" t="s">
        <v>2134</v>
      </c>
      <c r="N30" s="332" t="s">
        <v>2135</v>
      </c>
      <c r="O30" s="440" t="s">
        <v>2136</v>
      </c>
      <c r="P30" s="332" t="s">
        <v>2137</v>
      </c>
      <c r="Q30" s="332" t="s">
        <v>2138</v>
      </c>
      <c r="R30" s="439" t="s">
        <v>2139</v>
      </c>
      <c r="S30" s="439" t="s">
        <v>2140</v>
      </c>
      <c r="T30" s="332" t="s">
        <v>2141</v>
      </c>
      <c r="U30" s="332" t="s">
        <v>2142</v>
      </c>
      <c r="V30" s="332" t="s">
        <v>2143</v>
      </c>
      <c r="W30" s="436" t="s">
        <v>2144</v>
      </c>
      <c r="X30" s="436"/>
      <c r="Y30" s="782"/>
      <c r="Z30" s="782"/>
      <c r="AA30" s="782"/>
      <c r="AB30" s="782"/>
      <c r="AC30" s="782"/>
      <c r="AD30" s="782"/>
      <c r="AE30" s="782"/>
      <c r="AF30" s="782"/>
      <c r="AG30" s="78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row>
    <row r="31" spans="1:120" ht="12.75">
      <c r="A31" s="6" t="s">
        <v>2145</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440" t="s">
        <v>2146</v>
      </c>
      <c r="AV31" s="332" t="s">
        <v>2147</v>
      </c>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786" t="s">
        <v>2148</v>
      </c>
      <c r="CC31" s="782" t="s">
        <v>2149</v>
      </c>
      <c r="CD31" s="782"/>
      <c r="CE31" s="782"/>
      <c r="CF31" s="782"/>
      <c r="CG31" s="782"/>
      <c r="CH31" s="782"/>
      <c r="CI31" s="782"/>
      <c r="CJ31" s="782"/>
      <c r="CK31" s="782"/>
      <c r="CL31" s="782"/>
      <c r="CM31" s="782"/>
      <c r="CN31" s="782"/>
      <c r="CO31" s="782"/>
      <c r="CP31" s="782"/>
      <c r="CQ31" s="782"/>
      <c r="CR31" s="782"/>
      <c r="CS31" s="78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row>
    <row r="32" spans="1:120" ht="25.5">
      <c r="A32" s="6" t="s">
        <v>2150</v>
      </c>
      <c r="B32" s="783"/>
      <c r="C32" s="332"/>
      <c r="D32" s="332"/>
      <c r="E32" s="332"/>
      <c r="F32" s="332"/>
      <c r="G32" s="332"/>
      <c r="H32" s="332"/>
      <c r="I32" s="332"/>
      <c r="J32" s="332"/>
      <c r="K32" s="332"/>
      <c r="L32" s="332"/>
      <c r="M32" s="440"/>
      <c r="N32" s="440"/>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439"/>
      <c r="AO32" s="439"/>
      <c r="AP32" s="439"/>
      <c r="AQ32" s="439"/>
      <c r="AR32" s="439"/>
      <c r="AS32" s="439"/>
      <c r="AT32" s="439"/>
      <c r="AU32" s="439"/>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t="s">
        <v>1911</v>
      </c>
      <c r="CT32" s="332" t="s">
        <v>1912</v>
      </c>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row>
    <row r="33" spans="1:120" ht="76.5">
      <c r="A33" s="6" t="s">
        <v>2151</v>
      </c>
      <c r="B33" s="783" t="s">
        <v>2152</v>
      </c>
      <c r="C33" s="332" t="s">
        <v>2108</v>
      </c>
      <c r="D33" s="332"/>
      <c r="E33" s="332"/>
      <c r="F33" s="332" t="s">
        <v>2153</v>
      </c>
      <c r="G33" s="332" t="s">
        <v>1932</v>
      </c>
      <c r="H33" s="332"/>
      <c r="I33" s="332"/>
      <c r="J33" s="332"/>
      <c r="K33" s="332"/>
      <c r="L33" s="332" t="s">
        <v>2154</v>
      </c>
      <c r="M33" s="440" t="s">
        <v>2155</v>
      </c>
      <c r="N33" s="442" t="s">
        <v>2156</v>
      </c>
      <c r="O33" s="782"/>
      <c r="P33" s="332"/>
      <c r="Q33" s="332"/>
      <c r="R33" s="332"/>
      <c r="S33" s="332"/>
      <c r="T33" s="332"/>
      <c r="U33" s="332"/>
      <c r="V33" s="332"/>
      <c r="W33" s="332"/>
      <c r="X33" s="332"/>
      <c r="Y33" s="332"/>
      <c r="Z33" s="332"/>
      <c r="AA33" s="332"/>
      <c r="AB33" s="332"/>
      <c r="AC33" s="332"/>
      <c r="AD33" s="332"/>
      <c r="AE33" s="332"/>
      <c r="AF33" s="332"/>
      <c r="AG33" s="332" t="s">
        <v>2157</v>
      </c>
      <c r="AH33" s="332" t="s">
        <v>2158</v>
      </c>
      <c r="AI33" s="332" t="s">
        <v>2159</v>
      </c>
      <c r="AJ33" s="332" t="s">
        <v>2160</v>
      </c>
      <c r="AK33" s="782" t="s">
        <v>2161</v>
      </c>
      <c r="AL33" s="332"/>
      <c r="AM33" s="332" t="s">
        <v>2162</v>
      </c>
      <c r="AN33" s="436" t="s">
        <v>1960</v>
      </c>
      <c r="AO33" s="439"/>
      <c r="AP33" s="439"/>
      <c r="AQ33" s="439"/>
      <c r="AR33" s="439"/>
      <c r="AS33" s="439"/>
      <c r="AT33" s="439"/>
      <c r="AU33" s="439"/>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row>
    <row r="34" spans="1:120" ht="51">
      <c r="A34" s="6" t="s">
        <v>151</v>
      </c>
      <c r="B34" s="783" t="s">
        <v>2163</v>
      </c>
      <c r="C34" s="332" t="s">
        <v>2164</v>
      </c>
      <c r="D34" s="332"/>
      <c r="E34" s="332"/>
      <c r="F34" s="332" t="s">
        <v>2165</v>
      </c>
      <c r="G34" s="332" t="s">
        <v>2166</v>
      </c>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t="s">
        <v>1911</v>
      </c>
      <c r="CT34" s="332" t="s">
        <v>1912</v>
      </c>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row>
    <row r="35" spans="1:120" ht="51">
      <c r="A35" s="6" t="s">
        <v>154</v>
      </c>
      <c r="B35" s="783" t="s">
        <v>2163</v>
      </c>
      <c r="C35" s="332" t="s">
        <v>2164</v>
      </c>
      <c r="D35" s="332"/>
      <c r="E35" s="332"/>
      <c r="F35" s="332" t="s">
        <v>2165</v>
      </c>
      <c r="G35" s="332" t="s">
        <v>2166</v>
      </c>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row>
    <row r="36" spans="1:120" ht="51">
      <c r="A36" s="6" t="s">
        <v>189</v>
      </c>
      <c r="B36" s="783" t="s">
        <v>2163</v>
      </c>
      <c r="C36" s="332" t="s">
        <v>2164</v>
      </c>
      <c r="D36" s="332"/>
      <c r="E36" s="332"/>
      <c r="F36" s="332" t="s">
        <v>2165</v>
      </c>
      <c r="G36" s="332" t="s">
        <v>2166</v>
      </c>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row>
    <row r="37" spans="1:120" ht="12.75">
      <c r="A37" s="443" t="s">
        <v>2167</v>
      </c>
      <c r="B37" s="440"/>
      <c r="C37" s="332" t="s">
        <v>2168</v>
      </c>
      <c r="D37" s="332"/>
      <c r="E37" s="332"/>
      <c r="F37" s="332"/>
      <c r="G37" s="332"/>
      <c r="H37" s="332"/>
      <c r="I37" s="332"/>
      <c r="J37" s="332" t="s">
        <v>2169</v>
      </c>
      <c r="K37" s="332" t="s">
        <v>2170</v>
      </c>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t="s">
        <v>1920</v>
      </c>
      <c r="CT37" s="782" t="s">
        <v>1921</v>
      </c>
      <c r="CU37" s="782"/>
      <c r="CV37" s="782"/>
      <c r="CW37" s="332"/>
      <c r="CX37" s="332"/>
      <c r="CY37" s="332"/>
      <c r="CZ37" s="332"/>
      <c r="DA37" s="332"/>
      <c r="DB37" s="332"/>
      <c r="DC37" s="332"/>
      <c r="DD37" s="332"/>
      <c r="DE37" s="332"/>
      <c r="DF37" s="332"/>
      <c r="DG37" s="332"/>
      <c r="DH37" s="332"/>
      <c r="DI37" s="332"/>
      <c r="DJ37" s="332"/>
      <c r="DK37" s="332"/>
      <c r="DL37" s="332"/>
      <c r="DM37" s="332"/>
      <c r="DN37" s="332"/>
      <c r="DO37" s="332"/>
      <c r="DP37" s="332"/>
    </row>
    <row r="38" spans="1:120" ht="12.75">
      <c r="A38" s="6" t="s">
        <v>390</v>
      </c>
      <c r="B38" s="332"/>
      <c r="C38" s="332" t="s">
        <v>1930</v>
      </c>
      <c r="D38" s="332" t="s">
        <v>1961</v>
      </c>
      <c r="E38" s="332" t="s">
        <v>1962</v>
      </c>
      <c r="F38" s="332" t="s">
        <v>1963</v>
      </c>
      <c r="G38" s="332" t="s">
        <v>1964</v>
      </c>
      <c r="H38" s="332"/>
      <c r="I38" s="332"/>
      <c r="J38" s="332"/>
      <c r="K38" s="332"/>
      <c r="L38" s="440" t="s">
        <v>1965</v>
      </c>
      <c r="M38" s="332" t="s">
        <v>1966</v>
      </c>
      <c r="N38" s="440" t="s">
        <v>1967</v>
      </c>
      <c r="O38" s="332" t="s">
        <v>1968</v>
      </c>
      <c r="P38" s="332"/>
      <c r="Q38" s="332"/>
      <c r="R38" s="332"/>
      <c r="S38" s="332"/>
      <c r="T38" s="332" t="s">
        <v>1969</v>
      </c>
      <c r="U38" s="332" t="s">
        <v>1970</v>
      </c>
      <c r="V38" s="332" t="s">
        <v>1971</v>
      </c>
      <c r="W38" s="436" t="s">
        <v>1972</v>
      </c>
      <c r="X38" s="436"/>
      <c r="Y38" s="782"/>
      <c r="Z38" s="782"/>
      <c r="AA38" s="782"/>
      <c r="AB38" s="782"/>
      <c r="AC38" s="782"/>
      <c r="AD38" s="782"/>
      <c r="AE38" s="782"/>
      <c r="AF38" s="332"/>
      <c r="AG38" s="332" t="s">
        <v>1973</v>
      </c>
      <c r="AH38" s="332" t="s">
        <v>1974</v>
      </c>
      <c r="AI38" s="439" t="s">
        <v>1975</v>
      </c>
      <c r="AJ38" s="332" t="s">
        <v>1976</v>
      </c>
      <c r="AK38" s="332" t="s">
        <v>1977</v>
      </c>
      <c r="AL38" s="782" t="s">
        <v>1978</v>
      </c>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c r="BK38" s="782"/>
      <c r="BL38" s="782"/>
      <c r="BM38" s="782"/>
      <c r="BN38" s="332"/>
      <c r="BO38" s="332" t="s">
        <v>1980</v>
      </c>
      <c r="BP38" s="782" t="s">
        <v>1981</v>
      </c>
      <c r="BQ38" s="78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row>
    <row r="39" spans="1:120" ht="12.75">
      <c r="A39" s="6" t="s">
        <v>2171</v>
      </c>
      <c r="B39" s="440" t="s">
        <v>2172</v>
      </c>
      <c r="C39" s="332" t="s">
        <v>2108</v>
      </c>
      <c r="D39" s="332"/>
      <c r="E39" s="332"/>
      <c r="F39" s="332" t="s">
        <v>1931</v>
      </c>
      <c r="G39" s="332" t="s">
        <v>1932</v>
      </c>
      <c r="H39" s="332"/>
      <c r="I39" s="332"/>
      <c r="J39" s="332"/>
      <c r="K39" s="332"/>
      <c r="L39" s="332" t="s">
        <v>2173</v>
      </c>
      <c r="M39" s="440" t="s">
        <v>2174</v>
      </c>
      <c r="N39" s="442" t="s">
        <v>2111</v>
      </c>
      <c r="O39" s="782"/>
      <c r="P39" s="782"/>
      <c r="Q39" s="332"/>
      <c r="R39" s="332"/>
      <c r="S39" s="332"/>
      <c r="T39" s="332"/>
      <c r="U39" s="332"/>
      <c r="V39" s="332"/>
      <c r="W39" s="332"/>
      <c r="X39" s="332" t="s">
        <v>2175</v>
      </c>
      <c r="Y39" s="332" t="s">
        <v>2176</v>
      </c>
      <c r="Z39" s="439" t="s">
        <v>2090</v>
      </c>
      <c r="AA39" s="332" t="s">
        <v>2177</v>
      </c>
      <c r="AB39" s="782" t="s">
        <v>2178</v>
      </c>
      <c r="AC39" s="782"/>
      <c r="AD39" s="782"/>
      <c r="AE39" s="782"/>
      <c r="AF39" s="782"/>
      <c r="AG39" s="78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row>
    <row r="40" spans="1:120" ht="12.75">
      <c r="A40" s="6" t="s">
        <v>2179</v>
      </c>
      <c r="B40" s="440"/>
      <c r="C40" s="332"/>
      <c r="D40" s="332"/>
      <c r="E40" s="332"/>
      <c r="F40" s="332"/>
      <c r="G40" s="332"/>
      <c r="H40" s="332"/>
      <c r="I40" s="332"/>
      <c r="J40" s="332"/>
      <c r="K40" s="332"/>
      <c r="L40" s="332"/>
      <c r="M40" s="440"/>
      <c r="N40" s="440"/>
      <c r="O40" s="332"/>
      <c r="P40" s="332"/>
      <c r="Q40" s="332"/>
      <c r="R40" s="332"/>
      <c r="S40" s="332"/>
      <c r="T40" s="332"/>
      <c r="U40" s="332"/>
      <c r="V40" s="332"/>
      <c r="W40" s="332"/>
      <c r="X40" s="332"/>
      <c r="Y40" s="332"/>
      <c r="Z40" s="439"/>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782" t="s">
        <v>2180</v>
      </c>
      <c r="CN40" s="332"/>
      <c r="CO40" s="782" t="s">
        <v>2181</v>
      </c>
      <c r="CP40" s="782"/>
      <c r="CQ40" s="782"/>
      <c r="CR40" s="782"/>
      <c r="CS40" s="782"/>
      <c r="CT40" s="782"/>
      <c r="CU40" s="782"/>
      <c r="CV40" s="782"/>
      <c r="CW40" s="782"/>
      <c r="CX40" s="782"/>
      <c r="CY40" s="332"/>
      <c r="CZ40" s="332"/>
      <c r="DA40" s="332"/>
      <c r="DB40" s="332"/>
      <c r="DC40" s="332"/>
      <c r="DD40" s="332"/>
      <c r="DE40" s="332"/>
      <c r="DF40" s="332"/>
      <c r="DG40" s="332"/>
      <c r="DH40" s="332"/>
      <c r="DI40" s="332"/>
      <c r="DJ40" s="332"/>
      <c r="DK40" s="332"/>
      <c r="DL40" s="332"/>
      <c r="DM40" s="332"/>
      <c r="DN40" s="332"/>
      <c r="DO40" s="332"/>
      <c r="DP40" s="332"/>
    </row>
    <row r="41" spans="1:120" ht="12.75">
      <c r="A41" s="6" t="s">
        <v>660</v>
      </c>
      <c r="B41" s="440"/>
      <c r="C41" s="332"/>
      <c r="D41" s="332"/>
      <c r="E41" s="332"/>
      <c r="F41" s="332"/>
      <c r="G41" s="332"/>
      <c r="H41" s="332"/>
      <c r="I41" s="332"/>
      <c r="J41" s="332"/>
      <c r="K41" s="332"/>
      <c r="L41" s="332"/>
      <c r="M41" s="440"/>
      <c r="N41" s="440"/>
      <c r="O41" s="332"/>
      <c r="P41" s="332"/>
      <c r="Q41" s="332"/>
      <c r="R41" s="332"/>
      <c r="S41" s="332"/>
      <c r="T41" s="332"/>
      <c r="U41" s="332"/>
      <c r="V41" s="332"/>
      <c r="W41" s="332"/>
      <c r="X41" s="332"/>
      <c r="Y41" s="332"/>
      <c r="Z41" s="439"/>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782" t="s">
        <v>2182</v>
      </c>
      <c r="CN41" s="332"/>
      <c r="CO41" s="782" t="s">
        <v>2183</v>
      </c>
      <c r="CP41" s="78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row>
    <row r="42" spans="1:120" ht="12.75">
      <c r="A42" s="148" t="s">
        <v>863</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440" t="s">
        <v>2184</v>
      </c>
      <c r="AV42" s="332" t="s">
        <v>2185</v>
      </c>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row>
    <row r="43" spans="1:120" ht="12.75">
      <c r="A43" s="148" t="s">
        <v>2186</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t="s">
        <v>2187</v>
      </c>
      <c r="BS43" s="782" t="s">
        <v>2188</v>
      </c>
      <c r="BT43" s="782"/>
      <c r="BU43" s="78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row>
    <row r="44" spans="1:120" ht="12.75">
      <c r="A44" s="6" t="s">
        <v>391</v>
      </c>
      <c r="B44" s="332"/>
      <c r="C44" s="332" t="s">
        <v>1930</v>
      </c>
      <c r="D44" s="332" t="s">
        <v>1961</v>
      </c>
      <c r="E44" s="332" t="s">
        <v>1962</v>
      </c>
      <c r="F44" s="332" t="s">
        <v>1963</v>
      </c>
      <c r="G44" s="332" t="s">
        <v>1964</v>
      </c>
      <c r="H44" s="332"/>
      <c r="I44" s="332"/>
      <c r="J44" s="332"/>
      <c r="K44" s="332"/>
      <c r="L44" s="440" t="s">
        <v>1965</v>
      </c>
      <c r="M44" s="332" t="s">
        <v>1966</v>
      </c>
      <c r="N44" s="440" t="s">
        <v>1967</v>
      </c>
      <c r="O44" s="332" t="s">
        <v>1968</v>
      </c>
      <c r="P44" s="332"/>
      <c r="Q44" s="332"/>
      <c r="R44" s="332"/>
      <c r="S44" s="332"/>
      <c r="T44" s="332" t="s">
        <v>1969</v>
      </c>
      <c r="U44" s="332" t="s">
        <v>1970</v>
      </c>
      <c r="V44" s="332" t="s">
        <v>1971</v>
      </c>
      <c r="W44" s="436" t="s">
        <v>1972</v>
      </c>
      <c r="X44" s="436"/>
      <c r="Y44" s="782"/>
      <c r="Z44" s="782"/>
      <c r="AA44" s="782"/>
      <c r="AB44" s="782"/>
      <c r="AC44" s="782"/>
      <c r="AD44" s="782"/>
      <c r="AE44" s="782"/>
      <c r="AF44" s="332"/>
      <c r="AG44" s="332" t="s">
        <v>1973</v>
      </c>
      <c r="AH44" s="332" t="s">
        <v>1974</v>
      </c>
      <c r="AI44" s="439" t="s">
        <v>1975</v>
      </c>
      <c r="AJ44" s="332" t="s">
        <v>1976</v>
      </c>
      <c r="AK44" s="332" t="s">
        <v>1977</v>
      </c>
      <c r="AL44" s="782" t="s">
        <v>1978</v>
      </c>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2"/>
      <c r="BJ44" s="782"/>
      <c r="BK44" s="782"/>
      <c r="BL44" s="782"/>
      <c r="BM44" s="782"/>
      <c r="BN44" s="332"/>
      <c r="BO44" s="332" t="s">
        <v>1980</v>
      </c>
      <c r="BP44" s="782" t="s">
        <v>1981</v>
      </c>
      <c r="BQ44" s="78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row>
    <row r="45" spans="1:120" ht="12.75">
      <c r="A45" s="6" t="s">
        <v>392</v>
      </c>
      <c r="B45" s="332"/>
      <c r="C45" s="332" t="s">
        <v>1930</v>
      </c>
      <c r="D45" s="332" t="s">
        <v>1961</v>
      </c>
      <c r="E45" s="332" t="s">
        <v>1962</v>
      </c>
      <c r="F45" s="332" t="s">
        <v>1963</v>
      </c>
      <c r="G45" s="332" t="s">
        <v>1964</v>
      </c>
      <c r="H45" s="332"/>
      <c r="I45" s="332"/>
      <c r="J45" s="332"/>
      <c r="K45" s="332"/>
      <c r="L45" s="440" t="s">
        <v>1965</v>
      </c>
      <c r="M45" s="332" t="s">
        <v>1966</v>
      </c>
      <c r="N45" s="440" t="s">
        <v>1967</v>
      </c>
      <c r="O45" s="332" t="s">
        <v>1968</v>
      </c>
      <c r="P45" s="332"/>
      <c r="Q45" s="332"/>
      <c r="R45" s="332"/>
      <c r="S45" s="332"/>
      <c r="T45" s="332" t="s">
        <v>1969</v>
      </c>
      <c r="U45" s="332" t="s">
        <v>1970</v>
      </c>
      <c r="V45" s="332" t="s">
        <v>1971</v>
      </c>
      <c r="W45" s="436" t="s">
        <v>1972</v>
      </c>
      <c r="X45" s="436"/>
      <c r="Y45" s="782"/>
      <c r="Z45" s="782"/>
      <c r="AA45" s="782"/>
      <c r="AB45" s="782"/>
      <c r="AC45" s="782"/>
      <c r="AD45" s="782"/>
      <c r="AE45" s="782"/>
      <c r="AF45" s="332"/>
      <c r="AG45" s="332" t="s">
        <v>1973</v>
      </c>
      <c r="AH45" s="332" t="s">
        <v>1974</v>
      </c>
      <c r="AI45" s="439" t="s">
        <v>1975</v>
      </c>
      <c r="AJ45" s="332" t="s">
        <v>1976</v>
      </c>
      <c r="AK45" s="332" t="s">
        <v>1977</v>
      </c>
      <c r="AL45" s="782" t="s">
        <v>1978</v>
      </c>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2"/>
      <c r="BJ45" s="782"/>
      <c r="BK45" s="782"/>
      <c r="BL45" s="782"/>
      <c r="BM45" s="782"/>
      <c r="BN45" s="332"/>
      <c r="BO45" s="332" t="s">
        <v>1980</v>
      </c>
      <c r="BP45" s="782" t="s">
        <v>1981</v>
      </c>
      <c r="BQ45" s="78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row>
    <row r="46" spans="1:120" ht="25.5">
      <c r="A46" s="6" t="s">
        <v>2189</v>
      </c>
      <c r="B46" s="783" t="s">
        <v>2190</v>
      </c>
      <c r="C46" s="332" t="s">
        <v>2191</v>
      </c>
      <c r="D46" s="332"/>
      <c r="E46" s="332"/>
      <c r="F46" s="332" t="s">
        <v>2192</v>
      </c>
      <c r="G46" s="332" t="s">
        <v>2193</v>
      </c>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438" t="s">
        <v>1926</v>
      </c>
      <c r="BP46" s="439" t="s">
        <v>1927</v>
      </c>
      <c r="BQ46" s="787" t="s">
        <v>2194</v>
      </c>
      <c r="BR46" s="782"/>
      <c r="BS46" s="782"/>
      <c r="BT46" s="782"/>
      <c r="BU46" s="782"/>
      <c r="BV46" s="782"/>
      <c r="BW46" s="782"/>
      <c r="BX46" s="782"/>
      <c r="BY46" s="782"/>
      <c r="BZ46" s="782"/>
      <c r="CA46" s="782"/>
      <c r="CB46" s="782"/>
      <c r="CC46" s="782"/>
      <c r="CD46" s="782"/>
      <c r="CE46" s="782"/>
      <c r="CF46" s="782"/>
      <c r="CG46" s="782"/>
      <c r="CH46" s="782"/>
      <c r="CI46" s="782"/>
      <c r="CJ46" s="782"/>
      <c r="CK46" s="782"/>
      <c r="CL46" s="782"/>
      <c r="CM46" s="782"/>
      <c r="CN46" s="782"/>
      <c r="CO46" s="782"/>
      <c r="CP46" s="782"/>
      <c r="CQ46" s="782"/>
      <c r="CR46" s="332"/>
      <c r="CS46" s="332" t="s">
        <v>1920</v>
      </c>
      <c r="CT46" s="782" t="s">
        <v>1921</v>
      </c>
      <c r="CU46" s="782"/>
      <c r="CV46" s="782"/>
      <c r="CW46" s="332"/>
      <c r="CX46" s="332"/>
      <c r="CY46" s="332"/>
      <c r="CZ46" s="332"/>
      <c r="DA46" s="332"/>
      <c r="DB46" s="332"/>
      <c r="DC46" s="332"/>
      <c r="DD46" s="332"/>
      <c r="DE46" s="332"/>
      <c r="DF46" s="332"/>
      <c r="DG46" s="332"/>
      <c r="DH46" s="332"/>
      <c r="DI46" s="332"/>
      <c r="DJ46" s="332"/>
      <c r="DK46" s="332"/>
      <c r="DL46" s="332"/>
      <c r="DM46" s="332"/>
      <c r="DN46" s="332"/>
      <c r="DO46" s="332"/>
      <c r="DP46" s="332"/>
    </row>
    <row r="47" spans="1:120" ht="12.75">
      <c r="A47" s="148" t="s">
        <v>2195</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t="s">
        <v>2196</v>
      </c>
      <c r="BS47" s="782" t="s">
        <v>2197</v>
      </c>
      <c r="BT47" s="782"/>
      <c r="BU47" s="782"/>
      <c r="BV47" s="78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row>
    <row r="48" spans="1:120" ht="38.25">
      <c r="A48" s="6" t="s">
        <v>2198</v>
      </c>
      <c r="B48" s="783" t="s">
        <v>2199</v>
      </c>
      <c r="C48" s="332" t="s">
        <v>2200</v>
      </c>
      <c r="D48" s="332"/>
      <c r="E48" s="332"/>
      <c r="F48" s="332" t="s">
        <v>2201</v>
      </c>
      <c r="G48" s="332" t="s">
        <v>2202</v>
      </c>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row>
    <row r="49" spans="1:120" ht="12.75">
      <c r="A49" s="148" t="s">
        <v>2203</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t="s">
        <v>2204</v>
      </c>
      <c r="CC49" s="332" t="s">
        <v>2205</v>
      </c>
      <c r="CD49" s="332" t="s">
        <v>2206</v>
      </c>
      <c r="CE49" s="782" t="s">
        <v>2207</v>
      </c>
      <c r="CF49" s="782"/>
      <c r="CG49" s="782"/>
      <c r="CH49" s="78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t="s">
        <v>2208</v>
      </c>
      <c r="DE49" s="332" t="s">
        <v>2209</v>
      </c>
      <c r="DF49" s="332" t="s">
        <v>2210</v>
      </c>
      <c r="DG49" s="332" t="s">
        <v>2211</v>
      </c>
      <c r="DH49" s="332" t="s">
        <v>2212</v>
      </c>
      <c r="DI49" s="332" t="s">
        <v>2213</v>
      </c>
      <c r="DJ49" s="782" t="s">
        <v>2214</v>
      </c>
      <c r="DK49" s="782"/>
      <c r="DL49" s="782"/>
      <c r="DM49" s="782"/>
      <c r="DN49" s="782"/>
      <c r="DO49" s="782"/>
      <c r="DP49" s="332"/>
    </row>
    <row r="50" spans="1:120" ht="12.75">
      <c r="A50" s="6" t="s">
        <v>470</v>
      </c>
      <c r="B50" s="783"/>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t="s">
        <v>2215</v>
      </c>
      <c r="CT50" s="782" t="s">
        <v>2216</v>
      </c>
      <c r="CU50" s="782"/>
      <c r="CV50" s="782"/>
      <c r="CW50" s="782"/>
      <c r="CX50" s="782"/>
      <c r="CY50" s="332"/>
      <c r="CZ50" s="332"/>
      <c r="DA50" s="332"/>
      <c r="DB50" s="332"/>
      <c r="DC50" s="332"/>
      <c r="DD50" s="332"/>
      <c r="DE50" s="332"/>
      <c r="DF50" s="332"/>
      <c r="DG50" s="332"/>
      <c r="DH50" s="332"/>
      <c r="DI50" s="332"/>
      <c r="DJ50" s="332"/>
      <c r="DK50" s="332"/>
      <c r="DL50" s="332"/>
      <c r="DM50" s="332"/>
      <c r="DN50" s="332"/>
      <c r="DO50" s="332"/>
      <c r="DP50" s="332"/>
    </row>
    <row r="51" spans="1:120" ht="25.5">
      <c r="A51" s="6" t="s">
        <v>290</v>
      </c>
      <c r="B51" s="783" t="s">
        <v>2217</v>
      </c>
      <c r="C51" s="332" t="s">
        <v>2218</v>
      </c>
      <c r="D51" s="332"/>
      <c r="E51" s="332"/>
      <c r="F51" s="332" t="s">
        <v>2219</v>
      </c>
      <c r="G51" s="332" t="s">
        <v>2047</v>
      </c>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row>
    <row r="52" spans="1:120" ht="25.5">
      <c r="A52" s="6" t="s">
        <v>2220</v>
      </c>
      <c r="B52" s="332"/>
      <c r="C52" s="332" t="s">
        <v>2221</v>
      </c>
      <c r="D52" s="332"/>
      <c r="E52" s="332"/>
      <c r="F52" s="332" t="s">
        <v>2222</v>
      </c>
      <c r="G52" s="332" t="s">
        <v>2223</v>
      </c>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t="s">
        <v>2204</v>
      </c>
      <c r="CC52" s="444" t="s">
        <v>2205</v>
      </c>
      <c r="CD52" s="782"/>
      <c r="CE52" s="782"/>
      <c r="CF52" s="782"/>
      <c r="CG52" s="782"/>
      <c r="CH52" s="782"/>
      <c r="CI52" s="782"/>
      <c r="CJ52" s="782"/>
      <c r="CK52" s="782"/>
      <c r="CL52" s="782"/>
      <c r="CM52" s="78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row>
    <row r="53" spans="1:120" ht="25.5">
      <c r="A53" s="6" t="s">
        <v>2224</v>
      </c>
      <c r="B53" s="332"/>
      <c r="C53" s="332" t="s">
        <v>2225</v>
      </c>
      <c r="D53" s="332"/>
      <c r="E53" s="332"/>
      <c r="F53" s="332" t="s">
        <v>2226</v>
      </c>
      <c r="G53" s="332" t="s">
        <v>2227</v>
      </c>
      <c r="H53" s="332" t="s">
        <v>2228</v>
      </c>
      <c r="I53" s="332" t="s">
        <v>2228</v>
      </c>
      <c r="J53" s="332"/>
      <c r="K53" s="332"/>
      <c r="L53" s="332" t="s">
        <v>2229</v>
      </c>
      <c r="M53" s="332" t="s">
        <v>2230</v>
      </c>
      <c r="N53" s="332" t="s">
        <v>2231</v>
      </c>
      <c r="O53" s="332" t="s">
        <v>2232</v>
      </c>
      <c r="P53" s="332" t="s">
        <v>2233</v>
      </c>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row>
    <row r="54" spans="1:120" ht="12.75">
      <c r="A54" s="6" t="s">
        <v>683</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t="s">
        <v>2234</v>
      </c>
      <c r="AV54" s="332" t="s">
        <v>2235</v>
      </c>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row>
    <row r="55" spans="1:120" ht="14.25">
      <c r="A55" s="148" t="s">
        <v>2236</v>
      </c>
      <c r="B55" s="332"/>
      <c r="C55" s="332"/>
      <c r="D55" s="332"/>
      <c r="E55" s="332"/>
      <c r="F55" s="332"/>
      <c r="G55" s="332"/>
      <c r="H55" s="332"/>
      <c r="I55" s="332"/>
      <c r="J55" s="332"/>
      <c r="K55" s="332"/>
      <c r="L55" s="332"/>
      <c r="M55" s="332"/>
      <c r="N55" s="332"/>
      <c r="O55" s="332"/>
      <c r="P55" s="332"/>
      <c r="Q55" s="332"/>
      <c r="R55" s="332"/>
      <c r="S55" s="332"/>
      <c r="T55" s="332"/>
      <c r="U55" s="332"/>
      <c r="V55" s="440" t="s">
        <v>2237</v>
      </c>
      <c r="W55" s="788" t="s">
        <v>2238</v>
      </c>
      <c r="X55" s="439" t="s">
        <v>2239</v>
      </c>
      <c r="Y55" s="439" t="s">
        <v>2239</v>
      </c>
      <c r="Z55" s="332" t="s">
        <v>2240</v>
      </c>
      <c r="AA55" s="445" t="s">
        <v>2241</v>
      </c>
      <c r="AB55" s="782" t="s">
        <v>2242</v>
      </c>
      <c r="AC55" s="782"/>
      <c r="AD55" s="782"/>
      <c r="AE55" s="782"/>
      <c r="AF55" s="782"/>
      <c r="AG55" s="782"/>
      <c r="AH55" s="782"/>
      <c r="AI55" s="782"/>
      <c r="AJ55" s="782"/>
      <c r="AK55" s="782"/>
      <c r="AL55" s="782"/>
      <c r="AM55" s="78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t="s">
        <v>2007</v>
      </c>
      <c r="BP55" s="332" t="s">
        <v>2008</v>
      </c>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row>
    <row r="56" spans="1:120" ht="12.75">
      <c r="A56" s="6" t="s">
        <v>2243</v>
      </c>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t="s">
        <v>1920</v>
      </c>
      <c r="CT56" s="782" t="s">
        <v>1921</v>
      </c>
      <c r="CU56" s="782"/>
      <c r="CV56" s="782"/>
      <c r="CW56" s="332"/>
      <c r="CX56" s="332"/>
      <c r="CY56" s="332" t="s">
        <v>2244</v>
      </c>
      <c r="CZ56" s="332" t="s">
        <v>2245</v>
      </c>
      <c r="DA56" s="332" t="s">
        <v>2246</v>
      </c>
      <c r="DB56" s="332" t="s">
        <v>2247</v>
      </c>
      <c r="DC56" s="782" t="s">
        <v>2248</v>
      </c>
      <c r="DD56" s="782"/>
      <c r="DE56" s="782"/>
      <c r="DF56" s="782"/>
      <c r="DG56" s="782"/>
      <c r="DH56" s="782"/>
      <c r="DI56" s="782"/>
      <c r="DJ56" s="782"/>
      <c r="DK56" s="782"/>
      <c r="DL56" s="782"/>
      <c r="DM56" s="782"/>
      <c r="DN56" s="782"/>
      <c r="DO56" s="782"/>
      <c r="DP56" s="332"/>
    </row>
    <row r="57" spans="1:120" ht="12.75">
      <c r="A57" s="148" t="s">
        <v>2249</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t="s">
        <v>2250</v>
      </c>
      <c r="BW57" s="332" t="s">
        <v>2251</v>
      </c>
      <c r="BX57" s="439" t="s">
        <v>2252</v>
      </c>
      <c r="BY57" s="332" t="s">
        <v>2253</v>
      </c>
      <c r="BZ57" s="332" t="s">
        <v>2254</v>
      </c>
      <c r="CA57" s="782" t="s">
        <v>2255</v>
      </c>
      <c r="CB57" s="782"/>
      <c r="CC57" s="782"/>
      <c r="CD57" s="782"/>
      <c r="CE57" s="782"/>
      <c r="CF57" s="782"/>
      <c r="CG57" s="782"/>
      <c r="CH57" s="782"/>
      <c r="CI57" s="782"/>
      <c r="CJ57" s="782"/>
      <c r="CK57" s="782"/>
      <c r="CL57" s="782"/>
      <c r="CM57" s="78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row>
    <row r="58" spans="1:120" ht="12.75">
      <c r="A58" s="148" t="s">
        <v>2256</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784" t="s">
        <v>2257</v>
      </c>
      <c r="AV58" s="332" t="s">
        <v>2258</v>
      </c>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row>
    <row r="59" spans="1:120" ht="12.75">
      <c r="A59" s="6" t="s">
        <v>432</v>
      </c>
      <c r="B59" s="332"/>
      <c r="C59" s="332" t="s">
        <v>2259</v>
      </c>
      <c r="D59" s="332" t="s">
        <v>2260</v>
      </c>
      <c r="E59" s="332" t="s">
        <v>2261</v>
      </c>
      <c r="F59" s="437" t="s">
        <v>2262</v>
      </c>
      <c r="G59" s="332" t="s">
        <v>2047</v>
      </c>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row>
    <row r="60" spans="1:120" ht="12.75">
      <c r="A60" s="6" t="s">
        <v>2263</v>
      </c>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440" t="s">
        <v>2264</v>
      </c>
      <c r="AV60" s="332" t="s">
        <v>2265</v>
      </c>
      <c r="AW60" s="332" t="s">
        <v>2266</v>
      </c>
      <c r="AX60" s="332" t="s">
        <v>2267</v>
      </c>
      <c r="AY60" s="332" t="s">
        <v>2268</v>
      </c>
      <c r="AZ60" s="332" t="s">
        <v>2269</v>
      </c>
      <c r="BA60" s="332" t="s">
        <v>2270</v>
      </c>
      <c r="BB60" s="332" t="s">
        <v>2271</v>
      </c>
      <c r="BC60" s="332" t="s">
        <v>2272</v>
      </c>
      <c r="BD60" s="332" t="s">
        <v>2273</v>
      </c>
      <c r="BE60" s="332" t="s">
        <v>2274</v>
      </c>
      <c r="BF60" s="332" t="s">
        <v>2275</v>
      </c>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row>
    <row r="61" spans="1:120" ht="12.75">
      <c r="A61" s="6" t="s">
        <v>481</v>
      </c>
      <c r="B61" s="440" t="s">
        <v>2276</v>
      </c>
      <c r="C61" s="332" t="s">
        <v>2277</v>
      </c>
      <c r="D61" s="332"/>
      <c r="E61" s="332"/>
      <c r="F61" s="437" t="s">
        <v>2278</v>
      </c>
      <c r="G61" s="332" t="s">
        <v>2047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t="s">
        <v>2215</v>
      </c>
      <c r="CT61" s="782" t="s">
        <v>2216</v>
      </c>
      <c r="CU61" s="782"/>
      <c r="CV61" s="782"/>
      <c r="CW61" s="782"/>
      <c r="CX61" s="782"/>
      <c r="CY61" s="332"/>
      <c r="CZ61" s="332"/>
      <c r="DA61" s="332"/>
      <c r="DB61" s="332"/>
      <c r="DC61" s="332"/>
      <c r="DD61" s="332"/>
      <c r="DE61" s="332"/>
      <c r="DF61" s="332"/>
      <c r="DG61" s="332"/>
      <c r="DH61" s="332"/>
      <c r="DI61" s="332"/>
      <c r="DJ61" s="332"/>
      <c r="DK61" s="332"/>
      <c r="DL61" s="332"/>
      <c r="DM61" s="332"/>
      <c r="DN61" s="332"/>
      <c r="DO61" s="332"/>
      <c r="DP61" s="332"/>
    </row>
    <row r="62" spans="1:120" ht="12.75">
      <c r="A62" s="446" t="s">
        <v>2279</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t="s">
        <v>2007</v>
      </c>
      <c r="BP62" s="332" t="s">
        <v>2280</v>
      </c>
      <c r="BQ62" s="332" t="s">
        <v>2281</v>
      </c>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t="s">
        <v>2282</v>
      </c>
      <c r="CO62" s="782" t="s">
        <v>2036</v>
      </c>
      <c r="CP62" s="782"/>
      <c r="CQ62" s="782"/>
      <c r="CR62" s="782"/>
      <c r="CS62" s="782"/>
      <c r="CT62" s="782"/>
      <c r="CU62" s="332"/>
      <c r="CV62" s="332"/>
      <c r="CW62" s="332"/>
      <c r="CX62" s="332"/>
      <c r="CY62" s="332"/>
      <c r="CZ62" s="332"/>
      <c r="DA62" s="332"/>
      <c r="DB62" s="332" t="s">
        <v>2283</v>
      </c>
      <c r="DC62" s="782" t="s">
        <v>2284</v>
      </c>
      <c r="DD62" s="782"/>
      <c r="DE62" s="782"/>
      <c r="DF62" s="782"/>
      <c r="DG62" s="782"/>
      <c r="DH62" s="782"/>
      <c r="DI62" s="782"/>
      <c r="DJ62" s="782"/>
      <c r="DK62" s="782"/>
      <c r="DL62" s="782"/>
      <c r="DM62" s="782"/>
      <c r="DN62" s="782"/>
      <c r="DO62" s="782"/>
      <c r="DP62" s="332"/>
    </row>
    <row r="63" spans="1:120" ht="12.75">
      <c r="A63" s="148" t="s">
        <v>1114</v>
      </c>
      <c r="B63" s="332"/>
      <c r="C63" s="332" t="s">
        <v>2285</v>
      </c>
      <c r="D63" s="332"/>
      <c r="E63" s="332"/>
      <c r="F63" s="332"/>
      <c r="G63" s="332"/>
      <c r="H63" s="332" t="s">
        <v>2040</v>
      </c>
      <c r="I63" s="332" t="s">
        <v>2041</v>
      </c>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row>
    <row r="64" spans="1:120" ht="12.75">
      <c r="A64" s="148" t="s">
        <v>2286</v>
      </c>
      <c r="B64" s="332"/>
      <c r="C64" s="332" t="s">
        <v>2285</v>
      </c>
      <c r="D64" s="332"/>
      <c r="E64" s="332"/>
      <c r="F64" s="332"/>
      <c r="G64" s="332"/>
      <c r="H64" s="332" t="s">
        <v>2040</v>
      </c>
      <c r="I64" s="332" t="s">
        <v>2041</v>
      </c>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row>
    <row r="65" spans="1:120" ht="15">
      <c r="A65" s="447" t="s">
        <v>245</v>
      </c>
      <c r="B65" s="332"/>
      <c r="C65" s="332" t="s">
        <v>2287</v>
      </c>
      <c r="D65" s="440"/>
      <c r="E65" s="332"/>
      <c r="F65" s="440"/>
      <c r="G65" s="332" t="s">
        <v>2288</v>
      </c>
      <c r="H65" s="332" t="s">
        <v>2289</v>
      </c>
      <c r="I65" s="332" t="s">
        <v>2290</v>
      </c>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row>
    <row r="66" spans="1:120" ht="12.75">
      <c r="A66" s="6" t="s">
        <v>325</v>
      </c>
      <c r="B66" s="332"/>
      <c r="C66" s="332" t="s">
        <v>2025</v>
      </c>
      <c r="D66" s="332" t="s">
        <v>2026</v>
      </c>
      <c r="E66" s="332" t="s">
        <v>2027</v>
      </c>
      <c r="F66" s="440" t="s">
        <v>2028</v>
      </c>
      <c r="G66" s="442" t="s">
        <v>2029</v>
      </c>
      <c r="H66" s="442"/>
      <c r="I66" s="440"/>
      <c r="J66" s="440" t="s">
        <v>2030</v>
      </c>
      <c r="K66" s="440" t="s">
        <v>2031</v>
      </c>
      <c r="L66" s="440" t="s">
        <v>2291</v>
      </c>
      <c r="M66" s="440" t="s">
        <v>2292</v>
      </c>
      <c r="N66" s="332" t="s">
        <v>2293</v>
      </c>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row>
    <row r="67" spans="1:120" ht="25.5">
      <c r="A67" s="6" t="s">
        <v>396</v>
      </c>
      <c r="B67" s="783" t="s">
        <v>2012</v>
      </c>
      <c r="C67" s="332" t="s">
        <v>1930</v>
      </c>
      <c r="D67" s="332" t="s">
        <v>2013</v>
      </c>
      <c r="E67" s="332" t="s">
        <v>2014</v>
      </c>
      <c r="F67" s="332" t="s">
        <v>2015</v>
      </c>
      <c r="G67" s="440" t="s">
        <v>2294</v>
      </c>
      <c r="H67" s="332"/>
      <c r="I67" s="332"/>
      <c r="J67" s="332"/>
      <c r="K67" s="332"/>
      <c r="L67" s="332" t="s">
        <v>2017</v>
      </c>
      <c r="M67" s="440" t="s">
        <v>1966</v>
      </c>
      <c r="N67" s="332" t="s">
        <v>1967</v>
      </c>
      <c r="O67" s="332" t="s">
        <v>1968</v>
      </c>
      <c r="P67" s="332"/>
      <c r="Q67" s="332"/>
      <c r="R67" s="332"/>
      <c r="S67" s="332"/>
      <c r="T67" s="332" t="s">
        <v>2295</v>
      </c>
      <c r="U67" s="332" t="s">
        <v>2296</v>
      </c>
      <c r="V67" s="332" t="s">
        <v>2297</v>
      </c>
      <c r="W67" s="436" t="s">
        <v>2298</v>
      </c>
      <c r="X67" s="439"/>
      <c r="Y67" s="439" t="s">
        <v>2299</v>
      </c>
      <c r="Z67" s="448" t="s">
        <v>2300</v>
      </c>
      <c r="AA67" s="332" t="s">
        <v>2301</v>
      </c>
      <c r="AB67" s="782" t="s">
        <v>2302</v>
      </c>
      <c r="AC67" s="782"/>
      <c r="AD67" s="78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row>
    <row r="68" spans="1:120" ht="12.75">
      <c r="A68" s="148" t="s">
        <v>1370</v>
      </c>
      <c r="B68" s="332"/>
      <c r="C68" s="332" t="s">
        <v>2025</v>
      </c>
      <c r="D68" s="332" t="s">
        <v>2303</v>
      </c>
      <c r="E68" s="332" t="s">
        <v>2304</v>
      </c>
      <c r="F68" s="332" t="s">
        <v>2305</v>
      </c>
      <c r="G68" s="440" t="s">
        <v>2306</v>
      </c>
      <c r="H68" s="440"/>
      <c r="I68" s="440"/>
      <c r="J68" s="440" t="s">
        <v>2030</v>
      </c>
      <c r="K68" s="440" t="s">
        <v>2031</v>
      </c>
      <c r="L68" s="440" t="s">
        <v>2032</v>
      </c>
      <c r="M68" s="332" t="s">
        <v>2033</v>
      </c>
      <c r="N68" s="332" t="s">
        <v>2034</v>
      </c>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row>
    <row r="69" spans="1:120" ht="35.25">
      <c r="A69" s="6" t="s">
        <v>2307</v>
      </c>
      <c r="B69" s="783"/>
      <c r="C69" s="332" t="s">
        <v>2308</v>
      </c>
      <c r="D69" s="332" t="s">
        <v>2309</v>
      </c>
      <c r="E69" s="332" t="s">
        <v>2310</v>
      </c>
      <c r="F69" s="332" t="s">
        <v>2311</v>
      </c>
      <c r="G69" s="440" t="s">
        <v>2312</v>
      </c>
      <c r="H69" s="440"/>
      <c r="I69" s="440"/>
      <c r="J69" s="440" t="s">
        <v>2030</v>
      </c>
      <c r="K69" s="440" t="s">
        <v>2031</v>
      </c>
      <c r="L69" s="440" t="s">
        <v>2032</v>
      </c>
      <c r="M69" s="332" t="s">
        <v>2033</v>
      </c>
      <c r="N69" s="332" t="s">
        <v>2034</v>
      </c>
      <c r="O69" s="332"/>
      <c r="P69" s="332"/>
      <c r="Q69" s="332"/>
      <c r="R69" s="332"/>
      <c r="S69" s="332"/>
      <c r="T69" s="332" t="s">
        <v>2313</v>
      </c>
      <c r="U69" s="332" t="s">
        <v>2314</v>
      </c>
      <c r="V69" s="332" t="s">
        <v>2315</v>
      </c>
      <c r="W69" s="436" t="s">
        <v>2316</v>
      </c>
      <c r="X69" s="436"/>
      <c r="Y69" s="782"/>
      <c r="Z69" s="782"/>
      <c r="AA69" s="78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t="s">
        <v>2317</v>
      </c>
      <c r="BP69" s="332" t="s">
        <v>2008</v>
      </c>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row>
    <row r="70" spans="1:120" ht="12.75">
      <c r="A70" s="148" t="s">
        <v>2318</v>
      </c>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t="s">
        <v>2319</v>
      </c>
      <c r="BS70" s="332" t="s">
        <v>2320</v>
      </c>
      <c r="BT70" s="332" t="s">
        <v>2321</v>
      </c>
      <c r="BU70" s="782" t="s">
        <v>2322</v>
      </c>
      <c r="BV70" s="782"/>
      <c r="BW70" s="782"/>
      <c r="BX70" s="78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row>
    <row r="71" spans="1:120" ht="12.75">
      <c r="A71" s="148" t="s">
        <v>297</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t="s">
        <v>2323</v>
      </c>
      <c r="Z71" s="442" t="s">
        <v>2324</v>
      </c>
      <c r="AA71" s="782"/>
      <c r="AB71" s="782"/>
      <c r="AC71" s="782"/>
      <c r="AD71" s="782"/>
      <c r="AE71" s="782"/>
      <c r="AF71" s="782"/>
      <c r="AG71" s="78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row>
    <row r="72" spans="1:120" ht="12.75">
      <c r="A72" s="148" t="s">
        <v>2325</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c r="BG72" s="332"/>
      <c r="BH72" s="332"/>
      <c r="BI72" s="332"/>
      <c r="BJ72" s="332"/>
      <c r="BK72" s="332"/>
      <c r="BL72" s="332"/>
      <c r="BM72" s="332"/>
      <c r="BN72" s="332"/>
      <c r="BO72" s="332"/>
      <c r="BP72" s="332"/>
      <c r="BQ72" s="332"/>
      <c r="BR72" s="332" t="s">
        <v>2326</v>
      </c>
      <c r="BS72" s="332" t="s">
        <v>2327</v>
      </c>
      <c r="BT72" s="782" t="s">
        <v>2060</v>
      </c>
      <c r="BU72" s="782"/>
      <c r="BV72" s="782"/>
      <c r="BW72" s="78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row>
    <row r="73" spans="1:120" ht="12.75">
      <c r="A73" s="449" t="s">
        <v>316</v>
      </c>
      <c r="B73" s="332"/>
      <c r="C73" s="332"/>
      <c r="D73" s="332"/>
      <c r="E73" s="332"/>
      <c r="F73" s="332"/>
      <c r="G73" s="332"/>
      <c r="H73" s="332" t="s">
        <v>1896</v>
      </c>
      <c r="I73" s="332" t="s">
        <v>1897</v>
      </c>
      <c r="J73" s="332"/>
      <c r="K73" s="332"/>
      <c r="L73" s="332" t="s">
        <v>2328</v>
      </c>
      <c r="M73" s="332" t="s">
        <v>1899</v>
      </c>
      <c r="N73" s="332" t="s">
        <v>1900</v>
      </c>
      <c r="O73" s="332" t="s">
        <v>1901</v>
      </c>
      <c r="P73" s="332"/>
      <c r="Q73" s="332"/>
      <c r="R73" s="332"/>
      <c r="S73" s="332"/>
      <c r="T73" s="332"/>
      <c r="U73" s="332"/>
      <c r="V73" s="332" t="s">
        <v>1902</v>
      </c>
      <c r="W73" s="436" t="s">
        <v>1903</v>
      </c>
      <c r="X73" s="436"/>
      <c r="Y73" s="782"/>
      <c r="Z73" s="782"/>
      <c r="AA73" s="782"/>
      <c r="AB73" s="332"/>
      <c r="AC73" s="332" t="s">
        <v>1904</v>
      </c>
      <c r="AD73" s="332" t="s">
        <v>1905</v>
      </c>
      <c r="AE73" s="332" t="s">
        <v>2329</v>
      </c>
      <c r="AF73" s="782" t="s">
        <v>1906</v>
      </c>
      <c r="AG73" s="782"/>
      <c r="AH73" s="782"/>
      <c r="AI73" s="782"/>
      <c r="AJ73" s="782"/>
      <c r="AK73" s="78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row>
    <row r="74" spans="1:120" ht="12.75">
      <c r="A74" s="449" t="s">
        <v>2330</v>
      </c>
      <c r="B74" s="440" t="s">
        <v>2331</v>
      </c>
      <c r="C74" s="332" t="s">
        <v>2332</v>
      </c>
      <c r="D74" s="332"/>
      <c r="E74" s="332"/>
      <c r="F74" s="332"/>
      <c r="G74" s="332"/>
      <c r="H74" s="332"/>
      <c r="I74" s="332"/>
      <c r="J74" s="332" t="s">
        <v>2333</v>
      </c>
      <c r="K74" s="332" t="s">
        <v>2334</v>
      </c>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row>
    <row r="75" spans="1:120" ht="25.5">
      <c r="A75" s="6" t="s">
        <v>697</v>
      </c>
      <c r="B75" s="783" t="s">
        <v>2335</v>
      </c>
      <c r="C75" s="332" t="s">
        <v>2336</v>
      </c>
      <c r="D75" s="332"/>
      <c r="E75" s="332"/>
      <c r="F75" s="437" t="s">
        <v>2337</v>
      </c>
      <c r="G75" s="332" t="s">
        <v>2338</v>
      </c>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c r="BP75" s="332"/>
      <c r="BQ75" s="332"/>
      <c r="BR75" s="332"/>
      <c r="BS75" s="332"/>
      <c r="BT75" s="332"/>
      <c r="BU75" s="332"/>
      <c r="BV75" s="332"/>
      <c r="BW75" s="332"/>
      <c r="BX75" s="332"/>
      <c r="BY75" s="332"/>
      <c r="BZ75" s="332"/>
      <c r="CA75" s="332"/>
      <c r="CB75" s="332" t="s">
        <v>2204</v>
      </c>
      <c r="CC75" s="444" t="s">
        <v>2205</v>
      </c>
      <c r="CD75" s="782"/>
      <c r="CE75" s="782"/>
      <c r="CF75" s="782"/>
      <c r="CG75" s="782"/>
      <c r="CH75" s="782"/>
      <c r="CI75" s="782"/>
      <c r="CJ75" s="782"/>
      <c r="CK75" s="782"/>
      <c r="CL75" s="782"/>
      <c r="CM75" s="782"/>
      <c r="CN75" s="332"/>
      <c r="CO75" s="332"/>
      <c r="CP75" s="332"/>
      <c r="CQ75" s="332"/>
      <c r="CR75" s="332"/>
      <c r="CS75" s="332" t="s">
        <v>1911</v>
      </c>
      <c r="CT75" s="332" t="s">
        <v>1912</v>
      </c>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row>
    <row r="76" spans="1:120" ht="12.75">
      <c r="A76" s="449" t="s">
        <v>317</v>
      </c>
      <c r="B76" s="332"/>
      <c r="C76" s="332"/>
      <c r="D76" s="332"/>
      <c r="E76" s="332"/>
      <c r="F76" s="332"/>
      <c r="G76" s="332"/>
      <c r="H76" s="332" t="s">
        <v>1896</v>
      </c>
      <c r="I76" s="332" t="s">
        <v>1897</v>
      </c>
      <c r="J76" s="332"/>
      <c r="K76" s="332"/>
      <c r="L76" s="440" t="s">
        <v>2339</v>
      </c>
      <c r="M76" s="332" t="s">
        <v>1899</v>
      </c>
      <c r="N76" s="332" t="s">
        <v>1900</v>
      </c>
      <c r="O76" s="332" t="s">
        <v>1901</v>
      </c>
      <c r="P76" s="332"/>
      <c r="Q76" s="332"/>
      <c r="R76" s="332"/>
      <c r="S76" s="332"/>
      <c r="T76" s="332"/>
      <c r="U76" s="332"/>
      <c r="V76" s="332" t="s">
        <v>1902</v>
      </c>
      <c r="W76" s="436" t="s">
        <v>1903</v>
      </c>
      <c r="X76" s="436"/>
      <c r="Y76" s="782"/>
      <c r="Z76" s="782"/>
      <c r="AA76" s="782"/>
      <c r="AB76" s="332"/>
      <c r="AC76" s="332" t="s">
        <v>1904</v>
      </c>
      <c r="AD76" s="782" t="s">
        <v>1905</v>
      </c>
      <c r="AE76" s="332"/>
      <c r="AF76" s="782" t="s">
        <v>1906</v>
      </c>
      <c r="AG76" s="782"/>
      <c r="AH76" s="782"/>
      <c r="AI76" s="782"/>
      <c r="AJ76" s="782"/>
      <c r="AK76" s="78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row>
    <row r="77" spans="1:120" ht="12.75">
      <c r="A77" s="6" t="s">
        <v>195</v>
      </c>
      <c r="B77" s="332"/>
      <c r="C77" s="332" t="s">
        <v>2164</v>
      </c>
      <c r="D77" s="332"/>
      <c r="E77" s="332"/>
      <c r="F77" s="332" t="s">
        <v>2340</v>
      </c>
      <c r="G77" s="332" t="s">
        <v>2341</v>
      </c>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c r="BJ77" s="332"/>
      <c r="BK77" s="332"/>
      <c r="BL77" s="332"/>
      <c r="BM77" s="332"/>
      <c r="BN77" s="332"/>
      <c r="BO77" s="332"/>
      <c r="BP77" s="332"/>
      <c r="BQ77" s="332"/>
      <c r="BR77" s="332"/>
      <c r="BS77" s="332"/>
      <c r="BT77" s="332"/>
      <c r="BU77" s="332"/>
      <c r="BV77" s="332"/>
      <c r="BW77" s="332"/>
      <c r="BX77" s="332"/>
      <c r="BY77" s="332"/>
      <c r="BZ77" s="332"/>
      <c r="CA77" s="332"/>
      <c r="CB77" s="332"/>
      <c r="CC77" s="332"/>
      <c r="CD77" s="332"/>
      <c r="CE77" s="332"/>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row>
    <row r="78" spans="1:120" ht="12.75">
      <c r="A78" s="6" t="s">
        <v>397</v>
      </c>
      <c r="B78" s="332"/>
      <c r="C78" s="332" t="s">
        <v>1930</v>
      </c>
      <c r="D78" s="332" t="s">
        <v>1961</v>
      </c>
      <c r="E78" s="332" t="s">
        <v>1962</v>
      </c>
      <c r="F78" s="440" t="s">
        <v>1963</v>
      </c>
      <c r="G78" s="332" t="s">
        <v>1964</v>
      </c>
      <c r="H78" s="332"/>
      <c r="I78" s="332"/>
      <c r="J78" s="332"/>
      <c r="K78" s="332"/>
      <c r="L78" s="332" t="s">
        <v>2017</v>
      </c>
      <c r="M78" s="440" t="s">
        <v>1966</v>
      </c>
      <c r="N78" s="440" t="s">
        <v>1967</v>
      </c>
      <c r="O78" s="332" t="s">
        <v>1968</v>
      </c>
      <c r="P78" s="332"/>
      <c r="Q78" s="332"/>
      <c r="R78" s="332"/>
      <c r="S78" s="332"/>
      <c r="T78" s="332" t="s">
        <v>1969</v>
      </c>
      <c r="U78" s="332" t="s">
        <v>1970</v>
      </c>
      <c r="V78" s="332" t="s">
        <v>1971</v>
      </c>
      <c r="W78" s="436" t="s">
        <v>1972</v>
      </c>
      <c r="X78" s="436"/>
      <c r="Y78" s="782"/>
      <c r="Z78" s="782"/>
      <c r="AA78" s="782"/>
      <c r="AB78" s="782"/>
      <c r="AC78" s="782"/>
      <c r="AD78" s="782"/>
      <c r="AE78" s="782"/>
      <c r="AF78" s="332"/>
      <c r="AG78" s="332" t="s">
        <v>1973</v>
      </c>
      <c r="AH78" s="332" t="s">
        <v>1974</v>
      </c>
      <c r="AI78" s="439" t="s">
        <v>1975</v>
      </c>
      <c r="AJ78" s="332" t="s">
        <v>1976</v>
      </c>
      <c r="AK78" s="332" t="s">
        <v>1977</v>
      </c>
      <c r="AL78" s="782" t="s">
        <v>1978</v>
      </c>
      <c r="AM78" s="782"/>
      <c r="AN78" s="782"/>
      <c r="AO78" s="782"/>
      <c r="AP78" s="782"/>
      <c r="AQ78" s="332"/>
      <c r="AR78" s="782" t="s">
        <v>2342</v>
      </c>
      <c r="AS78" s="782"/>
      <c r="AT78" s="782"/>
      <c r="AU78" s="782"/>
      <c r="AV78" s="782"/>
      <c r="AW78" s="782"/>
      <c r="AX78" s="782"/>
      <c r="AY78" s="332"/>
      <c r="AZ78" s="332"/>
      <c r="BA78" s="332"/>
      <c r="BB78" s="332"/>
      <c r="BC78" s="332"/>
      <c r="BD78" s="332"/>
      <c r="BE78" s="332"/>
      <c r="BF78" s="332"/>
      <c r="BG78" s="332"/>
      <c r="BH78" s="332"/>
      <c r="BI78" s="332"/>
      <c r="BJ78" s="332" t="s">
        <v>2343</v>
      </c>
      <c r="BK78" s="332"/>
      <c r="BL78" s="332"/>
      <c r="BM78" s="332"/>
      <c r="BN78" s="332"/>
      <c r="BO78" s="332" t="s">
        <v>1980</v>
      </c>
      <c r="BP78" s="782" t="s">
        <v>1981</v>
      </c>
      <c r="BQ78" s="782"/>
      <c r="BR78" s="332"/>
      <c r="BS78" s="332"/>
      <c r="BT78" s="332"/>
      <c r="BU78" s="332"/>
      <c r="BV78" s="332"/>
      <c r="BW78" s="332"/>
      <c r="BX78" s="332"/>
      <c r="BY78" s="332"/>
      <c r="BZ78" s="332"/>
      <c r="CA78" s="332"/>
      <c r="CB78" s="332"/>
      <c r="CC78" s="332"/>
      <c r="CD78" s="332"/>
      <c r="CE78" s="332"/>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row>
    <row r="79" spans="1:120" ht="25.5">
      <c r="A79" s="6" t="s">
        <v>2344</v>
      </c>
      <c r="B79" s="783" t="s">
        <v>2345</v>
      </c>
      <c r="C79" s="332" t="s">
        <v>2108</v>
      </c>
      <c r="D79" s="332"/>
      <c r="E79" s="332"/>
      <c r="F79" s="332" t="s">
        <v>1931</v>
      </c>
      <c r="G79" s="332" t="s">
        <v>1932</v>
      </c>
      <c r="H79" s="332"/>
      <c r="I79" s="332"/>
      <c r="J79" s="332"/>
      <c r="K79" s="332"/>
      <c r="L79" s="332" t="s">
        <v>2346</v>
      </c>
      <c r="M79" s="332" t="s">
        <v>2174</v>
      </c>
      <c r="N79" s="332" t="s">
        <v>1935</v>
      </c>
      <c r="O79" s="332"/>
      <c r="P79" s="332"/>
      <c r="Q79" s="332"/>
      <c r="R79" s="332"/>
      <c r="S79" s="332"/>
      <c r="T79" s="332"/>
      <c r="U79" s="332"/>
      <c r="V79" s="332"/>
      <c r="W79" s="332"/>
      <c r="X79" s="332"/>
      <c r="Y79" s="332"/>
      <c r="Z79" s="332"/>
      <c r="AA79" s="332"/>
      <c r="AB79" s="332"/>
      <c r="AC79" s="332"/>
      <c r="AD79" s="332"/>
      <c r="AE79" s="332"/>
      <c r="AF79" s="332"/>
      <c r="AG79" s="332" t="s">
        <v>2347</v>
      </c>
      <c r="AH79" s="332" t="s">
        <v>2348</v>
      </c>
      <c r="AI79" s="332" t="s">
        <v>2349</v>
      </c>
      <c r="AJ79" s="332" t="s">
        <v>2350</v>
      </c>
      <c r="AK79" s="782" t="s">
        <v>2351</v>
      </c>
      <c r="AL79" s="332"/>
      <c r="AM79" s="332" t="s">
        <v>2352</v>
      </c>
      <c r="AN79" s="436" t="s">
        <v>1960</v>
      </c>
      <c r="AO79" s="439"/>
      <c r="AP79" s="439"/>
      <c r="AQ79" s="439"/>
      <c r="AR79" s="439"/>
      <c r="AS79" s="439"/>
      <c r="AT79" s="439"/>
      <c r="AU79" s="439"/>
      <c r="AV79" s="332"/>
      <c r="AW79" s="332"/>
      <c r="AX79" s="332"/>
      <c r="AY79" s="332"/>
      <c r="AZ79" s="332"/>
      <c r="BA79" s="332"/>
      <c r="BB79" s="332"/>
      <c r="BC79" s="332"/>
      <c r="BD79" s="332"/>
      <c r="BE79" s="332"/>
      <c r="BF79" s="332"/>
      <c r="BG79" s="332"/>
      <c r="BH79" s="332"/>
      <c r="BI79" s="332"/>
      <c r="BJ79" s="332"/>
      <c r="BK79" s="332"/>
      <c r="BL79" s="332"/>
      <c r="BM79" s="332"/>
      <c r="BN79" s="332"/>
      <c r="BO79" s="332"/>
      <c r="BP79" s="332"/>
      <c r="BQ79" s="332"/>
      <c r="BR79" s="332"/>
      <c r="BS79" s="332"/>
      <c r="BT79" s="332"/>
      <c r="BU79" s="332"/>
      <c r="BV79" s="332"/>
      <c r="BW79" s="332"/>
      <c r="BX79" s="332"/>
      <c r="BY79" s="332"/>
      <c r="BZ79" s="332"/>
      <c r="CA79" s="332"/>
      <c r="CB79" s="332" t="s">
        <v>2204</v>
      </c>
      <c r="CC79" s="444" t="s">
        <v>2205</v>
      </c>
      <c r="CD79" s="782"/>
      <c r="CE79" s="782"/>
      <c r="CF79" s="782"/>
      <c r="CG79" s="782"/>
      <c r="CH79" s="782"/>
      <c r="CI79" s="782"/>
      <c r="CJ79" s="782"/>
      <c r="CK79" s="782"/>
      <c r="CL79" s="782"/>
      <c r="CM79" s="78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row>
    <row r="80" spans="1:120" ht="25.5">
      <c r="A80" s="6" t="s">
        <v>2353</v>
      </c>
      <c r="B80" s="783" t="s">
        <v>2354</v>
      </c>
      <c r="C80" s="332" t="s">
        <v>2355</v>
      </c>
      <c r="D80" s="332"/>
      <c r="E80" s="332"/>
      <c r="F80" s="437" t="s">
        <v>2356</v>
      </c>
      <c r="G80" s="332" t="s">
        <v>2357</v>
      </c>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c r="BK80" s="332"/>
      <c r="BL80" s="332"/>
      <c r="BM80" s="332"/>
      <c r="BN80" s="332"/>
      <c r="BO80" s="332"/>
      <c r="BP80" s="332"/>
      <c r="BQ80" s="332"/>
      <c r="BR80" s="332"/>
      <c r="BS80" s="332"/>
      <c r="BT80" s="332"/>
      <c r="BU80" s="332"/>
      <c r="BV80" s="332"/>
      <c r="BW80" s="332"/>
      <c r="BX80" s="332"/>
      <c r="BY80" s="332"/>
      <c r="BZ80" s="332"/>
      <c r="CA80" s="332"/>
      <c r="CB80" s="332"/>
      <c r="CC80" s="332"/>
      <c r="CD80" s="332"/>
      <c r="CE80" s="332"/>
      <c r="CF80" s="332"/>
      <c r="CG80" s="332"/>
      <c r="CH80" s="332"/>
      <c r="CI80" s="332"/>
      <c r="CJ80" s="332"/>
      <c r="CK80" s="332"/>
      <c r="CL80" s="332"/>
      <c r="CM80" s="332"/>
      <c r="CN80" s="332"/>
      <c r="CO80" s="332"/>
      <c r="CP80" s="332"/>
      <c r="CQ80" s="332"/>
      <c r="CR80" s="332"/>
      <c r="CS80" s="332"/>
      <c r="CT80" s="332"/>
      <c r="CU80" s="332"/>
      <c r="CV80" s="332"/>
      <c r="CW80" s="332"/>
      <c r="CX80" s="332"/>
      <c r="CY80" s="332"/>
      <c r="CZ80" s="332"/>
      <c r="DA80" s="332"/>
      <c r="DB80" s="332"/>
      <c r="DC80" s="332"/>
      <c r="DD80" s="332"/>
      <c r="DE80" s="332"/>
      <c r="DF80" s="332"/>
      <c r="DG80" s="332"/>
      <c r="DH80" s="332"/>
      <c r="DI80" s="332"/>
      <c r="DJ80" s="332"/>
      <c r="DK80" s="332"/>
      <c r="DL80" s="332"/>
      <c r="DM80" s="332"/>
      <c r="DN80" s="332"/>
      <c r="DO80" s="332"/>
      <c r="DP80" s="332"/>
    </row>
    <row r="81" spans="1:120" ht="12.75">
      <c r="A81" s="6" t="s">
        <v>2358</v>
      </c>
      <c r="B81" s="783"/>
      <c r="C81" s="332"/>
      <c r="D81" s="332"/>
      <c r="E81" s="332"/>
      <c r="F81" s="437"/>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c r="BJ81" s="332"/>
      <c r="BK81" s="332"/>
      <c r="BL81" s="332"/>
      <c r="BM81" s="332"/>
      <c r="BN81" s="332"/>
      <c r="BO81" s="332"/>
      <c r="BP81" s="332"/>
      <c r="BQ81" s="332"/>
      <c r="BR81" s="332"/>
      <c r="BS81" s="332"/>
      <c r="BT81" s="332"/>
      <c r="BU81" s="332"/>
      <c r="BV81" s="332"/>
      <c r="BW81" s="332"/>
      <c r="BX81" s="332"/>
      <c r="BY81" s="332"/>
      <c r="BZ81" s="332"/>
      <c r="CA81" s="332"/>
      <c r="CB81" s="332"/>
      <c r="CC81" s="332"/>
      <c r="CD81" s="332"/>
      <c r="CE81" s="332"/>
      <c r="CF81" s="332"/>
      <c r="CG81" s="332"/>
      <c r="CH81" s="332"/>
      <c r="CI81" s="332"/>
      <c r="CJ81" s="332"/>
      <c r="CK81" s="332"/>
      <c r="CL81" s="332"/>
      <c r="CM81" s="782" t="s">
        <v>2359</v>
      </c>
      <c r="CN81" s="332"/>
      <c r="CO81" s="782" t="s">
        <v>2360</v>
      </c>
      <c r="CP81" s="782"/>
      <c r="CQ81" s="782"/>
      <c r="CR81" s="782"/>
      <c r="CS81" s="782"/>
      <c r="CT81" s="782"/>
      <c r="CU81" s="332"/>
      <c r="CV81" s="332"/>
      <c r="CW81" s="332"/>
      <c r="CX81" s="332"/>
      <c r="CY81" s="332"/>
      <c r="CZ81" s="332"/>
      <c r="DA81" s="332"/>
      <c r="DB81" s="332"/>
      <c r="DC81" s="332"/>
      <c r="DD81" s="332"/>
      <c r="DE81" s="332"/>
      <c r="DF81" s="332"/>
      <c r="DG81" s="332"/>
      <c r="DH81" s="332"/>
      <c r="DI81" s="332"/>
      <c r="DJ81" s="332"/>
      <c r="DK81" s="332"/>
      <c r="DL81" s="332"/>
      <c r="DM81" s="332"/>
      <c r="DN81" s="332"/>
      <c r="DO81" s="332"/>
      <c r="DP81" s="332"/>
    </row>
    <row r="82" spans="1:120" ht="12.75">
      <c r="A82" s="148" t="s">
        <v>2361</v>
      </c>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t="s">
        <v>2362</v>
      </c>
      <c r="BH82" s="332"/>
      <c r="BI82" s="332" t="s">
        <v>2363</v>
      </c>
      <c r="BJ82" s="332"/>
      <c r="BK82" s="332"/>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c r="CM82" s="782" t="s">
        <v>2364</v>
      </c>
      <c r="CN82" s="332"/>
      <c r="CO82" s="332" t="s">
        <v>2365</v>
      </c>
      <c r="CP82" s="332"/>
      <c r="CQ82" s="332"/>
      <c r="CR82" s="332"/>
      <c r="CS82" s="332" t="s">
        <v>1911</v>
      </c>
      <c r="CT82" s="332" t="s">
        <v>1912</v>
      </c>
      <c r="CU82" s="332"/>
      <c r="CV82" s="332"/>
      <c r="CW82" s="332"/>
      <c r="CX82" s="332"/>
      <c r="CY82" s="332"/>
      <c r="CZ82" s="332"/>
      <c r="DA82" s="332"/>
      <c r="DB82" s="332"/>
      <c r="DC82" s="332"/>
      <c r="DD82" s="332"/>
      <c r="DE82" s="332"/>
      <c r="DF82" s="332"/>
      <c r="DG82" s="332"/>
      <c r="DH82" s="332"/>
      <c r="DI82" s="332"/>
      <c r="DJ82" s="332"/>
      <c r="DK82" s="332"/>
      <c r="DL82" s="332"/>
      <c r="DM82" s="332"/>
      <c r="DN82" s="332"/>
      <c r="DO82" s="332"/>
      <c r="DP82" s="332"/>
    </row>
    <row r="83" spans="1:120" ht="12.75">
      <c r="A83" s="6" t="s">
        <v>2366</v>
      </c>
      <c r="B83" s="783"/>
      <c r="C83" s="332"/>
      <c r="D83" s="332"/>
      <c r="E83" s="332"/>
      <c r="F83" s="440"/>
      <c r="G83" s="332"/>
      <c r="H83" s="332"/>
      <c r="I83" s="332"/>
      <c r="J83" s="332"/>
      <c r="K83" s="332"/>
      <c r="L83" s="332"/>
      <c r="M83" s="440"/>
      <c r="N83" s="440"/>
      <c r="O83" s="332"/>
      <c r="P83" s="332"/>
      <c r="Q83" s="332"/>
      <c r="R83" s="332"/>
      <c r="S83" s="332"/>
      <c r="T83" s="332"/>
      <c r="U83" s="332"/>
      <c r="V83" s="332"/>
      <c r="W83" s="332"/>
      <c r="X83" s="332" t="s">
        <v>2367</v>
      </c>
      <c r="Y83" s="332" t="s">
        <v>2368</v>
      </c>
      <c r="Z83" s="439" t="s">
        <v>2090</v>
      </c>
      <c r="AA83" s="332" t="s">
        <v>2369</v>
      </c>
      <c r="AB83" s="332" t="s">
        <v>2370</v>
      </c>
      <c r="AC83" s="332" t="s">
        <v>2371</v>
      </c>
      <c r="AD83" s="332" t="s">
        <v>2372</v>
      </c>
      <c r="AE83" s="332" t="s">
        <v>2373</v>
      </c>
      <c r="AF83" s="782" t="s">
        <v>2374</v>
      </c>
      <c r="AG83" s="782"/>
      <c r="AH83" s="332"/>
      <c r="AI83" s="332"/>
      <c r="AJ83" s="332"/>
      <c r="AK83" s="332"/>
      <c r="AL83" s="332"/>
      <c r="AM83" s="332"/>
      <c r="AN83" s="332"/>
      <c r="AO83" s="332"/>
      <c r="AP83" s="332"/>
      <c r="AQ83" s="332"/>
      <c r="AR83" s="332"/>
      <c r="AS83" s="332"/>
      <c r="AT83" s="332"/>
      <c r="AU83" s="332"/>
      <c r="AV83" s="332"/>
      <c r="AW83" s="332"/>
      <c r="AX83" s="332"/>
      <c r="AY83" s="332"/>
      <c r="AZ83" s="332"/>
      <c r="BA83" s="332"/>
      <c r="BB83" s="332"/>
      <c r="BC83" s="332"/>
      <c r="BD83" s="332"/>
      <c r="BE83" s="332"/>
      <c r="BF83" s="332"/>
      <c r="BG83" s="332"/>
      <c r="BH83" s="332"/>
      <c r="BI83" s="332"/>
      <c r="BJ83" s="332"/>
      <c r="BK83" s="332"/>
      <c r="BL83" s="332"/>
      <c r="BM83" s="332"/>
      <c r="BN83" s="332"/>
      <c r="BO83" s="332"/>
      <c r="BP83" s="332"/>
      <c r="BQ83" s="332"/>
      <c r="BR83" s="332"/>
      <c r="BS83" s="332"/>
      <c r="BT83" s="332"/>
      <c r="BU83" s="332"/>
      <c r="BV83" s="332"/>
      <c r="BW83" s="332"/>
      <c r="BX83" s="332"/>
      <c r="BY83" s="332"/>
      <c r="BZ83" s="332"/>
      <c r="CA83" s="332"/>
      <c r="CB83" s="332"/>
      <c r="CC83" s="332"/>
      <c r="CD83" s="332"/>
      <c r="CE83" s="332"/>
      <c r="CF83" s="332"/>
      <c r="CG83" s="332"/>
      <c r="CH83" s="332"/>
      <c r="CI83" s="332"/>
      <c r="CJ83" s="332"/>
      <c r="CK83" s="332"/>
      <c r="CL83" s="332"/>
      <c r="CM83" s="332"/>
      <c r="CN83" s="332"/>
      <c r="CO83" s="332"/>
      <c r="CP83" s="332"/>
      <c r="CQ83" s="332"/>
      <c r="CR83" s="332"/>
      <c r="CS83" s="332"/>
      <c r="CT83" s="332"/>
      <c r="CU83" s="332"/>
      <c r="CV83" s="332"/>
      <c r="CW83" s="332"/>
      <c r="CX83" s="332"/>
      <c r="CY83" s="332"/>
      <c r="CZ83" s="332"/>
      <c r="DA83" s="332"/>
      <c r="DB83" s="332"/>
      <c r="DC83" s="332"/>
      <c r="DD83" s="332"/>
      <c r="DE83" s="332"/>
      <c r="DF83" s="332"/>
      <c r="DG83" s="332"/>
      <c r="DH83" s="332"/>
      <c r="DI83" s="332"/>
      <c r="DJ83" s="332"/>
      <c r="DK83" s="332"/>
      <c r="DL83" s="332"/>
      <c r="DM83" s="332"/>
      <c r="DN83" s="332"/>
      <c r="DO83" s="332"/>
      <c r="DP83" s="332"/>
    </row>
    <row r="84" spans="1:120" ht="12.75">
      <c r="A84" s="148" t="s">
        <v>2375</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32"/>
      <c r="BF84" s="332"/>
      <c r="BG84" s="332"/>
      <c r="BH84" s="332" t="s">
        <v>2376</v>
      </c>
      <c r="BI84" s="332" t="s">
        <v>2377</v>
      </c>
      <c r="BJ84" s="332"/>
      <c r="BK84" s="332"/>
      <c r="BL84" s="332"/>
      <c r="BM84" s="332"/>
      <c r="BN84" s="332"/>
      <c r="BO84" s="332"/>
      <c r="BP84" s="332"/>
      <c r="BQ84" s="332"/>
      <c r="BR84" s="332"/>
      <c r="BS84" s="332"/>
      <c r="BT84" s="332"/>
      <c r="BU84" s="332"/>
      <c r="BV84" s="332"/>
      <c r="BW84" s="332"/>
      <c r="BX84" s="332"/>
      <c r="BY84" s="332"/>
      <c r="BZ84" s="332"/>
      <c r="CA84" s="332"/>
      <c r="CB84" s="332"/>
      <c r="CC84" s="332"/>
      <c r="CD84" s="332"/>
      <c r="CE84" s="332"/>
      <c r="CF84" s="332"/>
      <c r="CG84" s="332"/>
      <c r="CH84" s="332"/>
      <c r="CI84" s="332"/>
      <c r="CJ84" s="332"/>
      <c r="CK84" s="332"/>
      <c r="CL84" s="332"/>
      <c r="CM84" s="332"/>
      <c r="CN84" s="332" t="s">
        <v>2378</v>
      </c>
      <c r="CO84" s="782" t="s">
        <v>2379</v>
      </c>
      <c r="CP84" s="782"/>
      <c r="CQ84" s="782"/>
      <c r="CR84" s="332"/>
      <c r="CS84" s="332" t="s">
        <v>2380</v>
      </c>
      <c r="CT84" s="782" t="s">
        <v>2381</v>
      </c>
      <c r="CU84" s="782"/>
      <c r="CV84" s="782"/>
      <c r="CW84" s="782"/>
      <c r="CX84" s="782"/>
      <c r="CY84" s="782"/>
      <c r="CZ84" s="332"/>
      <c r="DA84" s="332"/>
      <c r="DB84" s="332"/>
      <c r="DC84" s="332"/>
      <c r="DD84" s="332"/>
      <c r="DE84" s="332"/>
      <c r="DF84" s="332"/>
      <c r="DG84" s="332"/>
      <c r="DH84" s="332"/>
      <c r="DI84" s="332"/>
      <c r="DJ84" s="332"/>
      <c r="DK84" s="332"/>
      <c r="DL84" s="332"/>
      <c r="DM84" s="332"/>
      <c r="DN84" s="332"/>
      <c r="DO84" s="332"/>
      <c r="DP84" s="332"/>
    </row>
    <row r="85" spans="1:120" ht="12.75">
      <c r="A85" s="148" t="s">
        <v>2382</v>
      </c>
      <c r="B85" s="440" t="s">
        <v>2383</v>
      </c>
      <c r="C85" s="332" t="s">
        <v>2384</v>
      </c>
      <c r="D85" s="332"/>
      <c r="E85" s="332"/>
      <c r="F85" s="332"/>
      <c r="G85" s="332"/>
      <c r="H85" s="332"/>
      <c r="I85" s="332"/>
      <c r="J85" s="332"/>
      <c r="K85" s="332"/>
      <c r="L85" s="332" t="s">
        <v>1799</v>
      </c>
      <c r="M85" s="332" t="s">
        <v>2385</v>
      </c>
      <c r="N85" s="332" t="s">
        <v>2386</v>
      </c>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32"/>
      <c r="AQ85" s="332"/>
      <c r="AR85" s="332"/>
      <c r="AS85" s="332"/>
      <c r="AT85" s="332"/>
      <c r="AU85" s="332"/>
      <c r="AV85" s="332"/>
      <c r="AW85" s="332"/>
      <c r="AX85" s="332"/>
      <c r="AY85" s="332"/>
      <c r="AZ85" s="332"/>
      <c r="BA85" s="332"/>
      <c r="BB85" s="332"/>
      <c r="BC85" s="332"/>
      <c r="BD85" s="332"/>
      <c r="BE85" s="332"/>
      <c r="BF85" s="332"/>
      <c r="BG85" s="332"/>
      <c r="BH85" s="332"/>
      <c r="BI85" s="332"/>
      <c r="BJ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c r="CR85" s="332"/>
      <c r="CS85" s="332"/>
      <c r="CT85" s="332"/>
      <c r="CU85" s="332"/>
      <c r="CV85" s="332"/>
      <c r="CW85" s="332"/>
      <c r="CX85" s="332"/>
      <c r="CY85" s="332"/>
      <c r="CZ85" s="332"/>
      <c r="DA85" s="332"/>
      <c r="DB85" s="332"/>
      <c r="DC85" s="332"/>
      <c r="DD85" s="332"/>
      <c r="DE85" s="332"/>
      <c r="DF85" s="332"/>
      <c r="DG85" s="332"/>
      <c r="DH85" s="332"/>
      <c r="DI85" s="332"/>
      <c r="DJ85" s="332"/>
      <c r="DK85" s="332"/>
      <c r="DL85" s="332"/>
      <c r="DM85" s="332"/>
      <c r="DN85" s="332"/>
      <c r="DO85" s="332"/>
      <c r="DP85" s="332"/>
    </row>
    <row r="86" spans="1:120" ht="12.75">
      <c r="A86" s="148" t="s">
        <v>2387</v>
      </c>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t="s">
        <v>2388</v>
      </c>
      <c r="AP86" s="782" t="s">
        <v>2389</v>
      </c>
      <c r="AQ86" s="782"/>
      <c r="AR86" s="332"/>
      <c r="AS86" s="332" t="s">
        <v>2390</v>
      </c>
      <c r="AT86" s="782" t="s">
        <v>2391</v>
      </c>
      <c r="AU86" s="782"/>
      <c r="AV86" s="782"/>
      <c r="AW86" s="782"/>
      <c r="AX86" s="782"/>
      <c r="AY86" s="782"/>
      <c r="AZ86" s="782"/>
      <c r="BA86" s="782"/>
      <c r="BB86" s="782"/>
      <c r="BC86" s="782"/>
      <c r="BD86" s="782"/>
      <c r="BE86" s="782"/>
      <c r="BF86" s="782"/>
      <c r="BG86" s="782"/>
      <c r="BH86" s="332"/>
      <c r="BI86" s="332"/>
      <c r="BJ86" s="332"/>
      <c r="BK86" s="332"/>
      <c r="BL86" s="332"/>
      <c r="BM86" s="332"/>
      <c r="BN86" s="332"/>
      <c r="BO86" s="332"/>
      <c r="BP86" s="332"/>
      <c r="BQ86" s="332"/>
      <c r="BR86" s="332"/>
      <c r="BS86" s="332"/>
      <c r="BT86" s="332"/>
      <c r="BU86" s="332"/>
      <c r="BV86" s="332"/>
      <c r="BW86" s="332"/>
      <c r="BX86" s="332"/>
      <c r="BY86" s="332"/>
      <c r="BZ86" s="332"/>
      <c r="CA86" s="332"/>
      <c r="CB86" s="332"/>
      <c r="CC86" s="332"/>
      <c r="CD86" s="332"/>
      <c r="CE86" s="332"/>
      <c r="CF86" s="332"/>
      <c r="CG86" s="332"/>
      <c r="CH86" s="332"/>
      <c r="CI86" s="332"/>
      <c r="CJ86" s="332"/>
      <c r="CK86" s="332"/>
      <c r="CL86" s="332"/>
      <c r="CM86" s="332"/>
      <c r="CN86" s="332"/>
      <c r="CO86" s="332"/>
      <c r="CP86" s="332"/>
      <c r="CQ86" s="332"/>
      <c r="CR86" s="332"/>
      <c r="CS86" s="332"/>
      <c r="CT86" s="332"/>
      <c r="CU86" s="332"/>
      <c r="CV86" s="332"/>
      <c r="CW86" s="332"/>
      <c r="CX86" s="332"/>
      <c r="CY86" s="332"/>
      <c r="CZ86" s="332"/>
      <c r="DA86" s="332"/>
      <c r="DB86" s="332"/>
      <c r="DC86" s="332"/>
      <c r="DD86" s="332"/>
      <c r="DE86" s="332"/>
      <c r="DF86" s="332"/>
      <c r="DG86" s="332"/>
      <c r="DH86" s="332"/>
      <c r="DI86" s="332"/>
      <c r="DJ86" s="332"/>
      <c r="DK86" s="332"/>
      <c r="DL86" s="332"/>
      <c r="DM86" s="332"/>
      <c r="DN86" s="332"/>
      <c r="DO86" s="332"/>
      <c r="DP86" s="332"/>
    </row>
    <row r="87" spans="1:120" ht="12.75">
      <c r="A87" s="6" t="s">
        <v>83</v>
      </c>
      <c r="B87" s="440" t="s">
        <v>2392</v>
      </c>
      <c r="C87" s="332" t="s">
        <v>2393</v>
      </c>
      <c r="D87" s="332"/>
      <c r="E87" s="332"/>
      <c r="F87" s="332" t="s">
        <v>2394</v>
      </c>
      <c r="G87" s="332" t="s">
        <v>2047</v>
      </c>
      <c r="H87" s="332"/>
      <c r="I87" s="332"/>
      <c r="J87" s="332"/>
      <c r="K87" s="332"/>
      <c r="L87" s="332"/>
      <c r="M87" s="332"/>
      <c r="N87" s="332"/>
      <c r="O87" s="332"/>
      <c r="P87" s="332"/>
      <c r="Q87" s="332"/>
      <c r="R87" s="332"/>
      <c r="S87" s="332"/>
      <c r="T87" s="332"/>
      <c r="U87" s="332"/>
      <c r="V87" s="332"/>
      <c r="W87" s="332"/>
      <c r="X87" s="332"/>
      <c r="Y87" s="332"/>
      <c r="Z87" s="332"/>
      <c r="AA87" s="332"/>
      <c r="AB87" s="332"/>
      <c r="AC87" s="332"/>
      <c r="AD87" s="332"/>
      <c r="AE87" s="332"/>
      <c r="AF87" s="332"/>
      <c r="AG87" s="332"/>
      <c r="AH87" s="332"/>
      <c r="AI87" s="332"/>
      <c r="AJ87" s="332"/>
      <c r="AK87" s="332"/>
      <c r="AL87" s="332"/>
      <c r="AM87" s="332"/>
      <c r="AN87" s="332"/>
      <c r="AO87" s="332"/>
      <c r="AP87" s="332"/>
      <c r="AQ87" s="332"/>
      <c r="AR87" s="332"/>
      <c r="AS87" s="332"/>
      <c r="AT87" s="332"/>
      <c r="AU87" s="332"/>
      <c r="AV87" s="332"/>
      <c r="AW87" s="332"/>
      <c r="AX87" s="332"/>
      <c r="AY87" s="332"/>
      <c r="AZ87" s="332"/>
      <c r="BA87" s="332"/>
      <c r="BB87" s="332"/>
      <c r="BC87" s="332"/>
      <c r="BD87" s="332"/>
      <c r="BE87" s="332"/>
      <c r="BF87" s="332"/>
      <c r="BG87" s="332"/>
      <c r="BH87" s="332"/>
      <c r="BI87" s="332"/>
      <c r="BJ87" s="332"/>
      <c r="BK87" s="332"/>
      <c r="BL87" s="332"/>
      <c r="BM87" s="332"/>
      <c r="BN87" s="332"/>
      <c r="BO87" s="332"/>
      <c r="BP87" s="332"/>
      <c r="BQ87" s="332"/>
      <c r="BR87" s="332"/>
      <c r="BS87" s="332"/>
      <c r="BT87" s="332"/>
      <c r="BU87" s="332"/>
      <c r="BV87" s="332"/>
      <c r="BW87" s="332"/>
      <c r="BX87" s="332"/>
      <c r="BY87" s="332"/>
      <c r="BZ87" s="332"/>
      <c r="CA87" s="332"/>
      <c r="CB87" s="332"/>
      <c r="CC87" s="332"/>
      <c r="CD87" s="332"/>
      <c r="CE87" s="332"/>
      <c r="CF87" s="332"/>
      <c r="CG87" s="332"/>
      <c r="CH87" s="332"/>
      <c r="CI87" s="332"/>
      <c r="CJ87" s="332"/>
      <c r="CK87" s="332"/>
      <c r="CL87" s="332"/>
      <c r="CM87" s="332"/>
      <c r="CN87" s="332" t="s">
        <v>2395</v>
      </c>
      <c r="CO87" s="782" t="s">
        <v>2396</v>
      </c>
      <c r="CP87" s="332"/>
      <c r="CQ87" s="332"/>
      <c r="CR87" s="332"/>
      <c r="CS87" s="332"/>
      <c r="CT87" s="332"/>
      <c r="CU87" s="332"/>
      <c r="CV87" s="332"/>
      <c r="CW87" s="332"/>
      <c r="CX87" s="332"/>
      <c r="CY87" s="332"/>
      <c r="CZ87" s="332"/>
      <c r="DA87" s="332"/>
      <c r="DB87" s="332"/>
      <c r="DC87" s="332"/>
      <c r="DD87" s="332"/>
      <c r="DE87" s="332"/>
      <c r="DF87" s="332"/>
      <c r="DG87" s="332"/>
      <c r="DH87" s="332"/>
      <c r="DI87" s="332"/>
      <c r="DJ87" s="332"/>
      <c r="DK87" s="332"/>
      <c r="DL87" s="332"/>
      <c r="DM87" s="332"/>
      <c r="DN87" s="332"/>
      <c r="DO87" s="332"/>
      <c r="DP87" s="332"/>
    </row>
    <row r="88" spans="1:120" ht="12.75">
      <c r="A88" s="148" t="s">
        <v>2397</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32"/>
      <c r="AQ88" s="332"/>
      <c r="AR88" s="332"/>
      <c r="AS88" s="332"/>
      <c r="AT88" s="332"/>
      <c r="AU88" s="332"/>
      <c r="AV88" s="332"/>
      <c r="AW88" s="332"/>
      <c r="AX88" s="332"/>
      <c r="AY88" s="332"/>
      <c r="AZ88" s="332"/>
      <c r="BA88" s="332"/>
      <c r="BB88" s="332"/>
      <c r="BC88" s="332"/>
      <c r="BD88" s="332"/>
      <c r="BE88" s="332"/>
      <c r="BF88" s="332"/>
      <c r="BG88" s="332"/>
      <c r="BH88" s="332"/>
      <c r="BI88" s="332"/>
      <c r="BJ88" s="332"/>
      <c r="BK88" s="332"/>
      <c r="BL88" s="332"/>
      <c r="BM88" s="332"/>
      <c r="BN88" s="332"/>
      <c r="BO88" s="438" t="s">
        <v>1926</v>
      </c>
      <c r="BP88" s="439" t="s">
        <v>1927</v>
      </c>
      <c r="BQ88" s="332" t="s">
        <v>1928</v>
      </c>
      <c r="BR88" s="332"/>
      <c r="BS88" s="332"/>
      <c r="BT88" s="332"/>
      <c r="BU88" s="332"/>
      <c r="BV88" s="332"/>
      <c r="BW88" s="332"/>
      <c r="BX88" s="332"/>
      <c r="BY88" s="332"/>
      <c r="BZ88" s="332"/>
      <c r="CA88" s="332"/>
      <c r="CB88" s="332"/>
      <c r="CC88" s="332"/>
      <c r="CD88" s="332"/>
      <c r="CE88" s="332"/>
      <c r="CF88" s="332"/>
      <c r="CG88" s="332"/>
      <c r="CH88" s="332"/>
      <c r="CI88" s="332"/>
      <c r="CJ88" s="332"/>
      <c r="CK88" s="332"/>
      <c r="CL88" s="332"/>
      <c r="CM88" s="332"/>
      <c r="CN88" s="332"/>
      <c r="CO88" s="332"/>
      <c r="CP88" s="332"/>
      <c r="CQ88" s="332"/>
      <c r="CR88" s="332"/>
      <c r="CS88" s="332" t="s">
        <v>1920</v>
      </c>
      <c r="CT88" s="782" t="s">
        <v>1921</v>
      </c>
      <c r="CU88" s="782"/>
      <c r="CV88" s="782"/>
      <c r="CW88" s="332"/>
      <c r="CX88" s="332"/>
      <c r="CY88" s="332"/>
      <c r="CZ88" s="332"/>
      <c r="DA88" s="332"/>
      <c r="DB88" s="332"/>
      <c r="DC88" s="332"/>
      <c r="DD88" s="332"/>
      <c r="DE88" s="332"/>
      <c r="DF88" s="332"/>
      <c r="DG88" s="332"/>
      <c r="DH88" s="332"/>
      <c r="DI88" s="332"/>
      <c r="DJ88" s="332"/>
      <c r="DK88" s="332"/>
      <c r="DL88" s="332"/>
      <c r="DM88" s="332"/>
      <c r="DN88" s="332"/>
      <c r="DO88" s="332"/>
      <c r="DP88" s="332"/>
    </row>
    <row r="89" spans="1:120" ht="12.75">
      <c r="A89" s="148" t="s">
        <v>2398</v>
      </c>
      <c r="B89" s="332"/>
      <c r="C89" s="78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332"/>
      <c r="BI89" s="332"/>
      <c r="BJ89" s="332"/>
      <c r="BK89" s="332"/>
      <c r="BL89" s="332"/>
      <c r="BM89" s="332"/>
      <c r="BN89" s="332"/>
      <c r="BO89" s="332" t="s">
        <v>2399</v>
      </c>
      <c r="BP89" s="332" t="s">
        <v>1981</v>
      </c>
      <c r="BQ89" s="332"/>
      <c r="BR89" s="332"/>
      <c r="BS89" s="332"/>
      <c r="BT89" s="332"/>
      <c r="BU89" s="332"/>
      <c r="BV89" s="332"/>
      <c r="BW89" s="332"/>
      <c r="BX89" s="332"/>
      <c r="BY89" s="332"/>
      <c r="BZ89" s="332"/>
      <c r="CA89" s="332"/>
      <c r="CB89" s="332"/>
      <c r="CC89" s="332"/>
      <c r="CD89" s="332"/>
      <c r="CE89" s="332"/>
      <c r="CF89" s="332"/>
      <c r="CG89" s="332"/>
      <c r="CH89" s="332"/>
      <c r="CI89" s="332"/>
      <c r="CJ89" s="332"/>
      <c r="CK89" s="332"/>
      <c r="CL89" s="332"/>
      <c r="CM89" s="332"/>
      <c r="CN89" s="332"/>
      <c r="CO89" s="332"/>
      <c r="CP89" s="332"/>
      <c r="CQ89" s="332"/>
      <c r="CR89" s="332"/>
      <c r="CS89" s="332"/>
      <c r="CT89" s="332"/>
      <c r="CU89" s="332"/>
      <c r="CV89" s="332"/>
      <c r="CW89" s="332"/>
      <c r="CX89" s="332"/>
      <c r="CY89" s="332"/>
      <c r="CZ89" s="332"/>
      <c r="DA89" s="332"/>
      <c r="DB89" s="332"/>
      <c r="DC89" s="332"/>
      <c r="DD89" s="332"/>
      <c r="DE89" s="332"/>
      <c r="DF89" s="332"/>
      <c r="DG89" s="332"/>
      <c r="DH89" s="332"/>
      <c r="DI89" s="332"/>
      <c r="DJ89" s="332"/>
      <c r="DK89" s="332"/>
      <c r="DL89" s="332"/>
      <c r="DM89" s="332"/>
      <c r="DN89" s="332"/>
      <c r="DO89" s="332"/>
      <c r="DP89" s="332"/>
    </row>
    <row r="90" spans="1:120" ht="12.75">
      <c r="A90" s="6" t="s">
        <v>402</v>
      </c>
      <c r="B90" s="332"/>
      <c r="C90" s="332"/>
      <c r="D90" s="332"/>
      <c r="E90" s="332"/>
      <c r="F90" s="332"/>
      <c r="G90" s="332"/>
      <c r="H90" s="332"/>
      <c r="I90" s="332"/>
      <c r="J90" s="332"/>
      <c r="K90" s="332"/>
      <c r="L90" s="440"/>
      <c r="M90" s="332"/>
      <c r="N90" s="440"/>
      <c r="O90" s="332"/>
      <c r="P90" s="332"/>
      <c r="Q90" s="332"/>
      <c r="R90" s="332"/>
      <c r="S90" s="332"/>
      <c r="T90" s="332"/>
      <c r="U90" s="332"/>
      <c r="V90" s="332"/>
      <c r="W90" s="439"/>
      <c r="X90" s="439"/>
      <c r="Y90" s="332"/>
      <c r="Z90" s="332"/>
      <c r="AA90" s="332"/>
      <c r="AB90" s="332"/>
      <c r="AC90" s="332"/>
      <c r="AD90" s="332"/>
      <c r="AE90" s="332"/>
      <c r="AF90" s="332"/>
      <c r="AG90" s="332"/>
      <c r="AH90" s="332"/>
      <c r="AI90" s="439"/>
      <c r="AJ90" s="332"/>
      <c r="AK90" s="332"/>
      <c r="AL90" s="332"/>
      <c r="AM90" s="332"/>
      <c r="AN90" s="332"/>
      <c r="AO90" s="332"/>
      <c r="AP90" s="332"/>
      <c r="AQ90" s="332"/>
      <c r="AR90" s="332"/>
      <c r="AS90" s="332"/>
      <c r="AT90" s="332"/>
      <c r="AU90" s="332"/>
      <c r="AV90" s="332"/>
      <c r="AW90" s="332"/>
      <c r="AX90" s="332"/>
      <c r="AY90" s="332"/>
      <c r="AZ90" s="332"/>
      <c r="BA90" s="332"/>
      <c r="BB90" s="332"/>
      <c r="BC90" s="332"/>
      <c r="BD90" s="332"/>
      <c r="BE90" s="332"/>
      <c r="BF90" s="332"/>
      <c r="BG90" s="332"/>
      <c r="BH90" s="332"/>
      <c r="BI90" s="332"/>
      <c r="BJ90" s="332"/>
      <c r="BK90" s="332"/>
      <c r="BL90" s="332"/>
      <c r="BM90" s="332"/>
      <c r="BN90" s="332"/>
      <c r="BO90" s="332" t="s">
        <v>1980</v>
      </c>
      <c r="BP90" s="782" t="s">
        <v>1981</v>
      </c>
      <c r="BQ90" s="782"/>
      <c r="BR90" s="332"/>
      <c r="BS90" s="332"/>
      <c r="BT90" s="332"/>
      <c r="BU90" s="332"/>
      <c r="BV90" s="332"/>
      <c r="BW90" s="332"/>
      <c r="BX90" s="332"/>
      <c r="BY90" s="332"/>
      <c r="BZ90" s="332"/>
      <c r="CA90" s="332"/>
      <c r="CB90" s="332"/>
      <c r="CC90" s="332"/>
      <c r="CD90" s="332"/>
      <c r="CE90" s="332"/>
      <c r="CF90" s="332"/>
      <c r="CG90" s="332"/>
      <c r="CH90" s="332"/>
      <c r="CI90" s="332"/>
      <c r="CJ90" s="332"/>
      <c r="CK90" s="332"/>
      <c r="CL90" s="332"/>
      <c r="CM90" s="332"/>
      <c r="CN90" s="332"/>
      <c r="CO90" s="332"/>
      <c r="CP90" s="332"/>
      <c r="CQ90" s="332"/>
      <c r="CR90" s="332"/>
      <c r="CS90" s="332"/>
      <c r="CT90" s="332"/>
      <c r="CU90" s="332"/>
      <c r="CV90" s="332"/>
      <c r="CW90" s="332"/>
      <c r="CX90" s="332"/>
      <c r="CY90" s="332"/>
      <c r="CZ90" s="332"/>
      <c r="DA90" s="332"/>
      <c r="DB90" s="332"/>
      <c r="DC90" s="332"/>
      <c r="DD90" s="332"/>
      <c r="DE90" s="332"/>
      <c r="DF90" s="332"/>
      <c r="DG90" s="332"/>
      <c r="DH90" s="332"/>
      <c r="DI90" s="332"/>
      <c r="DJ90" s="332"/>
      <c r="DK90" s="332"/>
      <c r="DL90" s="332"/>
      <c r="DM90" s="332"/>
      <c r="DN90" s="332"/>
      <c r="DO90" s="332"/>
      <c r="DP90" s="332"/>
    </row>
    <row r="91" spans="1:120" ht="25.5">
      <c r="A91" s="6" t="s">
        <v>301</v>
      </c>
      <c r="B91" s="783" t="s">
        <v>2400</v>
      </c>
      <c r="C91" s="332" t="s">
        <v>2401</v>
      </c>
      <c r="D91" s="332"/>
      <c r="E91" s="332"/>
      <c r="F91" s="332" t="s">
        <v>2402</v>
      </c>
      <c r="G91" s="332" t="s">
        <v>2047</v>
      </c>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c r="BJ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c r="CM91" s="332"/>
      <c r="CN91" s="332"/>
      <c r="CO91" s="332"/>
      <c r="CP91" s="332"/>
      <c r="CQ91" s="332"/>
      <c r="CR91" s="332"/>
      <c r="CS91" s="332" t="s">
        <v>1911</v>
      </c>
      <c r="CT91" s="332" t="s">
        <v>1912</v>
      </c>
      <c r="CU91" s="332"/>
      <c r="CV91" s="332"/>
      <c r="CW91" s="332"/>
      <c r="CX91" s="332"/>
      <c r="CY91" s="332"/>
      <c r="CZ91" s="332"/>
      <c r="DA91" s="332"/>
      <c r="DB91" s="332"/>
      <c r="DC91" s="332"/>
      <c r="DD91" s="332"/>
      <c r="DE91" s="332"/>
      <c r="DF91" s="332"/>
      <c r="DG91" s="332"/>
      <c r="DH91" s="332"/>
      <c r="DI91" s="332"/>
      <c r="DJ91" s="332"/>
      <c r="DK91" s="332"/>
      <c r="DL91" s="332"/>
      <c r="DM91" s="332"/>
      <c r="DN91" s="332"/>
      <c r="DO91" s="332"/>
      <c r="DP91" s="332"/>
    </row>
    <row r="92" spans="1:120" ht="12.75">
      <c r="A92" s="6" t="s">
        <v>343</v>
      </c>
      <c r="B92" s="783"/>
      <c r="C92" s="332" t="s">
        <v>2403</v>
      </c>
      <c r="D92" s="332"/>
      <c r="E92" s="332"/>
      <c r="F92" s="332" t="s">
        <v>2404</v>
      </c>
      <c r="G92" s="332" t="s">
        <v>2405</v>
      </c>
      <c r="H92" s="437" t="s">
        <v>2228</v>
      </c>
      <c r="I92" s="450" t="s">
        <v>2406</v>
      </c>
      <c r="J92" s="442"/>
      <c r="K92" s="442"/>
      <c r="L92" s="78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c r="BJ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c r="CM92" s="332"/>
      <c r="CN92" s="332"/>
      <c r="CO92" s="332"/>
      <c r="CP92" s="332"/>
      <c r="CQ92" s="332"/>
      <c r="CR92" s="332"/>
      <c r="CS92" s="332"/>
      <c r="CT92" s="332"/>
      <c r="CU92" s="332"/>
      <c r="CV92" s="332"/>
      <c r="CW92" s="332"/>
      <c r="CX92" s="332"/>
      <c r="CY92" s="332"/>
      <c r="CZ92" s="332"/>
      <c r="DA92" s="332"/>
      <c r="DB92" s="332"/>
      <c r="DC92" s="332"/>
      <c r="DD92" s="332"/>
      <c r="DE92" s="332"/>
      <c r="DF92" s="332"/>
      <c r="DG92" s="332"/>
      <c r="DH92" s="332"/>
      <c r="DI92" s="332"/>
      <c r="DJ92" s="332"/>
      <c r="DK92" s="332"/>
      <c r="DL92" s="332"/>
      <c r="DM92" s="332"/>
      <c r="DN92" s="332"/>
      <c r="DO92" s="332"/>
      <c r="DP92" s="332"/>
    </row>
    <row r="93" spans="1:120" ht="12.75">
      <c r="A93" s="6" t="s">
        <v>343</v>
      </c>
      <c r="B93" s="332"/>
      <c r="C93" s="451" t="s">
        <v>2403</v>
      </c>
      <c r="D93" s="332"/>
      <c r="E93" s="332"/>
      <c r="F93" s="332"/>
      <c r="G93" s="332"/>
      <c r="H93" s="437" t="s">
        <v>2407</v>
      </c>
      <c r="I93" s="332" t="s">
        <v>2406</v>
      </c>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row>
    <row r="94" spans="1:120" ht="35.25">
      <c r="A94" s="6" t="s">
        <v>2408</v>
      </c>
      <c r="B94" s="783"/>
      <c r="C94" s="332" t="s">
        <v>2409</v>
      </c>
      <c r="D94" s="332" t="s">
        <v>2410</v>
      </c>
      <c r="E94" s="332" t="s">
        <v>2411</v>
      </c>
      <c r="F94" s="437" t="s">
        <v>2412</v>
      </c>
      <c r="G94" s="332" t="s">
        <v>2047</v>
      </c>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c r="CM94" s="332"/>
      <c r="CN94" s="332"/>
      <c r="CO94" s="332"/>
      <c r="CP94" s="332"/>
      <c r="CQ94" s="332"/>
      <c r="CR94" s="332"/>
      <c r="CS94" s="332"/>
      <c r="CT94" s="332"/>
      <c r="CU94" s="332"/>
      <c r="CV94" s="332"/>
      <c r="CW94" s="332"/>
      <c r="CX94" s="332"/>
      <c r="CY94" s="332"/>
      <c r="CZ94" s="332"/>
      <c r="DA94" s="332"/>
      <c r="DB94" s="332"/>
      <c r="DC94" s="332"/>
      <c r="DD94" s="332"/>
      <c r="DE94" s="332"/>
      <c r="DF94" s="332"/>
      <c r="DG94" s="332"/>
      <c r="DH94" s="332"/>
      <c r="DI94" s="332"/>
      <c r="DJ94" s="332"/>
      <c r="DK94" s="332"/>
      <c r="DL94" s="332"/>
      <c r="DM94" s="332"/>
      <c r="DN94" s="332"/>
      <c r="DO94" s="332"/>
      <c r="DP94" s="332"/>
    </row>
    <row r="95" spans="1:120" ht="25.5">
      <c r="A95" s="6" t="s">
        <v>2413</v>
      </c>
      <c r="B95" s="332"/>
      <c r="C95" s="785" t="str">
        <f>HYPERLINK("https://docs.google.com/spreadsheets/d/12aDGeHd53qtftr_C99n1K-mg3JGP6lRoKcV6aA2MIIo/edit#gid=1214142331","correlated to row 167 ""sbean""")</f>
        <v>correlated to row 167 "sbean"</v>
      </c>
      <c r="D95" s="332"/>
      <c r="E95" s="332"/>
      <c r="F95" s="332" t="s">
        <v>2414</v>
      </c>
      <c r="G95" s="332" t="s">
        <v>2227</v>
      </c>
      <c r="H95" s="332" t="s">
        <v>2228</v>
      </c>
      <c r="I95" s="332" t="s">
        <v>2228</v>
      </c>
      <c r="J95" s="332"/>
      <c r="K95" s="332"/>
      <c r="L95" s="332" t="s">
        <v>2415</v>
      </c>
      <c r="M95" s="332" t="s">
        <v>2416</v>
      </c>
      <c r="N95" s="440" t="s">
        <v>2417</v>
      </c>
      <c r="O95" s="332" t="s">
        <v>2232</v>
      </c>
      <c r="P95" s="332" t="s">
        <v>2418</v>
      </c>
      <c r="Q95" s="332"/>
      <c r="R95" s="332"/>
      <c r="S95" s="332"/>
      <c r="T95" s="332"/>
      <c r="U95" s="332"/>
      <c r="V95" s="332"/>
      <c r="W95" s="332"/>
      <c r="X95" s="332"/>
      <c r="Y95" s="332"/>
      <c r="Z95" s="332"/>
      <c r="AA95" s="332"/>
      <c r="AB95" s="332"/>
      <c r="AC95" s="332"/>
      <c r="AD95" s="332"/>
      <c r="AE95" s="332"/>
      <c r="AF95" s="332"/>
      <c r="AG95" s="332"/>
      <c r="AH95" s="332"/>
      <c r="AI95" s="332"/>
      <c r="AJ95" s="332"/>
      <c r="AK95" s="332"/>
      <c r="AL95" s="332"/>
      <c r="AM95" s="332"/>
      <c r="AN95" s="332"/>
      <c r="AO95" s="332"/>
      <c r="AP95" s="332"/>
      <c r="AQ95" s="332"/>
      <c r="AR95" s="332"/>
      <c r="AS95" s="332"/>
      <c r="AT95" s="332"/>
      <c r="AU95" s="332"/>
      <c r="AV95" s="332"/>
      <c r="AW95" s="332"/>
      <c r="AX95" s="332"/>
      <c r="AY95" s="332"/>
      <c r="AZ95" s="332"/>
      <c r="BA95" s="332"/>
      <c r="BB95" s="332"/>
      <c r="BC95" s="332"/>
      <c r="BD95" s="332"/>
      <c r="BE95" s="332"/>
      <c r="BF95" s="332"/>
      <c r="BG95" s="332"/>
      <c r="BH95" s="332"/>
      <c r="BI95" s="332"/>
      <c r="BJ95" s="332"/>
      <c r="BK95" s="332"/>
      <c r="BL95" s="332"/>
      <c r="BM95" s="332"/>
      <c r="BN95" s="332"/>
      <c r="BO95" s="332"/>
      <c r="BP95" s="332"/>
      <c r="BQ95" s="332"/>
      <c r="BR95" s="332"/>
      <c r="BS95" s="332"/>
      <c r="BT95" s="332"/>
      <c r="BU95" s="332"/>
      <c r="BV95" s="332"/>
      <c r="BW95" s="332"/>
      <c r="BX95" s="332"/>
      <c r="BY95" s="332"/>
      <c r="BZ95" s="332"/>
      <c r="CA95" s="332"/>
      <c r="CB95" s="332"/>
      <c r="CC95" s="332"/>
      <c r="CD95" s="332"/>
      <c r="CE95" s="332"/>
      <c r="CF95" s="332"/>
      <c r="CG95" s="332"/>
      <c r="CH95" s="332"/>
      <c r="CI95" s="332"/>
      <c r="CJ95" s="332"/>
      <c r="CK95" s="332"/>
      <c r="CL95" s="332"/>
      <c r="CM95" s="332"/>
      <c r="CN95" s="332"/>
      <c r="CO95" s="332"/>
      <c r="CP95" s="332"/>
      <c r="CQ95" s="332"/>
      <c r="CR95" s="332"/>
      <c r="CS95" s="332" t="s">
        <v>1911</v>
      </c>
      <c r="CT95" s="332" t="s">
        <v>1912</v>
      </c>
      <c r="CU95" s="332"/>
      <c r="CV95" s="332"/>
      <c r="CW95" s="332"/>
      <c r="CX95" s="332"/>
      <c r="CY95" s="332"/>
      <c r="CZ95" s="332"/>
      <c r="DA95" s="332"/>
      <c r="DB95" s="332"/>
      <c r="DC95" s="332"/>
      <c r="DD95" s="332"/>
      <c r="DE95" s="332"/>
      <c r="DF95" s="332"/>
      <c r="DG95" s="332"/>
      <c r="DH95" s="332"/>
      <c r="DI95" s="332"/>
      <c r="DJ95" s="332"/>
      <c r="DK95" s="332"/>
      <c r="DL95" s="332"/>
      <c r="DM95" s="332"/>
      <c r="DN95" s="332"/>
      <c r="DO95" s="332"/>
      <c r="DP95" s="332"/>
    </row>
    <row r="96" spans="1:120" ht="12.75">
      <c r="A96" s="6" t="s">
        <v>275</v>
      </c>
      <c r="B96" s="332"/>
      <c r="C96" s="332" t="s">
        <v>2419</v>
      </c>
      <c r="D96" s="332"/>
      <c r="E96" s="332"/>
      <c r="F96" s="332"/>
      <c r="G96" s="332"/>
      <c r="H96" s="332" t="s">
        <v>2420</v>
      </c>
      <c r="I96" s="332" t="s">
        <v>2421</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c r="BN96" s="332"/>
      <c r="BO96" s="332"/>
      <c r="BP96" s="332"/>
      <c r="BQ96" s="332"/>
      <c r="BR96" s="332"/>
      <c r="BS96" s="332"/>
      <c r="BT96" s="332"/>
      <c r="BU96" s="332"/>
      <c r="BV96" s="332"/>
      <c r="BW96" s="332"/>
      <c r="BX96" s="332"/>
      <c r="BY96" s="332"/>
      <c r="BZ96" s="332"/>
      <c r="CA96" s="332"/>
      <c r="CB96" s="332"/>
      <c r="CC96" s="332"/>
      <c r="CD96" s="332"/>
      <c r="CE96" s="332"/>
      <c r="CF96" s="332"/>
      <c r="CG96" s="332"/>
      <c r="CH96" s="332"/>
      <c r="CI96" s="332"/>
      <c r="CJ96" s="332"/>
      <c r="CK96" s="332"/>
      <c r="CL96" s="332"/>
      <c r="CM96" s="332"/>
      <c r="CN96" s="332"/>
      <c r="CO96" s="332"/>
      <c r="CP96" s="332"/>
      <c r="CQ96" s="332"/>
      <c r="CR96" s="332"/>
      <c r="CS96" s="332"/>
      <c r="CT96" s="332"/>
      <c r="CU96" s="332"/>
      <c r="CV96" s="332"/>
      <c r="CW96" s="332"/>
      <c r="CX96" s="332"/>
      <c r="CY96" s="332"/>
      <c r="CZ96" s="332"/>
      <c r="DA96" s="332"/>
      <c r="DB96" s="332"/>
      <c r="DC96" s="332"/>
      <c r="DD96" s="332"/>
      <c r="DE96" s="332"/>
      <c r="DF96" s="332"/>
      <c r="DG96" s="332"/>
      <c r="DH96" s="332"/>
      <c r="DI96" s="332"/>
      <c r="DJ96" s="332"/>
      <c r="DK96" s="332"/>
      <c r="DL96" s="332"/>
      <c r="DM96" s="332"/>
      <c r="DN96" s="332"/>
      <c r="DO96" s="332"/>
      <c r="DP96" s="332"/>
    </row>
    <row r="97" spans="1:120" ht="25.5">
      <c r="A97" s="6" t="s">
        <v>438</v>
      </c>
      <c r="B97" s="783" t="s">
        <v>2422</v>
      </c>
      <c r="C97" s="332" t="s">
        <v>2393</v>
      </c>
      <c r="D97" s="332"/>
      <c r="E97" s="332"/>
      <c r="F97" s="332" t="s">
        <v>2394</v>
      </c>
      <c r="G97" s="332" t="s">
        <v>2047</v>
      </c>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c r="BJ97" s="332"/>
      <c r="BK97" s="332"/>
      <c r="BL97" s="332"/>
      <c r="BM97" s="332"/>
      <c r="BN97" s="332"/>
      <c r="BO97" s="332"/>
      <c r="BP97" s="332"/>
      <c r="BQ97" s="332"/>
      <c r="BR97" s="332"/>
      <c r="BS97" s="332"/>
      <c r="BT97" s="332"/>
      <c r="BU97" s="332"/>
      <c r="BV97" s="332"/>
      <c r="BW97" s="332"/>
      <c r="BX97" s="332"/>
      <c r="BY97" s="332"/>
      <c r="BZ97" s="332"/>
      <c r="CA97" s="332"/>
      <c r="CB97" s="332"/>
      <c r="CC97" s="332"/>
      <c r="CD97" s="332"/>
      <c r="CE97" s="332"/>
      <c r="CF97" s="332"/>
      <c r="CG97" s="332"/>
      <c r="CH97" s="332"/>
      <c r="CI97" s="332"/>
      <c r="CJ97" s="332"/>
      <c r="CK97" s="332"/>
      <c r="CL97" s="332"/>
      <c r="CM97" s="332"/>
      <c r="CN97" s="332"/>
      <c r="CO97" s="332"/>
      <c r="CP97" s="332"/>
      <c r="CQ97" s="332"/>
      <c r="CR97" s="332"/>
      <c r="CS97" s="332"/>
      <c r="CT97" s="332"/>
      <c r="CU97" s="332"/>
      <c r="CV97" s="332"/>
      <c r="CW97" s="332"/>
      <c r="CX97" s="332"/>
      <c r="CY97" s="332"/>
      <c r="CZ97" s="332"/>
      <c r="DA97" s="332"/>
      <c r="DB97" s="332"/>
      <c r="DC97" s="332"/>
      <c r="DD97" s="332"/>
      <c r="DE97" s="332"/>
      <c r="DF97" s="332"/>
      <c r="DG97" s="332"/>
      <c r="DH97" s="332"/>
      <c r="DI97" s="332"/>
      <c r="DJ97" s="332"/>
      <c r="DK97" s="332"/>
      <c r="DL97" s="332"/>
      <c r="DM97" s="332"/>
      <c r="DN97" s="332"/>
      <c r="DO97" s="332"/>
      <c r="DP97" s="332"/>
    </row>
    <row r="98" spans="1:120" ht="12.75">
      <c r="A98" s="443" t="s">
        <v>2423</v>
      </c>
      <c r="B98" s="440"/>
      <c r="C98" s="332" t="s">
        <v>2424</v>
      </c>
      <c r="D98" s="332"/>
      <c r="E98" s="332"/>
      <c r="F98" s="332"/>
      <c r="G98" s="332"/>
      <c r="H98" s="332"/>
      <c r="I98" s="332"/>
      <c r="J98" s="332" t="s">
        <v>2425</v>
      </c>
      <c r="K98" s="332" t="s">
        <v>2426</v>
      </c>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782" t="s">
        <v>2427</v>
      </c>
      <c r="AP98" s="782"/>
      <c r="AQ98" s="782"/>
      <c r="AR98" s="782"/>
      <c r="AS98" s="332"/>
      <c r="AT98" s="332" t="s">
        <v>2428</v>
      </c>
      <c r="AU98" s="332"/>
      <c r="AV98" s="332"/>
      <c r="AW98" s="332"/>
      <c r="AX98" s="332"/>
      <c r="AY98" s="332"/>
      <c r="AZ98" s="332"/>
      <c r="BA98" s="332"/>
      <c r="BB98" s="332"/>
      <c r="BC98" s="332"/>
      <c r="BD98" s="332"/>
      <c r="BE98" s="332"/>
      <c r="BF98" s="332"/>
      <c r="BG98" s="332"/>
      <c r="BH98" s="332"/>
      <c r="BI98" s="332"/>
      <c r="BJ98" s="332"/>
      <c r="BK98" s="332"/>
      <c r="BL98" s="332"/>
      <c r="BM98" s="332"/>
      <c r="BN98" s="332"/>
      <c r="BO98" s="332"/>
      <c r="BP98" s="332"/>
      <c r="BQ98" s="332"/>
      <c r="BR98" s="332"/>
      <c r="BS98" s="332"/>
      <c r="BT98" s="332"/>
      <c r="BU98" s="332"/>
      <c r="BV98" s="332"/>
      <c r="BW98" s="332"/>
      <c r="BX98" s="332"/>
      <c r="BY98" s="332"/>
      <c r="BZ98" s="332"/>
      <c r="CA98" s="332"/>
      <c r="CB98" s="332"/>
      <c r="CC98" s="332"/>
      <c r="CD98" s="332"/>
      <c r="CE98" s="332"/>
      <c r="CF98" s="332"/>
      <c r="CG98" s="332"/>
      <c r="CH98" s="332"/>
      <c r="CI98" s="332"/>
      <c r="CJ98" s="332"/>
      <c r="CK98" s="332"/>
      <c r="CL98" s="332"/>
      <c r="CM98" s="332"/>
      <c r="CN98" s="332"/>
      <c r="CO98" s="332"/>
      <c r="CP98" s="332"/>
      <c r="CQ98" s="332"/>
      <c r="CR98" s="332"/>
      <c r="CS98" s="332"/>
      <c r="CT98" s="332"/>
      <c r="CU98" s="332"/>
      <c r="CV98" s="332"/>
      <c r="CW98" s="332"/>
      <c r="CX98" s="332"/>
      <c r="CY98" s="332"/>
      <c r="CZ98" s="332"/>
      <c r="DA98" s="332"/>
      <c r="DB98" s="332"/>
      <c r="DC98" s="332"/>
      <c r="DD98" s="332"/>
      <c r="DE98" s="332"/>
      <c r="DF98" s="332"/>
      <c r="DG98" s="332"/>
      <c r="DH98" s="332"/>
      <c r="DI98" s="332"/>
      <c r="DJ98" s="332"/>
      <c r="DK98" s="332"/>
      <c r="DL98" s="332"/>
      <c r="DM98" s="332"/>
      <c r="DN98" s="332"/>
      <c r="DO98" s="332"/>
      <c r="DP98" s="332"/>
    </row>
    <row r="99" spans="1:120" ht="12.75">
      <c r="A99" s="148" t="s">
        <v>2429</v>
      </c>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2"/>
      <c r="BB99" s="332"/>
      <c r="BC99" s="332"/>
      <c r="BD99" s="332"/>
      <c r="BE99" s="332"/>
      <c r="BF99" s="332"/>
      <c r="BG99" s="332"/>
      <c r="BH99" s="332"/>
      <c r="BI99" s="332"/>
      <c r="BJ99" s="332"/>
      <c r="BK99" s="332"/>
      <c r="BL99" s="332"/>
      <c r="BM99" s="332"/>
      <c r="BN99" s="332"/>
      <c r="BO99" s="332"/>
      <c r="BP99" s="332"/>
      <c r="BQ99" s="332"/>
      <c r="BR99" s="332" t="s">
        <v>2430</v>
      </c>
      <c r="BS99" s="332" t="s">
        <v>2431</v>
      </c>
      <c r="BT99" s="332"/>
      <c r="BU99" s="332"/>
      <c r="BV99" s="332"/>
      <c r="BW99" s="332"/>
      <c r="BX99" s="332"/>
      <c r="BY99" s="332"/>
      <c r="BZ99" s="332"/>
      <c r="CA99" s="332"/>
      <c r="CB99" s="332"/>
      <c r="CC99" s="332"/>
      <c r="CD99" s="332"/>
      <c r="CE99" s="332"/>
      <c r="CF99" s="332"/>
      <c r="CG99" s="332"/>
      <c r="CH99" s="332"/>
      <c r="CI99" s="332"/>
      <c r="CJ99" s="332"/>
      <c r="CK99" s="332"/>
      <c r="CL99" s="332"/>
      <c r="CM99" s="332"/>
      <c r="CN99" s="332"/>
      <c r="CO99" s="332"/>
      <c r="CP99" s="332"/>
      <c r="CQ99" s="332"/>
      <c r="CR99" s="332"/>
      <c r="CS99" s="332"/>
      <c r="CT99" s="332"/>
      <c r="CU99" s="332"/>
      <c r="CV99" s="332"/>
      <c r="CW99" s="332"/>
      <c r="CX99" s="332"/>
      <c r="CY99" s="332"/>
      <c r="CZ99" s="332"/>
      <c r="DA99" s="332"/>
      <c r="DB99" s="332"/>
      <c r="DC99" s="332"/>
      <c r="DD99" s="332"/>
      <c r="DE99" s="332"/>
      <c r="DF99" s="332"/>
      <c r="DG99" s="332"/>
      <c r="DH99" s="332"/>
      <c r="DI99" s="332"/>
      <c r="DJ99" s="332"/>
      <c r="DK99" s="332"/>
      <c r="DL99" s="332"/>
      <c r="DM99" s="332"/>
      <c r="DN99" s="332"/>
      <c r="DO99" s="332"/>
      <c r="DP99" s="332"/>
    </row>
    <row r="100" spans="1:120" ht="12.75">
      <c r="A100" s="148" t="s">
        <v>1538</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332"/>
      <c r="BI100" s="332"/>
      <c r="BJ100" s="332"/>
      <c r="BK100" s="332"/>
      <c r="BL100" s="332"/>
      <c r="BM100" s="332"/>
      <c r="BN100" s="332"/>
      <c r="BO100" s="332" t="s">
        <v>2432</v>
      </c>
      <c r="BP100" s="332" t="s">
        <v>1984</v>
      </c>
      <c r="BQ100" s="332"/>
      <c r="BR100" s="332"/>
      <c r="BS100" s="332"/>
      <c r="BT100" s="332"/>
      <c r="BU100" s="332"/>
      <c r="BV100" s="332"/>
      <c r="BW100" s="332"/>
      <c r="BX100" s="332"/>
      <c r="BY100" s="332"/>
      <c r="BZ100" s="332"/>
      <c r="CA100" s="332"/>
      <c r="CB100" s="332"/>
      <c r="CC100" s="332"/>
      <c r="CD100" s="332"/>
      <c r="CE100" s="332"/>
      <c r="CF100" s="332"/>
      <c r="CG100" s="332"/>
      <c r="CH100" s="332"/>
      <c r="CI100" s="332"/>
      <c r="CJ100" s="332"/>
      <c r="CK100" s="332"/>
      <c r="CL100" s="332"/>
      <c r="CM100" s="332"/>
      <c r="CN100" s="332"/>
      <c r="CO100" s="332"/>
      <c r="CP100" s="332"/>
      <c r="CQ100" s="332"/>
      <c r="CR100" s="332"/>
      <c r="CS100" s="332"/>
      <c r="CT100" s="332"/>
      <c r="CU100" s="332"/>
      <c r="CV100" s="332"/>
      <c r="CW100" s="332"/>
      <c r="CX100" s="332"/>
      <c r="CY100" s="332"/>
      <c r="CZ100" s="332"/>
      <c r="DA100" s="332"/>
      <c r="DB100" s="332"/>
      <c r="DC100" s="332"/>
      <c r="DD100" s="332"/>
      <c r="DE100" s="332"/>
      <c r="DF100" s="332"/>
      <c r="DG100" s="332"/>
      <c r="DH100" s="332"/>
      <c r="DI100" s="332"/>
      <c r="DJ100" s="332"/>
      <c r="DK100" s="332"/>
      <c r="DL100" s="332"/>
      <c r="DM100" s="332"/>
      <c r="DN100" s="332"/>
      <c r="DO100" s="332"/>
      <c r="DP100" s="332"/>
    </row>
    <row r="101" spans="1:120" ht="12.75">
      <c r="A101" s="148" t="s">
        <v>2433</v>
      </c>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786" t="s">
        <v>2148</v>
      </c>
      <c r="CC101" s="782" t="s">
        <v>2149</v>
      </c>
      <c r="CD101" s="782"/>
      <c r="CE101" s="782"/>
      <c r="CF101" s="782"/>
      <c r="CG101" s="782"/>
      <c r="CH101" s="782"/>
      <c r="CI101" s="782"/>
      <c r="CJ101" s="782"/>
      <c r="CK101" s="782"/>
      <c r="CL101" s="782"/>
      <c r="CM101" s="782"/>
      <c r="CN101" s="782"/>
      <c r="CO101" s="782"/>
      <c r="CP101" s="782"/>
      <c r="CQ101" s="782"/>
      <c r="CR101" s="782"/>
      <c r="CS101" s="782"/>
      <c r="CT101" s="332"/>
      <c r="CU101" s="332"/>
      <c r="CV101" s="332"/>
      <c r="CW101" s="332"/>
      <c r="CX101" s="332"/>
      <c r="CY101" s="332"/>
      <c r="CZ101" s="332"/>
      <c r="DA101" s="332"/>
      <c r="DB101" s="332"/>
      <c r="DC101" s="332"/>
      <c r="DD101" s="332"/>
      <c r="DE101" s="332"/>
      <c r="DF101" s="332"/>
      <c r="DG101" s="332"/>
      <c r="DH101" s="332"/>
      <c r="DI101" s="332"/>
      <c r="DJ101" s="332"/>
      <c r="DK101" s="332"/>
      <c r="DL101" s="332"/>
      <c r="DM101" s="332"/>
      <c r="DN101" s="332"/>
      <c r="DO101" s="332"/>
      <c r="DP101" s="332"/>
    </row>
    <row r="102" spans="1:120" ht="12.75">
      <c r="A102" s="6" t="s">
        <v>405</v>
      </c>
      <c r="B102" s="332"/>
      <c r="C102" s="332" t="s">
        <v>1930</v>
      </c>
      <c r="D102" s="332" t="s">
        <v>1961</v>
      </c>
      <c r="E102" s="332" t="s">
        <v>1962</v>
      </c>
      <c r="F102" s="332" t="s">
        <v>1963</v>
      </c>
      <c r="G102" s="332" t="s">
        <v>1964</v>
      </c>
      <c r="H102" s="332"/>
      <c r="I102" s="332"/>
      <c r="J102" s="332"/>
      <c r="K102" s="332"/>
      <c r="L102" s="440" t="s">
        <v>1965</v>
      </c>
      <c r="M102" s="332" t="s">
        <v>1966</v>
      </c>
      <c r="N102" s="440" t="s">
        <v>1967</v>
      </c>
      <c r="O102" s="332" t="s">
        <v>1968</v>
      </c>
      <c r="P102" s="332"/>
      <c r="Q102" s="332"/>
      <c r="R102" s="332"/>
      <c r="S102" s="332"/>
      <c r="T102" s="332" t="s">
        <v>1969</v>
      </c>
      <c r="U102" s="332" t="s">
        <v>1970</v>
      </c>
      <c r="V102" s="332" t="s">
        <v>1971</v>
      </c>
      <c r="W102" s="436" t="s">
        <v>1972</v>
      </c>
      <c r="X102" s="436"/>
      <c r="Y102" s="782"/>
      <c r="Z102" s="782"/>
      <c r="AA102" s="782"/>
      <c r="AB102" s="782"/>
      <c r="AC102" s="782"/>
      <c r="AD102" s="782"/>
      <c r="AE102" s="782"/>
      <c r="AF102" s="332"/>
      <c r="AG102" s="332" t="s">
        <v>1973</v>
      </c>
      <c r="AH102" s="332" t="s">
        <v>1974</v>
      </c>
      <c r="AI102" s="439" t="s">
        <v>1975</v>
      </c>
      <c r="AJ102" s="332" t="s">
        <v>1976</v>
      </c>
      <c r="AK102" s="332" t="s">
        <v>1977</v>
      </c>
      <c r="AL102" s="782" t="s">
        <v>1978</v>
      </c>
      <c r="AM102" s="782"/>
      <c r="AN102" s="782"/>
      <c r="AO102" s="782"/>
      <c r="AP102" s="782"/>
      <c r="AQ102" s="782"/>
      <c r="AR102" s="782"/>
      <c r="AS102" s="782"/>
      <c r="AT102" s="782"/>
      <c r="AU102" s="782"/>
      <c r="AV102" s="782"/>
      <c r="AW102" s="782"/>
      <c r="AX102" s="782"/>
      <c r="AY102" s="782"/>
      <c r="AZ102" s="782"/>
      <c r="BA102" s="782"/>
      <c r="BB102" s="782"/>
      <c r="BC102" s="782"/>
      <c r="BD102" s="782"/>
      <c r="BE102" s="782"/>
      <c r="BF102" s="782"/>
      <c r="BG102" s="782"/>
      <c r="BH102" s="782"/>
      <c r="BI102" s="332"/>
      <c r="BJ102" s="332" t="s">
        <v>2434</v>
      </c>
      <c r="BK102" s="332"/>
      <c r="BL102" s="332"/>
      <c r="BM102" s="332"/>
      <c r="BN102" s="332"/>
      <c r="BO102" s="332" t="s">
        <v>1980</v>
      </c>
      <c r="BP102" s="782" t="s">
        <v>1981</v>
      </c>
      <c r="BQ102" s="782"/>
      <c r="BR102" s="332"/>
      <c r="BS102" s="332"/>
      <c r="BT102" s="332"/>
      <c r="BU102" s="332"/>
      <c r="BV102" s="332"/>
      <c r="BW102" s="332"/>
      <c r="BX102" s="332"/>
      <c r="BY102" s="332"/>
      <c r="BZ102" s="332"/>
      <c r="CA102" s="332"/>
      <c r="CB102" s="332"/>
      <c r="CC102" s="332"/>
      <c r="CD102" s="332"/>
      <c r="CE102" s="332"/>
      <c r="CF102" s="332"/>
      <c r="CG102" s="332"/>
      <c r="CH102" s="332"/>
      <c r="CI102" s="332"/>
      <c r="CJ102" s="332"/>
      <c r="CK102" s="332"/>
      <c r="CL102" s="332"/>
      <c r="CM102" s="332"/>
      <c r="CN102" s="332"/>
      <c r="CO102" s="332"/>
      <c r="CP102" s="332"/>
      <c r="CQ102" s="332"/>
      <c r="CR102" s="332"/>
      <c r="CS102" s="332"/>
      <c r="CT102" s="332"/>
      <c r="CU102" s="332"/>
      <c r="CV102" s="332"/>
      <c r="CW102" s="332"/>
      <c r="CX102" s="332"/>
      <c r="CY102" s="332"/>
      <c r="CZ102" s="332"/>
      <c r="DA102" s="332"/>
      <c r="DB102" s="332"/>
      <c r="DC102" s="332"/>
      <c r="DD102" s="332"/>
      <c r="DE102" s="332"/>
      <c r="DF102" s="332"/>
      <c r="DG102" s="332"/>
      <c r="DH102" s="332"/>
      <c r="DI102" s="332"/>
      <c r="DJ102" s="332"/>
      <c r="DK102" s="332"/>
      <c r="DL102" s="332"/>
      <c r="DM102" s="332"/>
      <c r="DN102" s="332"/>
      <c r="DO102" s="332"/>
      <c r="DP102" s="332"/>
    </row>
    <row r="103" spans="1:120" ht="25.5">
      <c r="A103" s="6" t="s">
        <v>780</v>
      </c>
      <c r="B103" s="783" t="s">
        <v>2435</v>
      </c>
      <c r="C103" s="332" t="s">
        <v>2436</v>
      </c>
      <c r="D103" s="332"/>
      <c r="E103" s="332"/>
      <c r="F103" s="332" t="s">
        <v>1931</v>
      </c>
      <c r="G103" s="332" t="s">
        <v>1932</v>
      </c>
      <c r="H103" s="332"/>
      <c r="I103" s="332"/>
      <c r="J103" s="332"/>
      <c r="K103" s="332"/>
      <c r="L103" s="332" t="s">
        <v>2437</v>
      </c>
      <c r="M103" s="332" t="s">
        <v>2438</v>
      </c>
      <c r="N103" s="332" t="s">
        <v>2439</v>
      </c>
      <c r="O103" s="332" t="s">
        <v>2440</v>
      </c>
      <c r="P103" s="332"/>
      <c r="Q103" s="332"/>
      <c r="R103" s="332"/>
      <c r="S103" s="332"/>
      <c r="T103" s="332" t="s">
        <v>2441</v>
      </c>
      <c r="U103" s="782" t="s">
        <v>2442</v>
      </c>
      <c r="V103" s="782"/>
      <c r="W103" s="78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2"/>
      <c r="AV103" s="332"/>
      <c r="AW103" s="332"/>
      <c r="AX103" s="332"/>
      <c r="AY103" s="332"/>
      <c r="AZ103" s="332"/>
      <c r="BA103" s="332"/>
      <c r="BB103" s="332"/>
      <c r="BC103" s="332"/>
      <c r="BD103" s="332"/>
      <c r="BE103" s="332"/>
      <c r="BF103" s="332"/>
      <c r="BG103" s="332"/>
      <c r="BH103" s="332"/>
      <c r="BI103" s="332"/>
      <c r="BJ103" s="332"/>
      <c r="BK103" s="332"/>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c r="CR103" s="332"/>
      <c r="CS103" s="332" t="s">
        <v>1920</v>
      </c>
      <c r="CT103" s="782" t="s">
        <v>1921</v>
      </c>
      <c r="CU103" s="782"/>
      <c r="CV103" s="782"/>
      <c r="CW103" s="332"/>
      <c r="CX103" s="332"/>
      <c r="CY103" s="332"/>
      <c r="CZ103" s="332"/>
      <c r="DA103" s="332"/>
      <c r="DB103" s="332"/>
      <c r="DC103" s="332"/>
      <c r="DD103" s="332"/>
      <c r="DE103" s="332"/>
      <c r="DF103" s="332"/>
      <c r="DG103" s="332"/>
      <c r="DH103" s="332"/>
      <c r="DI103" s="332"/>
      <c r="DJ103" s="332"/>
      <c r="DK103" s="332"/>
      <c r="DL103" s="332"/>
      <c r="DM103" s="332"/>
      <c r="DN103" s="332"/>
      <c r="DO103" s="332"/>
      <c r="DP103" s="332"/>
    </row>
    <row r="104" spans="1:120" ht="12.75">
      <c r="A104" s="6" t="s">
        <v>2443</v>
      </c>
      <c r="B104" s="440" t="s">
        <v>2444</v>
      </c>
      <c r="C104" s="332" t="s">
        <v>2108</v>
      </c>
      <c r="D104" s="332"/>
      <c r="E104" s="332"/>
      <c r="F104" s="332" t="s">
        <v>1931</v>
      </c>
      <c r="G104" s="332" t="s">
        <v>1932</v>
      </c>
      <c r="H104" s="332"/>
      <c r="I104" s="332"/>
      <c r="J104" s="332"/>
      <c r="K104" s="332"/>
      <c r="L104" s="332" t="s">
        <v>2445</v>
      </c>
      <c r="M104" s="440" t="s">
        <v>2446</v>
      </c>
      <c r="N104" s="332" t="s">
        <v>2447</v>
      </c>
      <c r="O104" s="332"/>
      <c r="P104" s="332"/>
      <c r="Q104" s="332"/>
      <c r="R104" s="332"/>
      <c r="S104" s="332"/>
      <c r="T104" s="332"/>
      <c r="U104" s="332"/>
      <c r="V104" s="439" t="s">
        <v>2448</v>
      </c>
      <c r="W104" s="439" t="s">
        <v>2449</v>
      </c>
      <c r="X104" s="439" t="s">
        <v>2450</v>
      </c>
      <c r="Y104" s="439" t="s">
        <v>2451</v>
      </c>
      <c r="Z104" s="439" t="s">
        <v>2452</v>
      </c>
      <c r="AA104" s="332" t="s">
        <v>2453</v>
      </c>
      <c r="AB104" s="332" t="s">
        <v>2454</v>
      </c>
      <c r="AC104" s="332" t="s">
        <v>2455</v>
      </c>
      <c r="AD104" s="332" t="s">
        <v>2456</v>
      </c>
      <c r="AE104" s="332" t="s">
        <v>2457</v>
      </c>
      <c r="AF104" s="332" t="s">
        <v>2458</v>
      </c>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332"/>
      <c r="BI104" s="332"/>
      <c r="BJ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t="s">
        <v>2459</v>
      </c>
      <c r="CO104" s="782" t="s">
        <v>2460</v>
      </c>
      <c r="CP104" s="332"/>
      <c r="CQ104" s="332"/>
      <c r="CR104" s="332"/>
      <c r="CS104" s="332"/>
      <c r="CT104" s="332"/>
      <c r="CU104" s="332"/>
      <c r="CV104" s="332"/>
      <c r="CW104" s="332"/>
      <c r="CX104" s="332"/>
      <c r="CY104" s="332"/>
      <c r="CZ104" s="332"/>
      <c r="DA104" s="332"/>
      <c r="DB104" s="332"/>
      <c r="DC104" s="332"/>
      <c r="DD104" s="332"/>
      <c r="DE104" s="332"/>
      <c r="DF104" s="332"/>
      <c r="DG104" s="332"/>
      <c r="DH104" s="332"/>
      <c r="DI104" s="332"/>
      <c r="DJ104" s="332"/>
      <c r="DK104" s="332"/>
      <c r="DL104" s="332"/>
      <c r="DM104" s="332"/>
      <c r="DN104" s="332"/>
      <c r="DO104" s="332"/>
      <c r="DP104" s="332"/>
    </row>
    <row r="105" spans="1:120" ht="25.5">
      <c r="A105" s="6" t="s">
        <v>2461</v>
      </c>
      <c r="B105" s="783" t="s">
        <v>2462</v>
      </c>
      <c r="C105" s="332" t="s">
        <v>2393</v>
      </c>
      <c r="D105" s="332"/>
      <c r="E105" s="332"/>
      <c r="F105" s="332" t="s">
        <v>2463</v>
      </c>
      <c r="G105" s="332" t="s">
        <v>2047</v>
      </c>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332"/>
      <c r="BI105" s="332"/>
      <c r="BJ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c r="CR105" s="332"/>
      <c r="CS105" s="332"/>
      <c r="CT105" s="332"/>
      <c r="CU105" s="332"/>
      <c r="CV105" s="332"/>
      <c r="CW105" s="332"/>
      <c r="CX105" s="332"/>
      <c r="CY105" s="332"/>
      <c r="CZ105" s="332"/>
      <c r="DA105" s="332"/>
      <c r="DB105" s="332"/>
      <c r="DC105" s="332"/>
      <c r="DD105" s="332"/>
      <c r="DE105" s="332"/>
      <c r="DF105" s="332"/>
      <c r="DG105" s="332"/>
      <c r="DH105" s="332"/>
      <c r="DI105" s="332"/>
      <c r="DJ105" s="332"/>
      <c r="DK105" s="332"/>
      <c r="DL105" s="332"/>
      <c r="DM105" s="332"/>
      <c r="DN105" s="332"/>
      <c r="DO105" s="332"/>
      <c r="DP105" s="332"/>
    </row>
    <row r="106" spans="1:120" ht="12.75">
      <c r="A106" s="148" t="s">
        <v>2464</v>
      </c>
      <c r="B106" s="332"/>
      <c r="C106" s="332" t="s">
        <v>1930</v>
      </c>
      <c r="D106" s="332"/>
      <c r="E106" s="332"/>
      <c r="F106" s="332"/>
      <c r="G106" s="332"/>
      <c r="H106" s="332"/>
      <c r="I106" s="332"/>
      <c r="J106" s="332"/>
      <c r="K106" s="332"/>
      <c r="L106" s="332" t="s">
        <v>2465</v>
      </c>
      <c r="M106" s="332" t="s">
        <v>2466</v>
      </c>
      <c r="N106" s="332" t="s">
        <v>2467</v>
      </c>
      <c r="O106" s="332" t="s">
        <v>2468</v>
      </c>
      <c r="P106" s="332"/>
      <c r="Q106" s="332"/>
      <c r="R106" s="332"/>
      <c r="S106" s="332"/>
      <c r="T106" s="332"/>
      <c r="U106" s="332"/>
      <c r="V106" s="332"/>
      <c r="W106" s="332"/>
      <c r="X106" s="332" t="s">
        <v>2469</v>
      </c>
      <c r="Y106" s="788" t="s">
        <v>2470</v>
      </c>
      <c r="Z106" s="332" t="s">
        <v>2471</v>
      </c>
      <c r="AA106" s="332" t="s">
        <v>2472</v>
      </c>
      <c r="AB106" s="782" t="s">
        <v>2473</v>
      </c>
      <c r="AC106" s="782"/>
      <c r="AD106" s="78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332"/>
      <c r="BI106" s="332"/>
      <c r="BJ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c r="CR106" s="332"/>
      <c r="CS106" s="332"/>
      <c r="CT106" s="332"/>
      <c r="CU106" s="332"/>
      <c r="CV106" s="332"/>
      <c r="CW106" s="332"/>
      <c r="CX106" s="332"/>
      <c r="CY106" s="332"/>
      <c r="CZ106" s="332"/>
      <c r="DA106" s="332"/>
      <c r="DB106" s="332"/>
      <c r="DC106" s="332"/>
      <c r="DD106" s="332"/>
      <c r="DE106" s="332"/>
      <c r="DF106" s="332"/>
      <c r="DG106" s="332"/>
      <c r="DH106" s="332"/>
      <c r="DI106" s="332"/>
      <c r="DJ106" s="332"/>
      <c r="DK106" s="332"/>
      <c r="DL106" s="332"/>
      <c r="DM106" s="332"/>
      <c r="DN106" s="332"/>
      <c r="DO106" s="332"/>
      <c r="DP106" s="332"/>
    </row>
    <row r="107" spans="1:120" ht="12.75">
      <c r="A107" s="443" t="s">
        <v>2474</v>
      </c>
      <c r="B107" s="440"/>
      <c r="C107" s="332" t="s">
        <v>2475</v>
      </c>
      <c r="D107" s="332"/>
      <c r="E107" s="332"/>
      <c r="F107" s="332"/>
      <c r="G107" s="332"/>
      <c r="H107" s="332"/>
      <c r="I107" s="332"/>
      <c r="J107" s="332" t="s">
        <v>2476</v>
      </c>
      <c r="K107" s="332" t="s">
        <v>2477</v>
      </c>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t="s">
        <v>2478</v>
      </c>
      <c r="CK107" s="444" t="s">
        <v>2479</v>
      </c>
      <c r="CL107" s="444"/>
      <c r="CM107" s="444"/>
      <c r="CN107" s="435"/>
      <c r="CO107" s="435"/>
      <c r="CP107" s="435"/>
      <c r="CQ107" s="435"/>
      <c r="CR107" s="435"/>
      <c r="CS107" s="435"/>
      <c r="CT107" s="435"/>
      <c r="CU107" s="435"/>
      <c r="CV107" s="435"/>
      <c r="CW107" s="435"/>
      <c r="CX107" s="435"/>
      <c r="CY107" s="435"/>
      <c r="CZ107" s="435"/>
      <c r="DA107" s="435"/>
      <c r="DB107" s="435"/>
      <c r="DC107" s="435"/>
      <c r="DD107" s="435"/>
      <c r="DE107" s="435"/>
      <c r="DF107" s="435"/>
      <c r="DG107" s="435"/>
      <c r="DH107" s="435"/>
      <c r="DI107" s="435"/>
      <c r="DJ107" s="435"/>
      <c r="DK107" s="435"/>
      <c r="DL107" s="435"/>
      <c r="DM107" s="435"/>
      <c r="DN107" s="435"/>
      <c r="DO107" s="435"/>
      <c r="DP107" s="435"/>
    </row>
    <row r="108" spans="1:120" ht="12.75">
      <c r="A108" s="148" t="s">
        <v>2480</v>
      </c>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332"/>
      <c r="BI108" s="332"/>
      <c r="BJ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t="s">
        <v>2478</v>
      </c>
      <c r="CK108" s="444" t="s">
        <v>2479</v>
      </c>
      <c r="CL108" s="444"/>
      <c r="CM108" s="444"/>
      <c r="CN108" s="435"/>
      <c r="CO108" s="435"/>
      <c r="CP108" s="435"/>
      <c r="CQ108" s="435"/>
      <c r="CR108" s="435"/>
      <c r="CS108" s="435"/>
      <c r="CT108" s="435"/>
      <c r="CU108" s="435"/>
      <c r="CV108" s="435"/>
      <c r="CW108" s="435"/>
      <c r="CX108" s="435"/>
      <c r="CY108" s="435"/>
      <c r="CZ108" s="435"/>
      <c r="DA108" s="435"/>
      <c r="DB108" s="435"/>
      <c r="DC108" s="435"/>
      <c r="DD108" s="435"/>
      <c r="DE108" s="435"/>
      <c r="DF108" s="435"/>
      <c r="DG108" s="435"/>
      <c r="DH108" s="435"/>
      <c r="DI108" s="435"/>
      <c r="DJ108" s="435"/>
      <c r="DK108" s="435"/>
      <c r="DL108" s="435"/>
      <c r="DM108" s="435"/>
      <c r="DN108" s="435"/>
      <c r="DO108" s="435"/>
      <c r="DP108" s="435"/>
    </row>
    <row r="109" spans="1:120" ht="25.5">
      <c r="A109" s="6" t="s">
        <v>1165</v>
      </c>
      <c r="B109" s="783" t="s">
        <v>2481</v>
      </c>
      <c r="C109" s="332" t="s">
        <v>2482</v>
      </c>
      <c r="D109" s="452" t="s">
        <v>2483</v>
      </c>
      <c r="E109" s="332" t="s">
        <v>2484</v>
      </c>
      <c r="F109" s="453" t="s">
        <v>2485</v>
      </c>
      <c r="G109" s="332" t="s">
        <v>2486</v>
      </c>
      <c r="H109" s="332"/>
      <c r="I109" s="332"/>
      <c r="J109" s="332"/>
      <c r="K109" s="332"/>
      <c r="L109" s="332"/>
      <c r="M109" s="332"/>
      <c r="N109" s="332"/>
      <c r="O109" s="332"/>
      <c r="P109" s="332"/>
      <c r="Q109" s="332"/>
      <c r="R109" s="332"/>
      <c r="S109" s="332"/>
      <c r="T109" s="332"/>
      <c r="U109" s="332"/>
      <c r="V109" s="332" t="s">
        <v>2487</v>
      </c>
      <c r="W109" s="439" t="s">
        <v>2488</v>
      </c>
      <c r="X109" s="439" t="s">
        <v>2489</v>
      </c>
      <c r="Y109" s="785" t="s">
        <v>2490</v>
      </c>
      <c r="Z109" s="439" t="s">
        <v>2491</v>
      </c>
      <c r="AA109" s="332" t="s">
        <v>2492</v>
      </c>
      <c r="AB109" s="332" t="s">
        <v>2493</v>
      </c>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332"/>
      <c r="BI109" s="332"/>
      <c r="BJ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c r="CT109" s="332"/>
      <c r="CU109" s="332"/>
      <c r="CV109" s="332"/>
      <c r="CW109" s="332"/>
      <c r="CX109" s="332"/>
      <c r="CY109" s="332"/>
      <c r="CZ109" s="332"/>
      <c r="DA109" s="332"/>
      <c r="DB109" s="332"/>
      <c r="DC109" s="332"/>
      <c r="DD109" s="332"/>
      <c r="DE109" s="332"/>
      <c r="DF109" s="332"/>
      <c r="DG109" s="332"/>
      <c r="DH109" s="332"/>
      <c r="DI109" s="332"/>
      <c r="DJ109" s="332"/>
      <c r="DK109" s="332"/>
      <c r="DL109" s="332"/>
      <c r="DM109" s="332"/>
      <c r="DN109" s="332"/>
      <c r="DO109" s="332"/>
      <c r="DP109" s="332"/>
    </row>
    <row r="110" spans="1:120" ht="12.75">
      <c r="A110" s="148" t="s">
        <v>2494</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t="s">
        <v>2495</v>
      </c>
      <c r="AV110" s="332" t="s">
        <v>2496</v>
      </c>
      <c r="AW110" s="332"/>
      <c r="AX110" s="332"/>
      <c r="AY110" s="332"/>
      <c r="AZ110" s="332"/>
      <c r="BA110" s="332"/>
      <c r="BB110" s="332"/>
      <c r="BC110" s="332"/>
      <c r="BD110" s="332"/>
      <c r="BE110" s="332"/>
      <c r="BF110" s="332"/>
      <c r="BG110" s="332" t="s">
        <v>2497</v>
      </c>
      <c r="BH110" s="332"/>
      <c r="BI110" s="332" t="s">
        <v>2498</v>
      </c>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c r="CR110" s="332"/>
      <c r="CS110" s="332" t="s">
        <v>1911</v>
      </c>
      <c r="CT110" s="332" t="s">
        <v>1912</v>
      </c>
      <c r="CU110" s="332"/>
      <c r="CV110" s="332"/>
      <c r="CW110" s="332"/>
      <c r="CX110" s="332"/>
      <c r="CY110" s="332"/>
      <c r="CZ110" s="332"/>
      <c r="DA110" s="332"/>
      <c r="DB110" s="332"/>
      <c r="DC110" s="332"/>
      <c r="DD110" s="332"/>
      <c r="DE110" s="332"/>
      <c r="DF110" s="332"/>
      <c r="DG110" s="332"/>
      <c r="DH110" s="332"/>
      <c r="DI110" s="332"/>
      <c r="DJ110" s="332"/>
      <c r="DK110" s="332"/>
      <c r="DL110" s="332"/>
      <c r="DM110" s="332"/>
      <c r="DN110" s="332"/>
      <c r="DO110" s="332"/>
      <c r="DP110" s="332"/>
    </row>
    <row r="111" spans="1:120" ht="12.75">
      <c r="A111" s="148" t="s">
        <v>2499</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332"/>
      <c r="BI111" s="332"/>
      <c r="BJ111" s="332"/>
      <c r="BK111" s="332"/>
      <c r="BL111" s="332"/>
      <c r="BM111" s="332"/>
      <c r="BN111" s="332"/>
      <c r="BO111" s="332"/>
      <c r="BP111" s="332"/>
      <c r="BQ111" s="332"/>
      <c r="BR111" s="332" t="s">
        <v>2500</v>
      </c>
      <c r="BS111" s="782" t="s">
        <v>2501</v>
      </c>
      <c r="BT111" s="782"/>
      <c r="BU111" s="782"/>
      <c r="BV111" s="78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c r="CR111" s="332"/>
      <c r="CS111" s="332"/>
      <c r="CT111" s="332"/>
      <c r="CU111" s="332"/>
      <c r="CV111" s="332"/>
      <c r="CW111" s="332"/>
      <c r="CX111" s="332"/>
      <c r="CY111" s="332"/>
      <c r="CZ111" s="332"/>
      <c r="DA111" s="332"/>
      <c r="DB111" s="332"/>
      <c r="DC111" s="332"/>
      <c r="DD111" s="332"/>
      <c r="DE111" s="332"/>
      <c r="DF111" s="332"/>
      <c r="DG111" s="332"/>
      <c r="DH111" s="332"/>
      <c r="DI111" s="332"/>
      <c r="DJ111" s="332"/>
      <c r="DK111" s="332"/>
      <c r="DL111" s="332"/>
      <c r="DM111" s="332"/>
      <c r="DN111" s="332"/>
      <c r="DO111" s="332"/>
      <c r="DP111" s="332"/>
    </row>
  </sheetData>
  <hyperlinks>
    <hyperlink ref="AU9" r:id="rId1"/>
    <hyperlink ref="AU17" r:id="rId2" location="gid=145887711"/>
    <hyperlink ref="G27" r:id="rId3"/>
    <hyperlink ref="Z28" r:id="rId4"/>
    <hyperlink ref="DJ28" r:id="rId5" location="/food-details/1102706/nutrients"/>
    <hyperlink ref="CB31" r:id="rId6"/>
    <hyperlink ref="BQ46" r:id="rId7"/>
    <hyperlink ref="W55" r:id="rId8"/>
    <hyperlink ref="AU58" r:id="rId9"/>
    <hyperlink ref="CB101" r:id="rId10"/>
    <hyperlink ref="Y106" r:id="rId11"/>
    <hyperlink ref="Y109" r:id="rId12"/>
  </hyperlinks>
  <pageMargins left="0" right="0" top="0" bottom="0" header="0" footer="0"/>
  <legacyDrawing r:id="rId1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H1680"/>
  <sheetViews>
    <sheetView workbookViewId="0">
      <pane ySplit="2" topLeftCell="A3" activePane="bottomLeft" state="frozen"/>
      <selection pane="bottomLeft" activeCell="E12" sqref="E12"/>
    </sheetView>
  </sheetViews>
  <sheetFormatPr defaultColWidth="12.5703125" defaultRowHeight="15.75" customHeight="1"/>
  <cols>
    <col min="1" max="1" width="21.85546875" customWidth="1"/>
    <col min="2" max="2" width="45.28515625" customWidth="1"/>
    <col min="3" max="3" width="9.42578125" customWidth="1"/>
    <col min="4" max="4" width="20" customWidth="1"/>
    <col min="5" max="8" width="21.28515625" customWidth="1"/>
  </cols>
  <sheetData>
    <row r="1" spans="1:8" s="92" customFormat="1" ht="12.75">
      <c r="A1" s="1035" t="s">
        <v>2502</v>
      </c>
      <c r="B1" s="1035" t="s">
        <v>2502</v>
      </c>
      <c r="C1" s="1036"/>
      <c r="D1" s="1035"/>
      <c r="E1" s="1037"/>
      <c r="F1" s="1037"/>
      <c r="G1" s="1037"/>
      <c r="H1" s="1037"/>
    </row>
    <row r="2" spans="1:8" s="92" customFormat="1" ht="51">
      <c r="A2" s="6" t="s">
        <v>2503</v>
      </c>
      <c r="B2" s="6" t="s">
        <v>2504</v>
      </c>
      <c r="C2" s="790" t="s">
        <v>2505</v>
      </c>
      <c r="D2" s="9" t="s">
        <v>2506</v>
      </c>
      <c r="E2" s="791" t="s">
        <v>549</v>
      </c>
      <c r="F2" s="791" t="s">
        <v>550</v>
      </c>
      <c r="G2" s="791" t="s">
        <v>2507</v>
      </c>
      <c r="H2" s="791" t="s">
        <v>552</v>
      </c>
    </row>
    <row r="3" spans="1:8" ht="12.75">
      <c r="A3" s="617" t="s">
        <v>2508</v>
      </c>
      <c r="B3" s="617" t="s">
        <v>2509</v>
      </c>
      <c r="C3" s="792">
        <v>100</v>
      </c>
      <c r="D3" s="793" t="s">
        <v>124</v>
      </c>
      <c r="E3" s="635">
        <v>3.9416473933649287E-3</v>
      </c>
      <c r="F3" s="635">
        <v>1.1589150710900475E-2</v>
      </c>
      <c r="G3" s="635">
        <v>7.7264934597156404E-5</v>
      </c>
      <c r="H3" s="635">
        <v>7.2702369668246447E-4</v>
      </c>
    </row>
    <row r="4" spans="1:8" ht="12.75">
      <c r="A4" s="24" t="s">
        <v>2508</v>
      </c>
      <c r="B4" s="14" t="s">
        <v>2510</v>
      </c>
      <c r="C4" s="463">
        <v>50</v>
      </c>
      <c r="D4" s="18" t="s">
        <v>2511</v>
      </c>
      <c r="E4" s="12">
        <v>4.9087580568720375E-3</v>
      </c>
      <c r="F4" s="12">
        <v>1.4432629620853081E-2</v>
      </c>
      <c r="G4" s="12">
        <v>9.6222424881516595E-5</v>
      </c>
      <c r="H4" s="12">
        <v>9.0540402843601901E-4</v>
      </c>
    </row>
    <row r="5" spans="1:8" ht="12.75">
      <c r="A5" s="794" t="s">
        <v>2508</v>
      </c>
      <c r="B5" s="617" t="s">
        <v>2510</v>
      </c>
      <c r="C5" s="455">
        <v>50</v>
      </c>
      <c r="D5" s="793" t="s">
        <v>2512</v>
      </c>
      <c r="E5" s="635">
        <v>5.2598080568720387E-3</v>
      </c>
      <c r="F5" s="635">
        <v>1.5464779620853082E-2</v>
      </c>
      <c r="G5" s="635">
        <v>1.0310377488151661E-4</v>
      </c>
      <c r="H5" s="635">
        <v>9.7015402843601893E-4</v>
      </c>
    </row>
    <row r="6" spans="1:8" ht="12.75">
      <c r="A6" s="794" t="s">
        <v>2508</v>
      </c>
      <c r="B6" s="617" t="s">
        <v>2513</v>
      </c>
      <c r="C6" s="455">
        <v>100</v>
      </c>
      <c r="D6" s="793" t="s">
        <v>876</v>
      </c>
      <c r="E6" s="635">
        <v>6.0179999999999999E-3</v>
      </c>
      <c r="F6" s="795">
        <v>1.7694000000000001E-2</v>
      </c>
      <c r="G6" s="635">
        <v>1.17966E-4</v>
      </c>
      <c r="H6" s="635">
        <v>1.1100000000000001E-3</v>
      </c>
    </row>
    <row r="7" spans="1:8" ht="12.75">
      <c r="A7" s="24" t="s">
        <v>2508</v>
      </c>
      <c r="B7" s="14" t="s">
        <v>2514</v>
      </c>
      <c r="C7" s="796">
        <v>80.5</v>
      </c>
      <c r="D7" s="456" t="s">
        <v>72</v>
      </c>
      <c r="E7" s="457">
        <v>0</v>
      </c>
      <c r="F7" s="457">
        <v>0</v>
      </c>
      <c r="G7" s="457">
        <v>0</v>
      </c>
      <c r="H7" s="457">
        <v>0</v>
      </c>
    </row>
    <row r="8" spans="1:8" ht="12.75">
      <c r="A8" s="24" t="s">
        <v>2508</v>
      </c>
      <c r="B8" s="14" t="s">
        <v>2514</v>
      </c>
      <c r="C8" s="792">
        <v>85.641025641025635</v>
      </c>
      <c r="D8" s="18" t="s">
        <v>2515</v>
      </c>
      <c r="E8" s="12">
        <v>5.0661296264537621E-3</v>
      </c>
      <c r="F8" s="12">
        <v>4.1132611249310447E-2</v>
      </c>
      <c r="G8" s="12">
        <v>8.190476190476189E-5</v>
      </c>
      <c r="H8" s="12">
        <v>6.4489013651634311E-4</v>
      </c>
    </row>
    <row r="9" spans="1:8" ht="12.75">
      <c r="A9" s="24" t="s">
        <v>2508</v>
      </c>
      <c r="B9" s="14" t="s">
        <v>2514</v>
      </c>
      <c r="C9" s="792">
        <v>13.589743589743589</v>
      </c>
      <c r="D9" s="18" t="s">
        <v>433</v>
      </c>
      <c r="E9" s="12">
        <v>3.0104466724907065E-4</v>
      </c>
      <c r="F9" s="12">
        <v>1.2500000000000001E-2</v>
      </c>
      <c r="G9" s="12">
        <v>5.1818181818181835E-4</v>
      </c>
      <c r="H9" s="12">
        <v>4.0084080366977777E-4</v>
      </c>
    </row>
    <row r="10" spans="1:8" ht="12.75">
      <c r="A10" s="24" t="s">
        <v>2508</v>
      </c>
      <c r="B10" s="14" t="s">
        <v>2514</v>
      </c>
      <c r="C10" s="792" t="s">
        <v>1666</v>
      </c>
      <c r="D10" s="18" t="s">
        <v>1666</v>
      </c>
      <c r="E10" s="454" t="s">
        <v>1666</v>
      </c>
      <c r="F10" s="454" t="s">
        <v>1666</v>
      </c>
      <c r="G10" s="454" t="s">
        <v>1666</v>
      </c>
      <c r="H10" s="454" t="s">
        <v>1666</v>
      </c>
    </row>
    <row r="11" spans="1:8" ht="12.75">
      <c r="A11" s="24" t="s">
        <v>2508</v>
      </c>
      <c r="B11" s="14" t="s">
        <v>2514</v>
      </c>
      <c r="C11" s="792">
        <v>0.51282051282051277</v>
      </c>
      <c r="D11" s="18" t="s">
        <v>83</v>
      </c>
      <c r="E11" s="12">
        <v>0</v>
      </c>
      <c r="F11" s="12">
        <v>0</v>
      </c>
      <c r="G11" s="12">
        <v>0</v>
      </c>
      <c r="H11" s="12">
        <v>0</v>
      </c>
    </row>
    <row r="12" spans="1:8" ht="12.75">
      <c r="A12" s="794" t="s">
        <v>2508</v>
      </c>
      <c r="B12" s="617" t="s">
        <v>2514</v>
      </c>
      <c r="C12" s="455">
        <v>0.25641025641025639</v>
      </c>
      <c r="D12" s="793" t="s">
        <v>421</v>
      </c>
      <c r="E12" s="635">
        <v>3.372204299368619E-2</v>
      </c>
      <c r="F12" s="635">
        <v>6.4584205812988751E-2</v>
      </c>
      <c r="G12" s="635">
        <v>3.9999999999999998E-6</v>
      </c>
      <c r="H12" s="635">
        <v>1.477309663377164E-3</v>
      </c>
    </row>
    <row r="13" spans="1:8" ht="12.75">
      <c r="A13" s="24" t="s">
        <v>2508</v>
      </c>
      <c r="B13" s="14" t="s">
        <v>2516</v>
      </c>
      <c r="C13" s="796">
        <v>64.128256513026045</v>
      </c>
      <c r="D13" s="456" t="s">
        <v>72</v>
      </c>
      <c r="E13" s="457">
        <v>0</v>
      </c>
      <c r="F13" s="457">
        <v>0</v>
      </c>
      <c r="G13" s="457">
        <v>0</v>
      </c>
      <c r="H13" s="457">
        <v>0</v>
      </c>
    </row>
    <row r="14" spans="1:8" ht="12.75">
      <c r="A14" s="24" t="s">
        <v>2508</v>
      </c>
      <c r="B14" s="14" t="s">
        <v>2516</v>
      </c>
      <c r="C14" s="792">
        <v>36.871508379888262</v>
      </c>
      <c r="D14" s="18" t="s">
        <v>425</v>
      </c>
      <c r="E14" s="12">
        <v>3.8102374934982654E-3</v>
      </c>
      <c r="F14" s="12">
        <v>0.20470422547079484</v>
      </c>
      <c r="G14" s="12">
        <v>1.210810810810811E-4</v>
      </c>
      <c r="H14" s="12">
        <v>1.0002400855855065E-3</v>
      </c>
    </row>
    <row r="15" spans="1:8" ht="12.75">
      <c r="A15" s="24" t="s">
        <v>2508</v>
      </c>
      <c r="B15" s="14" t="s">
        <v>2516</v>
      </c>
      <c r="C15" s="792">
        <v>26.256983240223459</v>
      </c>
      <c r="D15" s="18" t="s">
        <v>319</v>
      </c>
      <c r="E15" s="12">
        <v>1.4285714285714287E-2</v>
      </c>
      <c r="F15" s="12">
        <v>6.2E-2</v>
      </c>
      <c r="G15" s="12">
        <v>3.0000000000000001E-6</v>
      </c>
      <c r="H15" s="12">
        <v>8.9999999999999998E-4</v>
      </c>
    </row>
    <row r="16" spans="1:8" ht="12.75">
      <c r="A16" s="24" t="s">
        <v>2508</v>
      </c>
      <c r="B16" s="14" t="s">
        <v>2516</v>
      </c>
      <c r="C16" s="792">
        <v>26.256983240223459</v>
      </c>
      <c r="D16" s="18" t="s">
        <v>1370</v>
      </c>
      <c r="E16" s="12">
        <v>1.7000000000000001E-2</v>
      </c>
      <c r="F16" s="12">
        <v>3.15E-2</v>
      </c>
      <c r="G16" s="12">
        <v>9.9999999999999995E-7</v>
      </c>
      <c r="H16" s="12">
        <v>9.0389601227534877E-4</v>
      </c>
    </row>
    <row r="17" spans="1:8" ht="12.75">
      <c r="A17" s="24" t="s">
        <v>2508</v>
      </c>
      <c r="B17" s="14" t="s">
        <v>2516</v>
      </c>
      <c r="C17" s="792">
        <v>5.5865921787709487</v>
      </c>
      <c r="D17" s="18" t="s">
        <v>2517</v>
      </c>
      <c r="E17" s="12">
        <v>3.8102374934982654E-3</v>
      </c>
      <c r="F17" s="12">
        <v>0.20470422547079484</v>
      </c>
      <c r="G17" s="12">
        <v>1.210810810810811E-4</v>
      </c>
      <c r="H17" s="12">
        <v>1.0002400855855065E-3</v>
      </c>
    </row>
    <row r="18" spans="1:8" ht="12.75">
      <c r="A18" s="794" t="s">
        <v>2508</v>
      </c>
      <c r="B18" s="617" t="s">
        <v>2516</v>
      </c>
      <c r="C18" s="455">
        <v>5.0279329608938541</v>
      </c>
      <c r="D18" s="797" t="s">
        <v>2518</v>
      </c>
      <c r="E18" s="798">
        <v>3.9416473933649287E-3</v>
      </c>
      <c r="F18" s="798">
        <v>1.1589150710900475E-2</v>
      </c>
      <c r="G18" s="798">
        <v>7.7264934597156404E-5</v>
      </c>
      <c r="H18" s="798">
        <v>7.2702369668246447E-4</v>
      </c>
    </row>
    <row r="19" spans="1:8" ht="12.75">
      <c r="A19" s="24" t="s">
        <v>2508</v>
      </c>
      <c r="B19" s="14" t="s">
        <v>2519</v>
      </c>
      <c r="C19" s="796">
        <v>68.067875337129166</v>
      </c>
      <c r="D19" s="456" t="s">
        <v>72</v>
      </c>
      <c r="E19" s="457">
        <v>0</v>
      </c>
      <c r="F19" s="457">
        <v>0</v>
      </c>
      <c r="G19" s="457">
        <v>0</v>
      </c>
      <c r="H19" s="457">
        <v>0</v>
      </c>
    </row>
    <row r="20" spans="1:8" ht="12.75">
      <c r="A20" s="24" t="s">
        <v>2508</v>
      </c>
      <c r="B20" s="14" t="s">
        <v>2519</v>
      </c>
      <c r="C20" s="792">
        <v>43.041863338079871</v>
      </c>
      <c r="D20" s="18" t="s">
        <v>227</v>
      </c>
      <c r="E20" s="12">
        <v>2.5055367220000002E-3</v>
      </c>
      <c r="F20" s="12">
        <v>3.8459841414181101E-2</v>
      </c>
      <c r="G20" s="12">
        <v>1.1035422343324251E-4</v>
      </c>
      <c r="H20" s="12">
        <v>8.109653861711444E-4</v>
      </c>
    </row>
    <row r="21" spans="1:8" ht="12.75">
      <c r="A21" s="24" t="s">
        <v>2508</v>
      </c>
      <c r="B21" s="14" t="s">
        <v>2519</v>
      </c>
      <c r="C21" s="792">
        <v>24.208909454166793</v>
      </c>
      <c r="D21" s="18" t="s">
        <v>425</v>
      </c>
      <c r="E21" s="12">
        <v>3.8102374934982654E-3</v>
      </c>
      <c r="F21" s="12">
        <v>0.20470422547079484</v>
      </c>
      <c r="G21" s="12">
        <v>1.210810810810811E-4</v>
      </c>
      <c r="H21" s="12">
        <v>1.0002400855855065E-3</v>
      </c>
    </row>
    <row r="22" spans="1:8" ht="12.75">
      <c r="A22" s="24" t="s">
        <v>2508</v>
      </c>
      <c r="B22" s="14" t="s">
        <v>2519</v>
      </c>
      <c r="C22" s="792">
        <v>5.8920250026648011</v>
      </c>
      <c r="D22" s="18" t="s">
        <v>433</v>
      </c>
      <c r="E22" s="12">
        <v>3.0104466724907065E-4</v>
      </c>
      <c r="F22" s="12">
        <v>1.2500000000000001E-2</v>
      </c>
      <c r="G22" s="12">
        <v>5.1818181818181835E-4</v>
      </c>
      <c r="H22" s="12">
        <v>4.0084080366977777E-4</v>
      </c>
    </row>
    <row r="23" spans="1:8" ht="12.75">
      <c r="A23" s="24" t="s">
        <v>2508</v>
      </c>
      <c r="B23" s="14" t="s">
        <v>2519</v>
      </c>
      <c r="C23" s="792">
        <v>9.6335160885643152</v>
      </c>
      <c r="D23" s="18" t="s">
        <v>2520</v>
      </c>
      <c r="E23" s="12">
        <v>2.9691872042618299E-2</v>
      </c>
      <c r="F23" s="12">
        <v>7.5368545517799299E-2</v>
      </c>
      <c r="G23" s="12">
        <v>2.9014018691588786E-4</v>
      </c>
      <c r="H23" s="12">
        <v>1.4770983615231311E-3</v>
      </c>
    </row>
    <row r="24" spans="1:8" ht="12.75">
      <c r="A24" s="24" t="s">
        <v>2508</v>
      </c>
      <c r="B24" s="14" t="s">
        <v>2519</v>
      </c>
      <c r="C24" s="792">
        <v>7.0079083089857086</v>
      </c>
      <c r="D24" s="18" t="s">
        <v>2521</v>
      </c>
      <c r="E24" s="12">
        <v>1.0652903141570055E-3</v>
      </c>
      <c r="F24" s="12">
        <v>1.7273631840796021E-2</v>
      </c>
      <c r="G24" s="12">
        <v>1.3582399999999999E-4</v>
      </c>
      <c r="H24" s="12">
        <v>2.14E-3</v>
      </c>
    </row>
    <row r="25" spans="1:8" ht="12.75">
      <c r="A25" s="24" t="s">
        <v>2508</v>
      </c>
      <c r="B25" s="14" t="s">
        <v>2519</v>
      </c>
      <c r="C25" s="792">
        <v>9.1584422257509956</v>
      </c>
      <c r="D25" s="18" t="s">
        <v>2522</v>
      </c>
      <c r="E25" s="12">
        <v>1.7000000000000001E-2</v>
      </c>
      <c r="F25" s="12">
        <v>3.15E-2</v>
      </c>
      <c r="G25" s="12">
        <v>9.9999999999999995E-7</v>
      </c>
      <c r="H25" s="12">
        <v>9.0389601227534877E-4</v>
      </c>
    </row>
    <row r="26" spans="1:8" ht="12.75">
      <c r="A26" s="24" t="s">
        <v>2508</v>
      </c>
      <c r="B26" s="14" t="s">
        <v>2519</v>
      </c>
      <c r="C26" s="792" t="s">
        <v>1666</v>
      </c>
      <c r="D26" s="18" t="s">
        <v>1666</v>
      </c>
      <c r="E26" s="454" t="s">
        <v>1666</v>
      </c>
      <c r="F26" s="454" t="s">
        <v>1666</v>
      </c>
      <c r="G26" s="454" t="s">
        <v>1666</v>
      </c>
      <c r="H26" s="454" t="s">
        <v>1666</v>
      </c>
    </row>
    <row r="27" spans="1:8" ht="12.75">
      <c r="A27" s="24" t="s">
        <v>2508</v>
      </c>
      <c r="B27" s="14" t="s">
        <v>2519</v>
      </c>
      <c r="C27" s="792" t="s">
        <v>1666</v>
      </c>
      <c r="D27" s="18" t="s">
        <v>1666</v>
      </c>
      <c r="E27" s="454" t="s">
        <v>1666</v>
      </c>
      <c r="F27" s="454" t="s">
        <v>1666</v>
      </c>
      <c r="G27" s="454" t="s">
        <v>1666</v>
      </c>
      <c r="H27" s="454" t="s">
        <v>1666</v>
      </c>
    </row>
    <row r="28" spans="1:8" ht="12.75">
      <c r="A28" s="24" t="s">
        <v>2508</v>
      </c>
      <c r="B28" s="14" t="s">
        <v>2519</v>
      </c>
      <c r="C28" s="792" t="s">
        <v>1666</v>
      </c>
      <c r="D28" s="18" t="s">
        <v>1666</v>
      </c>
      <c r="E28" s="454" t="s">
        <v>1666</v>
      </c>
      <c r="F28" s="454" t="s">
        <v>1666</v>
      </c>
      <c r="G28" s="454" t="s">
        <v>1666</v>
      </c>
      <c r="H28" s="454" t="s">
        <v>1666</v>
      </c>
    </row>
    <row r="29" spans="1:8" ht="12.75">
      <c r="A29" s="24" t="s">
        <v>2508</v>
      </c>
      <c r="B29" s="14" t="s">
        <v>2519</v>
      </c>
      <c r="C29" s="792" t="s">
        <v>1666</v>
      </c>
      <c r="D29" s="18" t="s">
        <v>1666</v>
      </c>
      <c r="E29" s="454" t="s">
        <v>1666</v>
      </c>
      <c r="F29" s="454" t="s">
        <v>1666</v>
      </c>
      <c r="G29" s="454" t="s">
        <v>1666</v>
      </c>
      <c r="H29" s="454" t="s">
        <v>1666</v>
      </c>
    </row>
    <row r="30" spans="1:8" ht="12.75">
      <c r="A30" s="24" t="s">
        <v>2508</v>
      </c>
      <c r="B30" s="14" t="s">
        <v>2519</v>
      </c>
      <c r="C30" s="792" t="s">
        <v>1666</v>
      </c>
      <c r="D30" s="18" t="s">
        <v>1666</v>
      </c>
      <c r="E30" s="454" t="s">
        <v>1666</v>
      </c>
      <c r="F30" s="454" t="s">
        <v>1666</v>
      </c>
      <c r="G30" s="454" t="s">
        <v>1666</v>
      </c>
      <c r="H30" s="454" t="s">
        <v>1666</v>
      </c>
    </row>
    <row r="31" spans="1:8" ht="12.75">
      <c r="A31" s="24" t="s">
        <v>2508</v>
      </c>
      <c r="B31" s="14" t="s">
        <v>2519</v>
      </c>
      <c r="C31" s="792" t="s">
        <v>1666</v>
      </c>
      <c r="D31" s="18" t="s">
        <v>1666</v>
      </c>
      <c r="E31" s="454" t="s">
        <v>1666</v>
      </c>
      <c r="F31" s="454" t="s">
        <v>1666</v>
      </c>
      <c r="G31" s="454" t="s">
        <v>1666</v>
      </c>
      <c r="H31" s="454" t="s">
        <v>1666</v>
      </c>
    </row>
    <row r="32" spans="1:8" ht="12.75">
      <c r="A32" s="24" t="s">
        <v>2508</v>
      </c>
      <c r="B32" s="14" t="s">
        <v>2519</v>
      </c>
      <c r="C32" s="792" t="s">
        <v>1666</v>
      </c>
      <c r="D32" s="18" t="s">
        <v>1666</v>
      </c>
      <c r="E32" s="454" t="s">
        <v>1666</v>
      </c>
      <c r="F32" s="454" t="s">
        <v>1666</v>
      </c>
      <c r="G32" s="454" t="s">
        <v>1666</v>
      </c>
      <c r="H32" s="454" t="s">
        <v>1666</v>
      </c>
    </row>
    <row r="33" spans="1:8" ht="12.75">
      <c r="A33" s="24" t="s">
        <v>2508</v>
      </c>
      <c r="B33" s="14" t="s">
        <v>2519</v>
      </c>
      <c r="C33" s="792">
        <v>0.41652613827993268</v>
      </c>
      <c r="D33" s="18" t="s">
        <v>319</v>
      </c>
      <c r="E33" s="12">
        <v>1.4285714285714287E-2</v>
      </c>
      <c r="F33" s="12">
        <v>6.2E-2</v>
      </c>
      <c r="G33" s="12">
        <v>3.0000000000000001E-6</v>
      </c>
      <c r="H33" s="12">
        <v>8.9999999999999998E-4</v>
      </c>
    </row>
    <row r="34" spans="1:8" ht="12.75">
      <c r="A34" s="24" t="s">
        <v>2508</v>
      </c>
      <c r="B34" s="14" t="s">
        <v>2519</v>
      </c>
      <c r="C34" s="792" t="s">
        <v>1666</v>
      </c>
      <c r="D34" s="18" t="s">
        <v>1666</v>
      </c>
      <c r="E34" s="454" t="s">
        <v>1666</v>
      </c>
      <c r="F34" s="454" t="s">
        <v>1666</v>
      </c>
      <c r="G34" s="454" t="s">
        <v>1666</v>
      </c>
      <c r="H34" s="454" t="s">
        <v>1666</v>
      </c>
    </row>
    <row r="35" spans="1:8" ht="12.75">
      <c r="A35" s="794" t="s">
        <v>2508</v>
      </c>
      <c r="B35" s="617" t="s">
        <v>2519</v>
      </c>
      <c r="C35" s="455">
        <v>0.64080944350758862</v>
      </c>
      <c r="D35" s="793" t="s">
        <v>2523</v>
      </c>
      <c r="E35" s="635">
        <v>4.1127278199052132E-2</v>
      </c>
      <c r="F35" s="635">
        <v>0.12092157867298578</v>
      </c>
      <c r="G35" s="635">
        <v>8.0618486208530824E-4</v>
      </c>
      <c r="H35" s="635">
        <v>7.5857890995260661E-3</v>
      </c>
    </row>
    <row r="36" spans="1:8" ht="12.75">
      <c r="A36" s="24" t="s">
        <v>2508</v>
      </c>
      <c r="B36" s="14" t="s">
        <v>2524</v>
      </c>
      <c r="C36" s="792">
        <v>43.253067305881572</v>
      </c>
      <c r="D36" s="18" t="s">
        <v>124</v>
      </c>
      <c r="E36" s="12">
        <v>3.9416473933649287E-3</v>
      </c>
      <c r="F36" s="12">
        <v>1.1589150710900475E-2</v>
      </c>
      <c r="G36" s="12">
        <v>7.7264934597156404E-5</v>
      </c>
      <c r="H36" s="12">
        <v>7.2702369668246447E-4</v>
      </c>
    </row>
    <row r="37" spans="1:8" ht="12.75">
      <c r="A37" s="24" t="s">
        <v>2508</v>
      </c>
      <c r="B37" s="14" t="s">
        <v>2524</v>
      </c>
      <c r="C37" s="796">
        <v>6.7894642298702053</v>
      </c>
      <c r="D37" s="456" t="s">
        <v>72</v>
      </c>
      <c r="E37" s="457">
        <v>0</v>
      </c>
      <c r="F37" s="457">
        <v>0</v>
      </c>
      <c r="G37" s="457">
        <v>0</v>
      </c>
      <c r="H37" s="457">
        <v>0</v>
      </c>
    </row>
    <row r="38" spans="1:8" ht="12.75">
      <c r="A38" s="24" t="s">
        <v>2508</v>
      </c>
      <c r="B38" s="14" t="s">
        <v>2524</v>
      </c>
      <c r="C38" s="792">
        <v>10.573197823593059</v>
      </c>
      <c r="D38" s="18" t="s">
        <v>433</v>
      </c>
      <c r="E38" s="12">
        <v>3.0104466724907065E-4</v>
      </c>
      <c r="F38" s="12">
        <v>1.2500000000000001E-2</v>
      </c>
      <c r="G38" s="12">
        <v>5.1818181818181835E-4</v>
      </c>
      <c r="H38" s="12">
        <v>4.0084080366977777E-4</v>
      </c>
    </row>
    <row r="39" spans="1:8" ht="12.75">
      <c r="A39" s="24" t="s">
        <v>2508</v>
      </c>
      <c r="B39" s="14" t="s">
        <v>2524</v>
      </c>
      <c r="C39" s="792">
        <v>4.2880401104256975</v>
      </c>
      <c r="D39" s="18" t="s">
        <v>2525</v>
      </c>
      <c r="E39" s="12">
        <v>3.8102374934982654E-3</v>
      </c>
      <c r="F39" s="12">
        <v>0.20470422547079484</v>
      </c>
      <c r="G39" s="12">
        <v>1.210810810810811E-4</v>
      </c>
      <c r="H39" s="12">
        <v>1.0002400855855065E-3</v>
      </c>
    </row>
    <row r="40" spans="1:8" ht="12.75">
      <c r="A40" s="24" t="s">
        <v>2508</v>
      </c>
      <c r="B40" s="14" t="s">
        <v>2524</v>
      </c>
      <c r="C40" s="792" t="s">
        <v>1666</v>
      </c>
      <c r="D40" s="18" t="s">
        <v>1666</v>
      </c>
      <c r="E40" s="454" t="s">
        <v>1666</v>
      </c>
      <c r="F40" s="454" t="s">
        <v>1666</v>
      </c>
      <c r="G40" s="454" t="s">
        <v>1666</v>
      </c>
      <c r="H40" s="454" t="s">
        <v>1666</v>
      </c>
    </row>
    <row r="41" spans="1:8" ht="12.75">
      <c r="A41" s="24" t="s">
        <v>2508</v>
      </c>
      <c r="B41" s="14" t="s">
        <v>2524</v>
      </c>
      <c r="C41" s="792">
        <v>0.7615062761506276</v>
      </c>
      <c r="D41" s="18" t="s">
        <v>2526</v>
      </c>
      <c r="E41" s="12">
        <v>5.0851930036188197E-3</v>
      </c>
      <c r="F41" s="12">
        <v>5.9995417730640897E-2</v>
      </c>
      <c r="G41" s="12">
        <v>3.4699999999999998E-4</v>
      </c>
      <c r="H41" s="12">
        <v>2.9762429672480995E-4</v>
      </c>
    </row>
    <row r="42" spans="1:8" ht="12.75">
      <c r="A42" s="24" t="s">
        <v>2508</v>
      </c>
      <c r="B42" s="14" t="s">
        <v>2524</v>
      </c>
      <c r="C42" s="792">
        <v>0.18828451882845187</v>
      </c>
      <c r="D42" s="18" t="s">
        <v>433</v>
      </c>
      <c r="E42" s="12">
        <v>2.9559941486988851E-4</v>
      </c>
      <c r="F42" s="12">
        <v>1.227390180878553E-2</v>
      </c>
      <c r="G42" s="12">
        <v>5.0880902043692758E-4</v>
      </c>
      <c r="H42" s="12">
        <v>3.9359045321580248E-4</v>
      </c>
    </row>
    <row r="43" spans="1:8" ht="12.75">
      <c r="A43" s="24" t="s">
        <v>2508</v>
      </c>
      <c r="B43" s="14" t="s">
        <v>2524</v>
      </c>
      <c r="C43" s="792">
        <v>0.35816162732559664</v>
      </c>
      <c r="D43" s="18" t="s">
        <v>421</v>
      </c>
      <c r="E43" s="12">
        <v>3.372204299368619E-2</v>
      </c>
      <c r="F43" s="12">
        <v>6.4584205812988751E-2</v>
      </c>
      <c r="G43" s="12">
        <v>3.9999999999999998E-6</v>
      </c>
      <c r="H43" s="12">
        <v>1.477309663377164E-3</v>
      </c>
    </row>
    <row r="44" spans="1:8" ht="12.75">
      <c r="A44" s="24" t="s">
        <v>2508</v>
      </c>
      <c r="B44" s="14" t="s">
        <v>2524</v>
      </c>
      <c r="C44" s="792">
        <v>5.6482712863028119</v>
      </c>
      <c r="D44" s="18" t="s">
        <v>2527</v>
      </c>
      <c r="E44" s="12">
        <v>1.5483515402843602E-2</v>
      </c>
      <c r="F44" s="12">
        <v>4.5524313981042654E-2</v>
      </c>
      <c r="G44" s="12">
        <v>3.0351086374407588E-4</v>
      </c>
      <c r="H44" s="12">
        <v>2.8558827014218014E-3</v>
      </c>
    </row>
    <row r="45" spans="1:8" ht="12.75">
      <c r="A45" s="24" t="s">
        <v>2508</v>
      </c>
      <c r="B45" s="14" t="s">
        <v>2524</v>
      </c>
      <c r="C45" s="792" t="s">
        <v>1666</v>
      </c>
      <c r="D45" s="18" t="s">
        <v>1666</v>
      </c>
      <c r="E45" s="454" t="s">
        <v>1666</v>
      </c>
      <c r="F45" s="454" t="s">
        <v>1666</v>
      </c>
      <c r="G45" s="454" t="s">
        <v>1666</v>
      </c>
      <c r="H45" s="454" t="s">
        <v>1666</v>
      </c>
    </row>
    <row r="46" spans="1:8" ht="12.75">
      <c r="A46" s="24" t="s">
        <v>2508</v>
      </c>
      <c r="B46" s="14" t="s">
        <v>2524</v>
      </c>
      <c r="C46" s="792">
        <v>0.20955588888011717</v>
      </c>
      <c r="D46" s="18" t="s">
        <v>2528</v>
      </c>
      <c r="E46" s="12">
        <v>5.5280749052132698E-2</v>
      </c>
      <c r="F46" s="12">
        <v>0.16253532298578199</v>
      </c>
      <c r="G46" s="12">
        <v>1.0836239353080568E-3</v>
      </c>
      <c r="H46" s="12">
        <v>1.0196349526066351E-2</v>
      </c>
    </row>
    <row r="47" spans="1:8" ht="12.75">
      <c r="A47" s="24" t="s">
        <v>2508</v>
      </c>
      <c r="B47" s="14" t="s">
        <v>2524</v>
      </c>
      <c r="C47" s="792">
        <v>0.59247125075655904</v>
      </c>
      <c r="D47" s="18" t="s">
        <v>139</v>
      </c>
      <c r="E47" s="12">
        <v>4.0165275294130297E-3</v>
      </c>
      <c r="F47" s="12">
        <v>3.2725331200335404E-2</v>
      </c>
      <c r="G47" s="12">
        <v>2.4399999999999999E-4</v>
      </c>
      <c r="H47" s="12">
        <v>2.0392735E-3</v>
      </c>
    </row>
    <row r="48" spans="1:8" ht="12.75">
      <c r="A48" s="24" t="s">
        <v>2508</v>
      </c>
      <c r="B48" s="14" t="s">
        <v>2524</v>
      </c>
      <c r="C48" s="792" t="s">
        <v>1666</v>
      </c>
      <c r="D48" s="18" t="s">
        <v>1666</v>
      </c>
      <c r="E48" s="454" t="s">
        <v>1666</v>
      </c>
      <c r="F48" s="454" t="s">
        <v>1666</v>
      </c>
      <c r="G48" s="454" t="s">
        <v>1666</v>
      </c>
      <c r="H48" s="454" t="s">
        <v>1666</v>
      </c>
    </row>
    <row r="49" spans="1:8" ht="12.75">
      <c r="A49" s="24" t="s">
        <v>2508</v>
      </c>
      <c r="B49" s="14" t="s">
        <v>2524</v>
      </c>
      <c r="C49" s="792">
        <v>3.1380753138075312E-2</v>
      </c>
      <c r="D49" s="18" t="s">
        <v>346</v>
      </c>
      <c r="E49" s="12">
        <v>2.9691872042618299E-2</v>
      </c>
      <c r="F49" s="12">
        <v>7.5368545517799299E-2</v>
      </c>
      <c r="G49" s="12">
        <v>2.9014018691588786E-4</v>
      </c>
      <c r="H49" s="12">
        <v>1.4770983615231311E-3</v>
      </c>
    </row>
    <row r="50" spans="1:8" ht="12.75">
      <c r="A50" s="24" t="s">
        <v>2508</v>
      </c>
      <c r="B50" s="14" t="s">
        <v>2524</v>
      </c>
      <c r="C50" s="792" t="s">
        <v>1666</v>
      </c>
      <c r="D50" s="18" t="s">
        <v>1666</v>
      </c>
      <c r="E50" s="454" t="s">
        <v>1666</v>
      </c>
      <c r="F50" s="454" t="s">
        <v>1666</v>
      </c>
      <c r="G50" s="454" t="s">
        <v>1666</v>
      </c>
      <c r="H50" s="454" t="s">
        <v>1666</v>
      </c>
    </row>
    <row r="51" spans="1:8" ht="12.75">
      <c r="A51" s="24" t="s">
        <v>2508</v>
      </c>
      <c r="B51" s="14" t="s">
        <v>2524</v>
      </c>
      <c r="C51" s="792" t="s">
        <v>1666</v>
      </c>
      <c r="D51" s="18" t="s">
        <v>1666</v>
      </c>
      <c r="E51" s="454" t="s">
        <v>1666</v>
      </c>
      <c r="F51" s="454" t="s">
        <v>1666</v>
      </c>
      <c r="G51" s="454" t="s">
        <v>1666</v>
      </c>
      <c r="H51" s="454" t="s">
        <v>1666</v>
      </c>
    </row>
    <row r="52" spans="1:8" ht="12.75">
      <c r="A52" s="24" t="s">
        <v>2508</v>
      </c>
      <c r="B52" s="14" t="s">
        <v>2524</v>
      </c>
      <c r="C52" s="792">
        <v>3.1380753138075312E-2</v>
      </c>
      <c r="D52" s="18" t="s">
        <v>430</v>
      </c>
      <c r="E52" s="12">
        <v>0</v>
      </c>
      <c r="F52" s="12">
        <v>0</v>
      </c>
      <c r="G52" s="12">
        <v>0</v>
      </c>
      <c r="H52" s="12">
        <v>0</v>
      </c>
    </row>
    <row r="53" spans="1:8" ht="12.75">
      <c r="A53" s="24" t="s">
        <v>2508</v>
      </c>
      <c r="B53" s="14" t="s">
        <v>2524</v>
      </c>
      <c r="C53" s="792" t="s">
        <v>1624</v>
      </c>
      <c r="D53" s="18" t="s">
        <v>1624</v>
      </c>
      <c r="E53" s="454" t="s">
        <v>1624</v>
      </c>
      <c r="F53" s="454" t="s">
        <v>1624</v>
      </c>
      <c r="G53" s="454" t="s">
        <v>1624</v>
      </c>
      <c r="H53" s="454" t="s">
        <v>1624</v>
      </c>
    </row>
    <row r="54" spans="1:8" ht="12.75">
      <c r="A54" s="24" t="s">
        <v>2508</v>
      </c>
      <c r="B54" s="14" t="s">
        <v>2524</v>
      </c>
      <c r="C54" s="792">
        <v>3.1380753138075312E-2</v>
      </c>
      <c r="D54" s="18" t="s">
        <v>2529</v>
      </c>
      <c r="E54" s="12">
        <v>2.2558902713754649E-4</v>
      </c>
      <c r="F54" s="12">
        <v>9.3669250645994837E-3</v>
      </c>
      <c r="G54" s="12">
        <v>3.8830162085976054E-4</v>
      </c>
      <c r="H54" s="12">
        <v>3.0037166166469137E-4</v>
      </c>
    </row>
    <row r="55" spans="1:8" ht="12.75">
      <c r="A55" s="24" t="s">
        <v>2508</v>
      </c>
      <c r="B55" s="14" t="s">
        <v>2524</v>
      </c>
      <c r="C55" s="792" t="s">
        <v>1666</v>
      </c>
      <c r="D55" s="18" t="s">
        <v>1666</v>
      </c>
      <c r="E55" s="454" t="s">
        <v>1666</v>
      </c>
      <c r="F55" s="454" t="s">
        <v>1666</v>
      </c>
      <c r="G55" s="454" t="s">
        <v>1666</v>
      </c>
      <c r="H55" s="454" t="s">
        <v>1666</v>
      </c>
    </row>
    <row r="56" spans="1:8" ht="12.75">
      <c r="A56" s="24" t="s">
        <v>2508</v>
      </c>
      <c r="B56" s="14" t="s">
        <v>2524</v>
      </c>
      <c r="C56" s="792">
        <v>4.9352215774933095</v>
      </c>
      <c r="D56" s="18" t="s">
        <v>2530</v>
      </c>
      <c r="E56" s="12">
        <v>2.5055367220000002E-3</v>
      </c>
      <c r="F56" s="12">
        <v>3.8459841414181101E-2</v>
      </c>
      <c r="G56" s="12">
        <v>1.1035422343324251E-4</v>
      </c>
      <c r="H56" s="12">
        <v>8.109653861711444E-4</v>
      </c>
    </row>
    <row r="57" spans="1:8" ht="12.75">
      <c r="A57" s="24" t="s">
        <v>2508</v>
      </c>
      <c r="B57" s="14" t="s">
        <v>2524</v>
      </c>
      <c r="C57" s="792">
        <v>3.1380753138075312E-2</v>
      </c>
      <c r="D57" s="458" t="s">
        <v>2531</v>
      </c>
      <c r="E57" s="12">
        <v>5.688340995260663E-3</v>
      </c>
      <c r="F57" s="12">
        <v>1.672474336492891E-2</v>
      </c>
      <c r="G57" s="12">
        <v>1.1150396042654029E-4</v>
      </c>
      <c r="H57" s="12">
        <v>1.0491954976303319E-3</v>
      </c>
    </row>
    <row r="58" spans="1:8" ht="12.75">
      <c r="A58" s="24" t="s">
        <v>2508</v>
      </c>
      <c r="B58" s="14" t="s">
        <v>2524</v>
      </c>
      <c r="C58" s="792" t="s">
        <v>1666</v>
      </c>
      <c r="D58" s="458" t="s">
        <v>1666</v>
      </c>
      <c r="E58" s="454" t="s">
        <v>1666</v>
      </c>
      <c r="F58" s="454" t="s">
        <v>1666</v>
      </c>
      <c r="G58" s="454" t="s">
        <v>1666</v>
      </c>
      <c r="H58" s="454" t="s">
        <v>1666</v>
      </c>
    </row>
    <row r="59" spans="1:8" ht="12.75">
      <c r="A59" s="24" t="s">
        <v>2508</v>
      </c>
      <c r="B59" s="14" t="s">
        <v>2524</v>
      </c>
      <c r="C59" s="792" t="s">
        <v>1666</v>
      </c>
      <c r="D59" s="458" t="s">
        <v>1666</v>
      </c>
      <c r="E59" s="454" t="s">
        <v>1666</v>
      </c>
      <c r="F59" s="454" t="s">
        <v>1666</v>
      </c>
      <c r="G59" s="454" t="s">
        <v>1666</v>
      </c>
      <c r="H59" s="454" t="s">
        <v>1666</v>
      </c>
    </row>
    <row r="60" spans="1:8" ht="12.75">
      <c r="A60" s="24" t="s">
        <v>2508</v>
      </c>
      <c r="B60" s="14" t="s">
        <v>2524</v>
      </c>
      <c r="C60" s="792" t="s">
        <v>1666</v>
      </c>
      <c r="D60" s="458" t="s">
        <v>1666</v>
      </c>
      <c r="E60" s="454" t="s">
        <v>1666</v>
      </c>
      <c r="F60" s="454" t="s">
        <v>1666</v>
      </c>
      <c r="G60" s="454" t="s">
        <v>1666</v>
      </c>
      <c r="H60" s="454" t="s">
        <v>1666</v>
      </c>
    </row>
    <row r="61" spans="1:8" ht="12.75">
      <c r="A61" s="24" t="s">
        <v>2508</v>
      </c>
      <c r="B61" s="14" t="s">
        <v>2524</v>
      </c>
      <c r="C61" s="792" t="s">
        <v>1666</v>
      </c>
      <c r="D61" s="458" t="s">
        <v>1666</v>
      </c>
      <c r="E61" s="454" t="s">
        <v>1666</v>
      </c>
      <c r="F61" s="454" t="s">
        <v>1666</v>
      </c>
      <c r="G61" s="454" t="s">
        <v>1666</v>
      </c>
      <c r="H61" s="454" t="s">
        <v>1666</v>
      </c>
    </row>
    <row r="62" spans="1:8" ht="12.75">
      <c r="A62" s="24" t="s">
        <v>2508</v>
      </c>
      <c r="B62" s="14" t="s">
        <v>2524</v>
      </c>
      <c r="C62" s="792" t="s">
        <v>1666</v>
      </c>
      <c r="D62" s="458" t="s">
        <v>1666</v>
      </c>
      <c r="E62" s="454" t="s">
        <v>1666</v>
      </c>
      <c r="F62" s="454" t="s">
        <v>1666</v>
      </c>
      <c r="G62" s="454" t="s">
        <v>1666</v>
      </c>
      <c r="H62" s="454" t="s">
        <v>1666</v>
      </c>
    </row>
    <row r="63" spans="1:8" ht="12.75">
      <c r="A63" s="24" t="s">
        <v>2508</v>
      </c>
      <c r="B63" s="14" t="s">
        <v>2524</v>
      </c>
      <c r="C63" s="792" t="s">
        <v>1666</v>
      </c>
      <c r="D63" s="458" t="s">
        <v>1666</v>
      </c>
      <c r="E63" s="454" t="s">
        <v>1666</v>
      </c>
      <c r="F63" s="454" t="s">
        <v>1666</v>
      </c>
      <c r="G63" s="454" t="s">
        <v>1666</v>
      </c>
      <c r="H63" s="454" t="s">
        <v>1666</v>
      </c>
    </row>
    <row r="64" spans="1:8" ht="12.75">
      <c r="A64" s="24" t="s">
        <v>2508</v>
      </c>
      <c r="B64" s="14" t="s">
        <v>2524</v>
      </c>
      <c r="C64" s="792">
        <v>2.7529145709633371</v>
      </c>
      <c r="D64" s="458" t="s">
        <v>81</v>
      </c>
      <c r="E64" s="12">
        <v>1.9912385503783353E-2</v>
      </c>
      <c r="F64" s="12">
        <v>5.6949422540820388E-2</v>
      </c>
      <c r="G64" s="12">
        <v>3.8829151732377542E-3</v>
      </c>
      <c r="H64" s="12">
        <v>5.6321186778176026E-3</v>
      </c>
    </row>
    <row r="65" spans="1:8" ht="12.75">
      <c r="A65" s="24" t="s">
        <v>2508</v>
      </c>
      <c r="B65" s="14" t="s">
        <v>2524</v>
      </c>
      <c r="C65" s="792">
        <v>0.18987341772151903</v>
      </c>
      <c r="D65" s="458" t="s">
        <v>86</v>
      </c>
      <c r="E65" s="12">
        <v>0</v>
      </c>
      <c r="F65" s="12">
        <v>0</v>
      </c>
      <c r="G65" s="12">
        <v>0</v>
      </c>
      <c r="H65" s="12">
        <v>0</v>
      </c>
    </row>
    <row r="66" spans="1:8" ht="12.75">
      <c r="A66" s="24" t="s">
        <v>2508</v>
      </c>
      <c r="B66" s="14" t="s">
        <v>2524</v>
      </c>
      <c r="C66" s="792" t="s">
        <v>1666</v>
      </c>
      <c r="D66" s="458" t="s">
        <v>1666</v>
      </c>
      <c r="E66" s="454" t="s">
        <v>1666</v>
      </c>
      <c r="F66" s="454" t="s">
        <v>1666</v>
      </c>
      <c r="G66" s="454" t="s">
        <v>1666</v>
      </c>
      <c r="H66" s="454" t="s">
        <v>1666</v>
      </c>
    </row>
    <row r="67" spans="1:8" ht="12.75">
      <c r="A67" s="24" t="s">
        <v>2508</v>
      </c>
      <c r="B67" s="14" t="s">
        <v>2524</v>
      </c>
      <c r="C67" s="792" t="s">
        <v>1666</v>
      </c>
      <c r="D67" s="458" t="s">
        <v>1666</v>
      </c>
      <c r="E67" s="454" t="s">
        <v>1666</v>
      </c>
      <c r="F67" s="454" t="s">
        <v>1666</v>
      </c>
      <c r="G67" s="454" t="s">
        <v>1666</v>
      </c>
      <c r="H67" s="454" t="s">
        <v>1666</v>
      </c>
    </row>
    <row r="68" spans="1:8" ht="12.75">
      <c r="A68" s="24" t="s">
        <v>2508</v>
      </c>
      <c r="B68" s="14" t="s">
        <v>2524</v>
      </c>
      <c r="C68" s="792">
        <v>1.529045441276637</v>
      </c>
      <c r="D68" s="18" t="s">
        <v>2532</v>
      </c>
      <c r="E68" s="12">
        <v>4.0401172748815169E-2</v>
      </c>
      <c r="F68" s="12">
        <v>0.11878669834123222</v>
      </c>
      <c r="G68" s="12">
        <v>7.919516026066351E-4</v>
      </c>
      <c r="H68" s="12">
        <v>7.4518613744075819E-3</v>
      </c>
    </row>
    <row r="69" spans="1:8" ht="12.75">
      <c r="A69" s="24" t="s">
        <v>2508</v>
      </c>
      <c r="B69" s="14" t="s">
        <v>2524</v>
      </c>
      <c r="C69" s="792">
        <v>2.2267441860465116</v>
      </c>
      <c r="D69" s="18" t="s">
        <v>2533</v>
      </c>
      <c r="E69" s="12">
        <v>3.0177940758293843E-3</v>
      </c>
      <c r="F69" s="12">
        <v>8.8728561611374421E-3</v>
      </c>
      <c r="G69" s="12">
        <v>5.9155383175355464E-5</v>
      </c>
      <c r="H69" s="12">
        <v>5.56622037914692E-4</v>
      </c>
    </row>
    <row r="70" spans="1:8" ht="12.75">
      <c r="A70" s="24" t="s">
        <v>2508</v>
      </c>
      <c r="B70" s="14" t="s">
        <v>2524</v>
      </c>
      <c r="C70" s="792" t="s">
        <v>1666</v>
      </c>
      <c r="D70" s="18" t="s">
        <v>1666</v>
      </c>
      <c r="E70" s="454" t="s">
        <v>1666</v>
      </c>
      <c r="F70" s="454" t="s">
        <v>1666</v>
      </c>
      <c r="G70" s="454" t="s">
        <v>1666</v>
      </c>
      <c r="H70" s="454" t="s">
        <v>1666</v>
      </c>
    </row>
    <row r="71" spans="1:8" ht="12.75">
      <c r="A71" s="24" t="s">
        <v>2508</v>
      </c>
      <c r="B71" s="14" t="s">
        <v>2524</v>
      </c>
      <c r="C71" s="792">
        <v>0.13953488372093023</v>
      </c>
      <c r="D71" s="18" t="s">
        <v>438</v>
      </c>
      <c r="E71" s="12">
        <v>0</v>
      </c>
      <c r="F71" s="12">
        <v>0</v>
      </c>
      <c r="G71" s="12">
        <v>0</v>
      </c>
      <c r="H71" s="12">
        <v>0</v>
      </c>
    </row>
    <row r="72" spans="1:8" ht="12.75">
      <c r="A72" s="24" t="s">
        <v>2508</v>
      </c>
      <c r="B72" s="14" t="s">
        <v>2524</v>
      </c>
      <c r="C72" s="792">
        <v>15.59500481108125</v>
      </c>
      <c r="D72" s="18" t="s">
        <v>876</v>
      </c>
      <c r="E72" s="12">
        <v>6.0179999999999999E-3</v>
      </c>
      <c r="F72" s="23">
        <v>1.7694000000000001E-2</v>
      </c>
      <c r="G72" s="12">
        <v>1.17966E-4</v>
      </c>
      <c r="H72" s="12">
        <v>1.1100000000000001E-3</v>
      </c>
    </row>
    <row r="73" spans="1:8" ht="12.75">
      <c r="A73" s="24" t="s">
        <v>2508</v>
      </c>
      <c r="B73" s="14" t="s">
        <v>2524</v>
      </c>
      <c r="C73" s="792" t="s">
        <v>1666</v>
      </c>
      <c r="D73" s="458" t="s">
        <v>1666</v>
      </c>
      <c r="E73" s="454" t="s">
        <v>1666</v>
      </c>
      <c r="F73" s="454" t="s">
        <v>1666</v>
      </c>
      <c r="G73" s="454" t="s">
        <v>1666</v>
      </c>
      <c r="H73" s="454" t="s">
        <v>1666</v>
      </c>
    </row>
    <row r="74" spans="1:8" ht="12.75">
      <c r="A74" s="24" t="s">
        <v>2508</v>
      </c>
      <c r="B74" s="14" t="s">
        <v>2524</v>
      </c>
      <c r="C74" s="792" t="s">
        <v>1666</v>
      </c>
      <c r="D74" s="458" t="s">
        <v>1666</v>
      </c>
      <c r="E74" s="454" t="s">
        <v>1666</v>
      </c>
      <c r="F74" s="454" t="s">
        <v>1666</v>
      </c>
      <c r="G74" s="454" t="s">
        <v>1666</v>
      </c>
      <c r="H74" s="454" t="s">
        <v>1666</v>
      </c>
    </row>
    <row r="75" spans="1:8" ht="12.75">
      <c r="A75" s="24" t="s">
        <v>2508</v>
      </c>
      <c r="B75" s="14" t="s">
        <v>2524</v>
      </c>
      <c r="C75" s="792" t="s">
        <v>1666</v>
      </c>
      <c r="D75" s="458" t="s">
        <v>1666</v>
      </c>
      <c r="E75" s="454" t="s">
        <v>1666</v>
      </c>
      <c r="F75" s="454" t="s">
        <v>1666</v>
      </c>
      <c r="G75" s="454" t="s">
        <v>1666</v>
      </c>
      <c r="H75" s="454" t="s">
        <v>1666</v>
      </c>
    </row>
    <row r="76" spans="1:8" ht="12.75">
      <c r="A76" s="24" t="s">
        <v>2508</v>
      </c>
      <c r="B76" s="14" t="s">
        <v>2524</v>
      </c>
      <c r="C76" s="792" t="s">
        <v>1666</v>
      </c>
      <c r="D76" s="458" t="s">
        <v>1666</v>
      </c>
      <c r="E76" s="454" t="s">
        <v>1666</v>
      </c>
      <c r="F76" s="454" t="s">
        <v>1666</v>
      </c>
      <c r="G76" s="454" t="s">
        <v>1666</v>
      </c>
      <c r="H76" s="454" t="s">
        <v>1666</v>
      </c>
    </row>
    <row r="77" spans="1:8" ht="12.75">
      <c r="A77" s="24" t="s">
        <v>2508</v>
      </c>
      <c r="B77" s="14" t="s">
        <v>2524</v>
      </c>
      <c r="C77" s="792" t="s">
        <v>1666</v>
      </c>
      <c r="D77" s="458" t="s">
        <v>1666</v>
      </c>
      <c r="E77" s="454" t="s">
        <v>1666</v>
      </c>
      <c r="F77" s="454" t="s">
        <v>1666</v>
      </c>
      <c r="G77" s="454" t="s">
        <v>1666</v>
      </c>
      <c r="H77" s="454" t="s">
        <v>1666</v>
      </c>
    </row>
    <row r="78" spans="1:8" ht="12.75">
      <c r="A78" s="24" t="s">
        <v>2508</v>
      </c>
      <c r="B78" s="14" t="s">
        <v>2524</v>
      </c>
      <c r="C78" s="792" t="s">
        <v>1666</v>
      </c>
      <c r="D78" s="458" t="s">
        <v>1666</v>
      </c>
      <c r="E78" s="454" t="s">
        <v>1666</v>
      </c>
      <c r="F78" s="454" t="s">
        <v>1666</v>
      </c>
      <c r="G78" s="454" t="s">
        <v>1666</v>
      </c>
      <c r="H78" s="454" t="s">
        <v>1666</v>
      </c>
    </row>
    <row r="79" spans="1:8" ht="12.75">
      <c r="A79" s="24" t="s">
        <v>2508</v>
      </c>
      <c r="B79" s="14" t="s">
        <v>2524</v>
      </c>
      <c r="C79" s="792" t="s">
        <v>1666</v>
      </c>
      <c r="D79" s="458" t="s">
        <v>1666</v>
      </c>
      <c r="E79" s="454" t="s">
        <v>1666</v>
      </c>
      <c r="F79" s="454" t="s">
        <v>1666</v>
      </c>
      <c r="G79" s="454" t="s">
        <v>1666</v>
      </c>
      <c r="H79" s="454" t="s">
        <v>1666</v>
      </c>
    </row>
    <row r="80" spans="1:8" ht="12.75">
      <c r="A80" s="24" t="s">
        <v>2508</v>
      </c>
      <c r="B80" s="14" t="s">
        <v>2524</v>
      </c>
      <c r="C80" s="792" t="s">
        <v>1666</v>
      </c>
      <c r="D80" s="458" t="s">
        <v>1666</v>
      </c>
      <c r="E80" s="454" t="s">
        <v>1666</v>
      </c>
      <c r="F80" s="454" t="s">
        <v>1666</v>
      </c>
      <c r="G80" s="454" t="s">
        <v>1666</v>
      </c>
      <c r="H80" s="454" t="s">
        <v>1666</v>
      </c>
    </row>
    <row r="81" spans="1:8" ht="12.75">
      <c r="A81" s="24" t="s">
        <v>2508</v>
      </c>
      <c r="B81" s="14" t="s">
        <v>2524</v>
      </c>
      <c r="C81" s="792" t="s">
        <v>1666</v>
      </c>
      <c r="D81" s="458" t="s">
        <v>1666</v>
      </c>
      <c r="E81" s="454" t="s">
        <v>1666</v>
      </c>
      <c r="F81" s="454" t="s">
        <v>1666</v>
      </c>
      <c r="G81" s="454" t="s">
        <v>1666</v>
      </c>
      <c r="H81" s="454" t="s">
        <v>1666</v>
      </c>
    </row>
    <row r="82" spans="1:8" ht="12.75">
      <c r="A82" s="24" t="s">
        <v>2508</v>
      </c>
      <c r="B82" s="14" t="s">
        <v>2524</v>
      </c>
      <c r="C82" s="792" t="s">
        <v>1666</v>
      </c>
      <c r="D82" s="458" t="s">
        <v>1666</v>
      </c>
      <c r="E82" s="454" t="s">
        <v>1666</v>
      </c>
      <c r="F82" s="454" t="s">
        <v>1666</v>
      </c>
      <c r="G82" s="454" t="s">
        <v>1666</v>
      </c>
      <c r="H82" s="454" t="s">
        <v>1666</v>
      </c>
    </row>
    <row r="83" spans="1:8" ht="12.75">
      <c r="A83" s="24" t="s">
        <v>2508</v>
      </c>
      <c r="B83" s="14" t="s">
        <v>2524</v>
      </c>
      <c r="C83" s="792" t="s">
        <v>1666</v>
      </c>
      <c r="D83" s="458" t="s">
        <v>1666</v>
      </c>
      <c r="E83" s="454" t="s">
        <v>1666</v>
      </c>
      <c r="F83" s="454" t="s">
        <v>1666</v>
      </c>
      <c r="G83" s="454" t="s">
        <v>1666</v>
      </c>
      <c r="H83" s="454" t="s">
        <v>1666</v>
      </c>
    </row>
    <row r="84" spans="1:8" ht="12.75">
      <c r="A84" s="24" t="s">
        <v>2508</v>
      </c>
      <c r="B84" s="14" t="s">
        <v>2524</v>
      </c>
      <c r="C84" s="792">
        <v>0.1341719077568134</v>
      </c>
      <c r="D84" s="458" t="s">
        <v>319</v>
      </c>
      <c r="E84" s="12">
        <v>1.4285714285714287E-2</v>
      </c>
      <c r="F84" s="12">
        <v>6.2E-2</v>
      </c>
      <c r="G84" s="12">
        <v>3.0000000000000001E-6</v>
      </c>
      <c r="H84" s="12">
        <v>8.9999999999999998E-4</v>
      </c>
    </row>
    <row r="85" spans="1:8" ht="12.75">
      <c r="A85" s="24" t="s">
        <v>2508</v>
      </c>
      <c r="B85" s="14" t="s">
        <v>2524</v>
      </c>
      <c r="C85" s="792" t="s">
        <v>1666</v>
      </c>
      <c r="D85" s="458" t="s">
        <v>1666</v>
      </c>
      <c r="E85" s="454" t="s">
        <v>1666</v>
      </c>
      <c r="F85" s="454" t="s">
        <v>1666</v>
      </c>
      <c r="G85" s="454" t="s">
        <v>1666</v>
      </c>
      <c r="H85" s="454" t="s">
        <v>1666</v>
      </c>
    </row>
    <row r="86" spans="1:8" ht="12.75">
      <c r="A86" s="24" t="s">
        <v>2508</v>
      </c>
      <c r="B86" s="14" t="s">
        <v>2524</v>
      </c>
      <c r="C86" s="792" t="s">
        <v>1666</v>
      </c>
      <c r="D86" s="458" t="s">
        <v>1666</v>
      </c>
      <c r="E86" s="454" t="s">
        <v>1666</v>
      </c>
      <c r="F86" s="454" t="s">
        <v>1666</v>
      </c>
      <c r="G86" s="454" t="s">
        <v>1666</v>
      </c>
      <c r="H86" s="454" t="s">
        <v>1666</v>
      </c>
    </row>
    <row r="87" spans="1:8" ht="12.75">
      <c r="A87" s="24" t="s">
        <v>2508</v>
      </c>
      <c r="B87" s="14" t="s">
        <v>2524</v>
      </c>
      <c r="C87" s="792">
        <v>0.1341719077568134</v>
      </c>
      <c r="D87" s="458" t="s">
        <v>2523</v>
      </c>
      <c r="E87" s="12">
        <v>4.1127278199052132E-2</v>
      </c>
      <c r="F87" s="12">
        <v>0.12092157867298578</v>
      </c>
      <c r="G87" s="12">
        <v>8.0618486208530824E-4</v>
      </c>
      <c r="H87" s="12">
        <v>7.5857890995260661E-3</v>
      </c>
    </row>
    <row r="88" spans="1:8" ht="12.75">
      <c r="A88" s="24" t="s">
        <v>2508</v>
      </c>
      <c r="B88" s="14" t="s">
        <v>2524</v>
      </c>
      <c r="C88" s="792" t="s">
        <v>1666</v>
      </c>
      <c r="D88" s="458" t="s">
        <v>1666</v>
      </c>
      <c r="E88" s="454" t="s">
        <v>1666</v>
      </c>
      <c r="F88" s="454" t="s">
        <v>1666</v>
      </c>
      <c r="G88" s="454" t="s">
        <v>1666</v>
      </c>
      <c r="H88" s="454" t="s">
        <v>1666</v>
      </c>
    </row>
    <row r="89" spans="1:8" ht="12.75">
      <c r="A89" s="24" t="s">
        <v>2508</v>
      </c>
      <c r="B89" s="14" t="s">
        <v>2524</v>
      </c>
      <c r="C89" s="792" t="s">
        <v>1666</v>
      </c>
      <c r="D89" s="458" t="s">
        <v>1666</v>
      </c>
      <c r="E89" s="454" t="s">
        <v>1666</v>
      </c>
      <c r="F89" s="454" t="s">
        <v>1666</v>
      </c>
      <c r="G89" s="454" t="s">
        <v>1666</v>
      </c>
      <c r="H89" s="454" t="s">
        <v>1666</v>
      </c>
    </row>
    <row r="90" spans="1:8" ht="12.75">
      <c r="A90" s="24" t="s">
        <v>2508</v>
      </c>
      <c r="B90" s="14" t="s">
        <v>2524</v>
      </c>
      <c r="C90" s="792" t="s">
        <v>1666</v>
      </c>
      <c r="D90" s="458" t="s">
        <v>1666</v>
      </c>
      <c r="E90" s="454" t="s">
        <v>1666</v>
      </c>
      <c r="F90" s="454" t="s">
        <v>1666</v>
      </c>
      <c r="G90" s="454" t="s">
        <v>1666</v>
      </c>
      <c r="H90" s="454" t="s">
        <v>1666</v>
      </c>
    </row>
    <row r="91" spans="1:8" ht="12.75">
      <c r="A91" s="24" t="s">
        <v>2508</v>
      </c>
      <c r="B91" s="14" t="s">
        <v>2524</v>
      </c>
      <c r="C91" s="792" t="s">
        <v>1666</v>
      </c>
      <c r="D91" s="458" t="s">
        <v>1666</v>
      </c>
      <c r="E91" s="454" t="s">
        <v>1666</v>
      </c>
      <c r="F91" s="454" t="s">
        <v>1666</v>
      </c>
      <c r="G91" s="454" t="s">
        <v>1666</v>
      </c>
      <c r="H91" s="454" t="s">
        <v>1666</v>
      </c>
    </row>
    <row r="92" spans="1:8" ht="12.75">
      <c r="A92" s="24" t="s">
        <v>2508</v>
      </c>
      <c r="B92" s="14" t="s">
        <v>2524</v>
      </c>
      <c r="C92" s="792">
        <v>6.7085953878406698E-2</v>
      </c>
      <c r="D92" s="458" t="s">
        <v>83</v>
      </c>
      <c r="E92" s="12">
        <v>0</v>
      </c>
      <c r="F92" s="12">
        <v>0</v>
      </c>
      <c r="G92" s="12">
        <v>0</v>
      </c>
      <c r="H92" s="12">
        <v>0</v>
      </c>
    </row>
    <row r="93" spans="1:8" ht="12.75">
      <c r="A93" s="24" t="s">
        <v>2508</v>
      </c>
      <c r="B93" s="14" t="s">
        <v>2524</v>
      </c>
      <c r="C93" s="792" t="s">
        <v>1666</v>
      </c>
      <c r="D93" s="458" t="s">
        <v>1666</v>
      </c>
      <c r="E93" s="454" t="s">
        <v>1666</v>
      </c>
      <c r="F93" s="454" t="s">
        <v>1666</v>
      </c>
      <c r="G93" s="454" t="s">
        <v>1666</v>
      </c>
      <c r="H93" s="454" t="s">
        <v>1666</v>
      </c>
    </row>
    <row r="94" spans="1:8" ht="12.75">
      <c r="A94" s="24" t="s">
        <v>2508</v>
      </c>
      <c r="B94" s="14" t="s">
        <v>2524</v>
      </c>
      <c r="C94" s="792">
        <v>1.6771488469601675E-2</v>
      </c>
      <c r="D94" s="458" t="s">
        <v>343</v>
      </c>
      <c r="E94" s="12">
        <v>2.9691872042618299E-2</v>
      </c>
      <c r="F94" s="12">
        <v>7.5368545517799299E-2</v>
      </c>
      <c r="G94" s="12">
        <v>2.9014018691588786E-4</v>
      </c>
      <c r="H94" s="12">
        <v>1.4770983615231311E-3</v>
      </c>
    </row>
    <row r="95" spans="1:8" ht="12.75">
      <c r="A95" s="24" t="s">
        <v>2508</v>
      </c>
      <c r="B95" s="14" t="s">
        <v>2524</v>
      </c>
      <c r="C95" s="792" t="s">
        <v>1666</v>
      </c>
      <c r="D95" s="458" t="s">
        <v>1666</v>
      </c>
      <c r="E95" s="454" t="s">
        <v>1666</v>
      </c>
      <c r="F95" s="454" t="s">
        <v>1666</v>
      </c>
      <c r="G95" s="454" t="s">
        <v>1666</v>
      </c>
      <c r="H95" s="454" t="s">
        <v>1666</v>
      </c>
    </row>
    <row r="96" spans="1:8" ht="12.75">
      <c r="A96" s="24" t="s">
        <v>2508</v>
      </c>
      <c r="B96" s="14" t="s">
        <v>2524</v>
      </c>
      <c r="C96" s="792" t="s">
        <v>1666</v>
      </c>
      <c r="D96" s="458" t="s">
        <v>1666</v>
      </c>
      <c r="E96" s="454" t="s">
        <v>1666</v>
      </c>
      <c r="F96" s="454" t="s">
        <v>1666</v>
      </c>
      <c r="G96" s="454" t="s">
        <v>1666</v>
      </c>
      <c r="H96" s="454" t="s">
        <v>1666</v>
      </c>
    </row>
    <row r="97" spans="1:8" ht="12.75">
      <c r="A97" s="24" t="s">
        <v>2508</v>
      </c>
      <c r="B97" s="14" t="s">
        <v>2524</v>
      </c>
      <c r="C97" s="792" t="s">
        <v>1666</v>
      </c>
      <c r="D97" s="458" t="s">
        <v>1666</v>
      </c>
      <c r="E97" s="454" t="s">
        <v>1666</v>
      </c>
      <c r="F97" s="454" t="s">
        <v>1666</v>
      </c>
      <c r="G97" s="454" t="s">
        <v>1666</v>
      </c>
      <c r="H97" s="454" t="s">
        <v>1666</v>
      </c>
    </row>
    <row r="98" spans="1:8" ht="12.75">
      <c r="A98" s="24" t="s">
        <v>2508</v>
      </c>
      <c r="B98" s="14" t="s">
        <v>2524</v>
      </c>
      <c r="C98" s="792" t="s">
        <v>1666</v>
      </c>
      <c r="D98" s="458" t="s">
        <v>1666</v>
      </c>
      <c r="E98" s="454" t="s">
        <v>1666</v>
      </c>
      <c r="F98" s="454" t="s">
        <v>1666</v>
      </c>
      <c r="G98" s="454" t="s">
        <v>1666</v>
      </c>
      <c r="H98" s="454" t="s">
        <v>1666</v>
      </c>
    </row>
    <row r="99" spans="1:8" ht="12.75">
      <c r="A99" s="24" t="s">
        <v>2508</v>
      </c>
      <c r="B99" s="14" t="s">
        <v>2524</v>
      </c>
      <c r="C99" s="792" t="s">
        <v>1666</v>
      </c>
      <c r="D99" s="458" t="s">
        <v>1666</v>
      </c>
      <c r="E99" s="454" t="s">
        <v>1666</v>
      </c>
      <c r="F99" s="454" t="s">
        <v>1666</v>
      </c>
      <c r="G99" s="454" t="s">
        <v>1666</v>
      </c>
      <c r="H99" s="454" t="s">
        <v>1666</v>
      </c>
    </row>
    <row r="100" spans="1:8" ht="12.75">
      <c r="A100" s="24" t="s">
        <v>2508</v>
      </c>
      <c r="B100" s="14" t="s">
        <v>2524</v>
      </c>
      <c r="C100" s="792" t="s">
        <v>1666</v>
      </c>
      <c r="D100" s="458" t="s">
        <v>1666</v>
      </c>
      <c r="E100" s="454" t="s">
        <v>1666</v>
      </c>
      <c r="F100" s="454" t="s">
        <v>1666</v>
      </c>
      <c r="G100" s="454" t="s">
        <v>1666</v>
      </c>
      <c r="H100" s="454" t="s">
        <v>1666</v>
      </c>
    </row>
    <row r="101" spans="1:8" ht="12.75">
      <c r="A101" s="24" t="s">
        <v>2508</v>
      </c>
      <c r="B101" s="14" t="s">
        <v>2524</v>
      </c>
      <c r="C101" s="792" t="s">
        <v>1666</v>
      </c>
      <c r="D101" s="458" t="s">
        <v>1666</v>
      </c>
      <c r="E101" s="454" t="s">
        <v>1666</v>
      </c>
      <c r="F101" s="454" t="s">
        <v>1666</v>
      </c>
      <c r="G101" s="454" t="s">
        <v>1666</v>
      </c>
      <c r="H101" s="454" t="s">
        <v>1666</v>
      </c>
    </row>
    <row r="102" spans="1:8" ht="12.75">
      <c r="A102" s="24" t="s">
        <v>2508</v>
      </c>
      <c r="B102" s="14" t="s">
        <v>2524</v>
      </c>
      <c r="C102" s="792" t="s">
        <v>1666</v>
      </c>
      <c r="D102" s="458" t="s">
        <v>1666</v>
      </c>
      <c r="E102" s="454" t="s">
        <v>1666</v>
      </c>
      <c r="F102" s="454" t="s">
        <v>1666</v>
      </c>
      <c r="G102" s="454" t="s">
        <v>1666</v>
      </c>
      <c r="H102" s="454" t="s">
        <v>1666</v>
      </c>
    </row>
    <row r="103" spans="1:8" ht="12.75">
      <c r="A103" s="24" t="s">
        <v>2508</v>
      </c>
      <c r="B103" s="14" t="s">
        <v>2524</v>
      </c>
      <c r="C103" s="792" t="s">
        <v>1666</v>
      </c>
      <c r="D103" s="458" t="s">
        <v>1666</v>
      </c>
      <c r="E103" s="454" t="s">
        <v>1666</v>
      </c>
      <c r="F103" s="454" t="s">
        <v>1666</v>
      </c>
      <c r="G103" s="454" t="s">
        <v>1666</v>
      </c>
      <c r="H103" s="454" t="s">
        <v>1666</v>
      </c>
    </row>
    <row r="104" spans="1:8" ht="12.75">
      <c r="A104" s="24" t="s">
        <v>2508</v>
      </c>
      <c r="B104" s="14" t="s">
        <v>2524</v>
      </c>
      <c r="C104" s="792" t="s">
        <v>1666</v>
      </c>
      <c r="D104" s="458" t="s">
        <v>1666</v>
      </c>
      <c r="E104" s="454" t="s">
        <v>1666</v>
      </c>
      <c r="F104" s="454" t="s">
        <v>1666</v>
      </c>
      <c r="G104" s="454" t="s">
        <v>1666</v>
      </c>
      <c r="H104" s="454" t="s">
        <v>1666</v>
      </c>
    </row>
    <row r="105" spans="1:8" ht="12.75">
      <c r="A105" s="24" t="s">
        <v>2508</v>
      </c>
      <c r="B105" s="14" t="s">
        <v>2524</v>
      </c>
      <c r="C105" s="792" t="s">
        <v>1666</v>
      </c>
      <c r="D105" s="458" t="s">
        <v>1666</v>
      </c>
      <c r="E105" s="454" t="s">
        <v>1666</v>
      </c>
      <c r="F105" s="454" t="s">
        <v>1666</v>
      </c>
      <c r="G105" s="454" t="s">
        <v>1666</v>
      </c>
      <c r="H105" s="454" t="s">
        <v>1666</v>
      </c>
    </row>
    <row r="106" spans="1:8" ht="12.75">
      <c r="A106" s="24" t="s">
        <v>2508</v>
      </c>
      <c r="B106" s="14" t="s">
        <v>2524</v>
      </c>
      <c r="C106" s="792" t="s">
        <v>1666</v>
      </c>
      <c r="D106" s="458" t="s">
        <v>1666</v>
      </c>
      <c r="E106" s="454" t="s">
        <v>1666</v>
      </c>
      <c r="F106" s="454" t="s">
        <v>1666</v>
      </c>
      <c r="G106" s="454" t="s">
        <v>1666</v>
      </c>
      <c r="H106" s="454" t="s">
        <v>1666</v>
      </c>
    </row>
    <row r="107" spans="1:8" ht="12.75">
      <c r="A107" s="24" t="s">
        <v>2508</v>
      </c>
      <c r="B107" s="14" t="s">
        <v>2524</v>
      </c>
      <c r="C107" s="792" t="s">
        <v>1666</v>
      </c>
      <c r="D107" s="458" t="s">
        <v>1666</v>
      </c>
      <c r="E107" s="454" t="s">
        <v>1666</v>
      </c>
      <c r="F107" s="454" t="s">
        <v>1666</v>
      </c>
      <c r="G107" s="454" t="s">
        <v>1666</v>
      </c>
      <c r="H107" s="454" t="s">
        <v>1666</v>
      </c>
    </row>
    <row r="108" spans="1:8" ht="12.75">
      <c r="A108" s="24" t="s">
        <v>2508</v>
      </c>
      <c r="B108" s="14" t="s">
        <v>2524</v>
      </c>
      <c r="C108" s="792" t="s">
        <v>1666</v>
      </c>
      <c r="D108" s="458" t="s">
        <v>1666</v>
      </c>
      <c r="E108" s="454" t="s">
        <v>1666</v>
      </c>
      <c r="F108" s="454" t="s">
        <v>1666</v>
      </c>
      <c r="G108" s="454" t="s">
        <v>1666</v>
      </c>
      <c r="H108" s="454" t="s">
        <v>1666</v>
      </c>
    </row>
    <row r="109" spans="1:8" ht="12.75">
      <c r="A109" s="24" t="s">
        <v>2508</v>
      </c>
      <c r="B109" s="14" t="s">
        <v>2524</v>
      </c>
      <c r="C109" s="792" t="s">
        <v>1666</v>
      </c>
      <c r="D109" s="458" t="s">
        <v>1666</v>
      </c>
      <c r="E109" s="454" t="s">
        <v>1666</v>
      </c>
      <c r="F109" s="454" t="s">
        <v>1666</v>
      </c>
      <c r="G109" s="454" t="s">
        <v>1666</v>
      </c>
      <c r="H109" s="454" t="s">
        <v>1666</v>
      </c>
    </row>
    <row r="110" spans="1:8" ht="12.75">
      <c r="A110" s="24" t="s">
        <v>2508</v>
      </c>
      <c r="B110" s="14" t="s">
        <v>2524</v>
      </c>
      <c r="C110" s="792" t="s">
        <v>1666</v>
      </c>
      <c r="D110" s="458" t="s">
        <v>1666</v>
      </c>
      <c r="E110" s="454" t="s">
        <v>1666</v>
      </c>
      <c r="F110" s="454" t="s">
        <v>1666</v>
      </c>
      <c r="G110" s="454" t="s">
        <v>1666</v>
      </c>
      <c r="H110" s="454" t="s">
        <v>1666</v>
      </c>
    </row>
    <row r="111" spans="1:8" ht="12.75">
      <c r="A111" s="24" t="s">
        <v>2508</v>
      </c>
      <c r="B111" s="14" t="s">
        <v>2524</v>
      </c>
      <c r="C111" s="792" t="s">
        <v>1666</v>
      </c>
      <c r="D111" s="458" t="s">
        <v>1666</v>
      </c>
      <c r="E111" s="454" t="s">
        <v>1666</v>
      </c>
      <c r="F111" s="454" t="s">
        <v>1666</v>
      </c>
      <c r="G111" s="454" t="s">
        <v>1666</v>
      </c>
      <c r="H111" s="454" t="s">
        <v>1666</v>
      </c>
    </row>
    <row r="112" spans="1:8" ht="12.75">
      <c r="A112" s="24" t="s">
        <v>2508</v>
      </c>
      <c r="B112" s="14" t="s">
        <v>2524</v>
      </c>
      <c r="C112" s="792">
        <v>1</v>
      </c>
      <c r="D112" s="458" t="s">
        <v>2534</v>
      </c>
      <c r="E112" s="12">
        <v>1.9306129458663359E-3</v>
      </c>
      <c r="F112" s="12">
        <v>3.9248033695195798E-2</v>
      </c>
      <c r="G112" s="12">
        <v>2.2000000000000001E-4</v>
      </c>
      <c r="H112" s="12">
        <v>2.1384856875782642E-3</v>
      </c>
    </row>
    <row r="113" spans="1:8" ht="12.75">
      <c r="A113" s="24" t="s">
        <v>2508</v>
      </c>
      <c r="B113" s="14" t="s">
        <v>2524</v>
      </c>
      <c r="C113" s="792" t="s">
        <v>1666</v>
      </c>
      <c r="D113" s="18" t="s">
        <v>1666</v>
      </c>
      <c r="E113" s="454" t="s">
        <v>1666</v>
      </c>
      <c r="F113" s="454" t="s">
        <v>1666</v>
      </c>
      <c r="G113" s="454" t="s">
        <v>1666</v>
      </c>
      <c r="H113" s="454" t="s">
        <v>1666</v>
      </c>
    </row>
    <row r="114" spans="1:8" ht="12.75">
      <c r="A114" s="13" t="s">
        <v>2508</v>
      </c>
      <c r="B114" s="14" t="s">
        <v>2524</v>
      </c>
      <c r="C114" s="792">
        <v>5</v>
      </c>
      <c r="D114" s="18" t="s">
        <v>2535</v>
      </c>
      <c r="E114" s="12">
        <v>1.1328228175540001E-3</v>
      </c>
      <c r="F114" s="12">
        <v>1.1196667334361301E-2</v>
      </c>
      <c r="G114" s="12">
        <v>2.4736842105263154E-4</v>
      </c>
      <c r="H114" s="12">
        <v>2.2046244201837776E-4</v>
      </c>
    </row>
    <row r="115" spans="1:8" ht="12.75">
      <c r="A115" s="24" t="s">
        <v>2508</v>
      </c>
      <c r="B115" s="14" t="s">
        <v>2524</v>
      </c>
      <c r="C115" s="792">
        <v>0.25</v>
      </c>
      <c r="D115" s="18" t="s">
        <v>2536</v>
      </c>
      <c r="E115" s="12">
        <v>4.18475450981867E-4</v>
      </c>
      <c r="F115" s="12">
        <v>8.6483234472969298E-3</v>
      </c>
      <c r="G115" s="12">
        <v>1.2528735632183908E-4</v>
      </c>
      <c r="H115" s="12">
        <v>3.0408612692190031E-4</v>
      </c>
    </row>
    <row r="116" spans="1:8" ht="12.75">
      <c r="A116" s="24" t="s">
        <v>2508</v>
      </c>
      <c r="B116" s="14" t="s">
        <v>2524</v>
      </c>
      <c r="C116" s="792" t="s">
        <v>1666</v>
      </c>
      <c r="D116" s="18" t="s">
        <v>1666</v>
      </c>
      <c r="E116" s="454" t="s">
        <v>1666</v>
      </c>
      <c r="F116" s="454" t="s">
        <v>1666</v>
      </c>
      <c r="G116" s="454" t="s">
        <v>1666</v>
      </c>
      <c r="H116" s="454" t="s">
        <v>1666</v>
      </c>
    </row>
    <row r="117" spans="1:8" ht="12.75">
      <c r="A117" s="24" t="s">
        <v>2508</v>
      </c>
      <c r="B117" s="14" t="s">
        <v>2524</v>
      </c>
      <c r="C117" s="792" t="s">
        <v>1666</v>
      </c>
      <c r="D117" s="18" t="s">
        <v>1666</v>
      </c>
      <c r="E117" s="454" t="s">
        <v>1666</v>
      </c>
      <c r="F117" s="454" t="s">
        <v>1666</v>
      </c>
      <c r="G117" s="454" t="s">
        <v>1666</v>
      </c>
      <c r="H117" s="454" t="s">
        <v>1666</v>
      </c>
    </row>
    <row r="118" spans="1:8" ht="12.75">
      <c r="A118" s="794" t="s">
        <v>2508</v>
      </c>
      <c r="B118" s="617" t="s">
        <v>2524</v>
      </c>
      <c r="C118" s="455" t="s">
        <v>1666</v>
      </c>
      <c r="D118" s="793" t="s">
        <v>1666</v>
      </c>
      <c r="E118" s="725" t="s">
        <v>1666</v>
      </c>
      <c r="F118" s="725" t="s">
        <v>1666</v>
      </c>
      <c r="G118" s="725" t="s">
        <v>1666</v>
      </c>
      <c r="H118" s="725" t="s">
        <v>1666</v>
      </c>
    </row>
    <row r="119" spans="1:8" ht="12.75">
      <c r="A119" s="24" t="s">
        <v>2508</v>
      </c>
      <c r="B119" s="14" t="s">
        <v>2537</v>
      </c>
      <c r="C119" s="792">
        <v>41.576440017323513</v>
      </c>
      <c r="D119" s="18" t="s">
        <v>876</v>
      </c>
      <c r="E119" s="12">
        <v>6.0179999999999999E-3</v>
      </c>
      <c r="F119" s="23">
        <v>1.7694000000000001E-2</v>
      </c>
      <c r="G119" s="12">
        <v>1.17966E-4</v>
      </c>
      <c r="H119" s="12">
        <v>1.1100000000000001E-3</v>
      </c>
    </row>
    <row r="120" spans="1:8" ht="12.75">
      <c r="A120" s="24" t="s">
        <v>2508</v>
      </c>
      <c r="B120" s="14" t="s">
        <v>2537</v>
      </c>
      <c r="C120" s="792">
        <v>41.576440017323513</v>
      </c>
      <c r="D120" s="18" t="s">
        <v>2527</v>
      </c>
      <c r="E120" s="12">
        <v>1.5483515402843602E-2</v>
      </c>
      <c r="F120" s="12">
        <v>4.5524313981042654E-2</v>
      </c>
      <c r="G120" s="12">
        <v>3.0351086374407588E-4</v>
      </c>
      <c r="H120" s="12">
        <v>2.8558827014218014E-3</v>
      </c>
    </row>
    <row r="121" spans="1:8" ht="12.75">
      <c r="A121" s="24" t="s">
        <v>2508</v>
      </c>
      <c r="B121" s="14" t="s">
        <v>2537</v>
      </c>
      <c r="C121" s="792">
        <v>16.240796881766997</v>
      </c>
      <c r="D121" s="18" t="s">
        <v>433</v>
      </c>
      <c r="E121" s="12">
        <v>3.0104466724907065E-4</v>
      </c>
      <c r="F121" s="12">
        <v>1.2500000000000001E-2</v>
      </c>
      <c r="G121" s="12">
        <v>5.1818181818181835E-4</v>
      </c>
      <c r="H121" s="12">
        <v>4.0084080366977777E-4</v>
      </c>
    </row>
    <row r="122" spans="1:8" ht="12.75">
      <c r="A122" s="794" t="s">
        <v>2508</v>
      </c>
      <c r="B122" s="617" t="s">
        <v>2537</v>
      </c>
      <c r="C122" s="455">
        <v>0.60632308358596798</v>
      </c>
      <c r="D122" s="793" t="s">
        <v>81</v>
      </c>
      <c r="E122" s="635">
        <v>1.9912385503783353E-2</v>
      </c>
      <c r="F122" s="635">
        <v>5.6949422540820388E-2</v>
      </c>
      <c r="G122" s="635">
        <v>3.8829151732377542E-3</v>
      </c>
      <c r="H122" s="635">
        <v>5.6321186778176026E-3</v>
      </c>
    </row>
    <row r="123" spans="1:8" ht="12.75">
      <c r="A123" s="799" t="s">
        <v>2508</v>
      </c>
      <c r="B123" s="617" t="s">
        <v>2538</v>
      </c>
      <c r="C123" s="455">
        <v>100</v>
      </c>
      <c r="D123" s="793" t="s">
        <v>88</v>
      </c>
      <c r="E123" s="635">
        <v>5.5280749052132698E-2</v>
      </c>
      <c r="F123" s="635">
        <v>0.16253532298578199</v>
      </c>
      <c r="G123" s="635">
        <v>1.0836239353080568E-3</v>
      </c>
      <c r="H123" s="635">
        <v>1.0196349526066351E-2</v>
      </c>
    </row>
    <row r="124" spans="1:8" ht="12.75">
      <c r="A124" s="24" t="s">
        <v>2508</v>
      </c>
      <c r="B124" s="14" t="s">
        <v>2539</v>
      </c>
      <c r="C124" s="792">
        <v>43.310441572041356</v>
      </c>
      <c r="D124" s="18" t="s">
        <v>2540</v>
      </c>
      <c r="E124" s="12">
        <v>2.9691872042618299E-2</v>
      </c>
      <c r="F124" s="12">
        <v>7.5368545517799299E-2</v>
      </c>
      <c r="G124" s="12">
        <v>2.9014018691588786E-4</v>
      </c>
      <c r="H124" s="12">
        <v>1.4770983615231311E-3</v>
      </c>
    </row>
    <row r="125" spans="1:8" ht="12.75">
      <c r="A125" s="24" t="s">
        <v>2508</v>
      </c>
      <c r="B125" s="14" t="s">
        <v>2539</v>
      </c>
      <c r="C125" s="792">
        <v>25.352547487972622</v>
      </c>
      <c r="D125" s="18" t="s">
        <v>332</v>
      </c>
      <c r="E125" s="12">
        <v>2.3E-3</v>
      </c>
      <c r="F125" s="12">
        <v>4.7879999999999999E-2</v>
      </c>
      <c r="G125" s="12">
        <v>9.9999999999999995E-7</v>
      </c>
      <c r="H125" s="12">
        <v>4.4092488403675551E-4</v>
      </c>
    </row>
    <row r="126" spans="1:8" ht="12.75">
      <c r="A126" s="24" t="s">
        <v>2508</v>
      </c>
      <c r="B126" s="14" t="s">
        <v>2539</v>
      </c>
      <c r="C126" s="792">
        <v>17.42146851434163</v>
      </c>
      <c r="D126" s="18" t="s">
        <v>340</v>
      </c>
      <c r="E126" s="12">
        <v>2.1708241661196198E-2</v>
      </c>
      <c r="F126" s="12">
        <v>0.36572952458380198</v>
      </c>
      <c r="G126" s="12">
        <v>4.6350652173913045E-4</v>
      </c>
      <c r="H126" s="12">
        <v>1.6975608035415088E-3</v>
      </c>
    </row>
    <row r="127" spans="1:8" ht="12.75">
      <c r="A127" s="24" t="s">
        <v>2508</v>
      </c>
      <c r="B127" s="14" t="s">
        <v>2539</v>
      </c>
      <c r="C127" s="792">
        <v>5.5640940114882635</v>
      </c>
      <c r="D127" s="18" t="s">
        <v>325</v>
      </c>
      <c r="E127" s="12">
        <v>1.0908510307875098E-2</v>
      </c>
      <c r="F127" s="12">
        <v>0.10414261699680899</v>
      </c>
      <c r="G127" s="12">
        <v>2.2359865447154469E-3</v>
      </c>
      <c r="H127" s="12">
        <v>1.4E-3</v>
      </c>
    </row>
    <row r="128" spans="1:8" ht="12.75">
      <c r="A128" s="24" t="s">
        <v>2508</v>
      </c>
      <c r="B128" s="14" t="s">
        <v>2539</v>
      </c>
      <c r="C128" s="792" t="s">
        <v>1666</v>
      </c>
      <c r="D128" s="18" t="s">
        <v>1666</v>
      </c>
      <c r="E128" s="454" t="s">
        <v>1666</v>
      </c>
      <c r="F128" s="454" t="s">
        <v>1666</v>
      </c>
      <c r="G128" s="454" t="s">
        <v>1666</v>
      </c>
      <c r="H128" s="454" t="s">
        <v>1666</v>
      </c>
    </row>
    <row r="129" spans="1:8" ht="12.75">
      <c r="A129" s="24" t="s">
        <v>2508</v>
      </c>
      <c r="B129" s="14" t="s">
        <v>2539</v>
      </c>
      <c r="C129" s="796">
        <v>33.81385864332762</v>
      </c>
      <c r="D129" s="456" t="s">
        <v>72</v>
      </c>
      <c r="E129" s="457">
        <v>0</v>
      </c>
      <c r="F129" s="457">
        <v>0</v>
      </c>
      <c r="G129" s="457">
        <v>0</v>
      </c>
      <c r="H129" s="457">
        <v>0</v>
      </c>
    </row>
    <row r="130" spans="1:8" ht="12.75">
      <c r="A130" s="24" t="s">
        <v>2508</v>
      </c>
      <c r="B130" s="14" t="s">
        <v>2539</v>
      </c>
      <c r="C130" s="792" t="s">
        <v>1666</v>
      </c>
      <c r="D130" s="13" t="s">
        <v>1666</v>
      </c>
      <c r="E130" s="454" t="s">
        <v>1666</v>
      </c>
      <c r="F130" s="454" t="s">
        <v>1666</v>
      </c>
      <c r="G130" s="454" t="s">
        <v>1666</v>
      </c>
      <c r="H130" s="454" t="s">
        <v>1666</v>
      </c>
    </row>
    <row r="131" spans="1:8" ht="12.75">
      <c r="A131" s="24" t="s">
        <v>2508</v>
      </c>
      <c r="B131" s="14" t="s">
        <v>2539</v>
      </c>
      <c r="C131" s="792" t="s">
        <v>1666</v>
      </c>
      <c r="D131" s="13" t="s">
        <v>1666</v>
      </c>
      <c r="E131" s="454" t="s">
        <v>1666</v>
      </c>
      <c r="F131" s="454" t="s">
        <v>1666</v>
      </c>
      <c r="G131" s="454" t="s">
        <v>1666</v>
      </c>
      <c r="H131" s="454" t="s">
        <v>1666</v>
      </c>
    </row>
    <row r="132" spans="1:8" ht="12.75">
      <c r="A132" s="24" t="s">
        <v>2508</v>
      </c>
      <c r="B132" s="14" t="s">
        <v>2539</v>
      </c>
      <c r="C132" s="792" t="s">
        <v>1666</v>
      </c>
      <c r="D132" s="13" t="s">
        <v>1666</v>
      </c>
      <c r="E132" s="454" t="s">
        <v>1666</v>
      </c>
      <c r="F132" s="454" t="s">
        <v>1666</v>
      </c>
      <c r="G132" s="454" t="s">
        <v>1666</v>
      </c>
      <c r="H132" s="454" t="s">
        <v>1666</v>
      </c>
    </row>
    <row r="133" spans="1:8" ht="12.75">
      <c r="A133" s="24" t="s">
        <v>2508</v>
      </c>
      <c r="B133" s="14" t="s">
        <v>2539</v>
      </c>
      <c r="C133" s="792">
        <v>3.7423668163411716</v>
      </c>
      <c r="D133" s="18" t="s">
        <v>2541</v>
      </c>
      <c r="E133" s="12">
        <v>1.7000000000000001E-2</v>
      </c>
      <c r="F133" s="12">
        <v>3.15E-2</v>
      </c>
      <c r="G133" s="12">
        <v>9.9999999999999995E-7</v>
      </c>
      <c r="H133" s="12">
        <v>9.0389601227534877E-4</v>
      </c>
    </row>
    <row r="134" spans="1:8" ht="12.75">
      <c r="A134" s="24" t="s">
        <v>2508</v>
      </c>
      <c r="B134" s="14" t="s">
        <v>2539</v>
      </c>
      <c r="C134" s="792" t="s">
        <v>1666</v>
      </c>
      <c r="D134" s="13" t="s">
        <v>1666</v>
      </c>
      <c r="E134" s="454" t="s">
        <v>1666</v>
      </c>
      <c r="F134" s="454" t="s">
        <v>1666</v>
      </c>
      <c r="G134" s="454" t="s">
        <v>1666</v>
      </c>
      <c r="H134" s="454" t="s">
        <v>1666</v>
      </c>
    </row>
    <row r="135" spans="1:8" ht="12.75">
      <c r="A135" s="24" t="s">
        <v>2508</v>
      </c>
      <c r="B135" s="14" t="s">
        <v>2539</v>
      </c>
      <c r="C135" s="792" t="s">
        <v>1666</v>
      </c>
      <c r="D135" s="13" t="s">
        <v>1666</v>
      </c>
      <c r="E135" s="454" t="s">
        <v>1666</v>
      </c>
      <c r="F135" s="454" t="s">
        <v>1666</v>
      </c>
      <c r="G135" s="454" t="s">
        <v>1666</v>
      </c>
      <c r="H135" s="454" t="s">
        <v>1666</v>
      </c>
    </row>
    <row r="136" spans="1:8" ht="11.25" customHeight="1">
      <c r="A136" s="24" t="s">
        <v>2508</v>
      </c>
      <c r="B136" s="14" t="s">
        <v>2539</v>
      </c>
      <c r="C136" s="792">
        <v>4.301809491293958</v>
      </c>
      <c r="D136" s="18" t="s">
        <v>350</v>
      </c>
      <c r="E136" s="12">
        <v>7.6923076923076919E-3</v>
      </c>
      <c r="F136" s="12">
        <v>0.183</v>
      </c>
      <c r="G136" s="12">
        <v>2.8673068893528183E-4</v>
      </c>
      <c r="H136" s="12">
        <v>1.4770983615231311E-3</v>
      </c>
    </row>
    <row r="137" spans="1:8" ht="12.75">
      <c r="A137" s="24" t="s">
        <v>2508</v>
      </c>
      <c r="B137" s="14" t="s">
        <v>2539</v>
      </c>
      <c r="C137" s="792" t="s">
        <v>1666</v>
      </c>
      <c r="D137" s="13" t="s">
        <v>1666</v>
      </c>
      <c r="E137" s="454" t="s">
        <v>1666</v>
      </c>
      <c r="F137" s="454" t="s">
        <v>1666</v>
      </c>
      <c r="G137" s="454" t="s">
        <v>1666</v>
      </c>
      <c r="H137" s="454" t="s">
        <v>1666</v>
      </c>
    </row>
    <row r="138" spans="1:8" ht="12.75">
      <c r="A138" s="24" t="s">
        <v>2508</v>
      </c>
      <c r="B138" s="14" t="s">
        <v>2539</v>
      </c>
      <c r="C138" s="792" t="s">
        <v>1666</v>
      </c>
      <c r="D138" s="13" t="s">
        <v>1666</v>
      </c>
      <c r="E138" s="454" t="s">
        <v>1666</v>
      </c>
      <c r="F138" s="454" t="s">
        <v>1666</v>
      </c>
      <c r="G138" s="454" t="s">
        <v>1666</v>
      </c>
      <c r="H138" s="454" t="s">
        <v>1666</v>
      </c>
    </row>
    <row r="139" spans="1:8" ht="12.75">
      <c r="A139" s="24" t="s">
        <v>2508</v>
      </c>
      <c r="B139" s="14" t="s">
        <v>2539</v>
      </c>
      <c r="C139" s="792" t="s">
        <v>1666</v>
      </c>
      <c r="D139" s="13" t="s">
        <v>1666</v>
      </c>
      <c r="E139" s="454" t="s">
        <v>1666</v>
      </c>
      <c r="F139" s="454" t="s">
        <v>1666</v>
      </c>
      <c r="G139" s="454" t="s">
        <v>1666</v>
      </c>
      <c r="H139" s="454" t="s">
        <v>1666</v>
      </c>
    </row>
    <row r="140" spans="1:8" ht="12.75">
      <c r="A140" s="24" t="s">
        <v>2508</v>
      </c>
      <c r="B140" s="14" t="s">
        <v>2539</v>
      </c>
      <c r="C140" s="792" t="s">
        <v>1666</v>
      </c>
      <c r="D140" s="13" t="s">
        <v>1666</v>
      </c>
      <c r="E140" s="454" t="s">
        <v>1666</v>
      </c>
      <c r="F140" s="454" t="s">
        <v>1666</v>
      </c>
      <c r="G140" s="454" t="s">
        <v>1666</v>
      </c>
      <c r="H140" s="454" t="s">
        <v>1666</v>
      </c>
    </row>
    <row r="141" spans="1:8" ht="12.75">
      <c r="A141" s="24" t="s">
        <v>2508</v>
      </c>
      <c r="B141" s="14" t="s">
        <v>2539</v>
      </c>
      <c r="C141" s="792" t="s">
        <v>1666</v>
      </c>
      <c r="D141" s="13" t="s">
        <v>1666</v>
      </c>
      <c r="E141" s="454" t="s">
        <v>1666</v>
      </c>
      <c r="F141" s="454" t="s">
        <v>1666</v>
      </c>
      <c r="G141" s="454" t="s">
        <v>1666</v>
      </c>
      <c r="H141" s="454" t="s">
        <v>1666</v>
      </c>
    </row>
    <row r="142" spans="1:8" ht="12.75">
      <c r="A142" s="24" t="s">
        <v>2508</v>
      </c>
      <c r="B142" s="14" t="s">
        <v>2539</v>
      </c>
      <c r="C142" s="792" t="s">
        <v>1666</v>
      </c>
      <c r="D142" s="13" t="s">
        <v>1666</v>
      </c>
      <c r="E142" s="454" t="s">
        <v>1666</v>
      </c>
      <c r="F142" s="454" t="s">
        <v>1666</v>
      </c>
      <c r="G142" s="454" t="s">
        <v>1666</v>
      </c>
      <c r="H142" s="454" t="s">
        <v>1666</v>
      </c>
    </row>
    <row r="143" spans="1:8" ht="12.75">
      <c r="A143" s="24" t="s">
        <v>2508</v>
      </c>
      <c r="B143" s="14" t="s">
        <v>2539</v>
      </c>
      <c r="C143" s="792" t="s">
        <v>1666</v>
      </c>
      <c r="D143" s="13" t="s">
        <v>1666</v>
      </c>
      <c r="E143" s="454" t="s">
        <v>1666</v>
      </c>
      <c r="F143" s="454" t="s">
        <v>1666</v>
      </c>
      <c r="G143" s="454" t="s">
        <v>1666</v>
      </c>
      <c r="H143" s="454" t="s">
        <v>1666</v>
      </c>
    </row>
    <row r="144" spans="1:8" ht="12.75">
      <c r="A144" s="24" t="s">
        <v>2508</v>
      </c>
      <c r="B144" s="14" t="s">
        <v>2539</v>
      </c>
      <c r="C144" s="792" t="s">
        <v>1666</v>
      </c>
      <c r="D144" s="13" t="s">
        <v>1666</v>
      </c>
      <c r="E144" s="454" t="s">
        <v>1666</v>
      </c>
      <c r="F144" s="454" t="s">
        <v>1666</v>
      </c>
      <c r="G144" s="454" t="s">
        <v>1666</v>
      </c>
      <c r="H144" s="454" t="s">
        <v>1666</v>
      </c>
    </row>
    <row r="145" spans="1:8" ht="12.75">
      <c r="A145" s="24" t="s">
        <v>2508</v>
      </c>
      <c r="B145" s="14" t="s">
        <v>2539</v>
      </c>
      <c r="C145" s="792" t="s">
        <v>1666</v>
      </c>
      <c r="D145" s="13" t="s">
        <v>1666</v>
      </c>
      <c r="E145" s="454" t="s">
        <v>1666</v>
      </c>
      <c r="F145" s="454" t="s">
        <v>1666</v>
      </c>
      <c r="G145" s="454" t="s">
        <v>1666</v>
      </c>
      <c r="H145" s="454" t="s">
        <v>1666</v>
      </c>
    </row>
    <row r="146" spans="1:8" ht="12.75">
      <c r="A146" s="24" t="s">
        <v>2508</v>
      </c>
      <c r="B146" s="14" t="s">
        <v>2539</v>
      </c>
      <c r="C146" s="792" t="s">
        <v>1666</v>
      </c>
      <c r="D146" s="13" t="s">
        <v>1666</v>
      </c>
      <c r="E146" s="454" t="s">
        <v>1666</v>
      </c>
      <c r="F146" s="454" t="s">
        <v>1666</v>
      </c>
      <c r="G146" s="454" t="s">
        <v>1666</v>
      </c>
      <c r="H146" s="454" t="s">
        <v>1666</v>
      </c>
    </row>
    <row r="147" spans="1:8" ht="12.75">
      <c r="A147" s="24" t="s">
        <v>2508</v>
      </c>
      <c r="B147" s="14" t="s">
        <v>2539</v>
      </c>
      <c r="C147" s="792" t="s">
        <v>1666</v>
      </c>
      <c r="D147" s="13" t="s">
        <v>1666</v>
      </c>
      <c r="E147" s="454" t="s">
        <v>1666</v>
      </c>
      <c r="F147" s="454" t="s">
        <v>1666</v>
      </c>
      <c r="G147" s="454" t="s">
        <v>1666</v>
      </c>
      <c r="H147" s="454" t="s">
        <v>1666</v>
      </c>
    </row>
    <row r="148" spans="1:8" ht="12.75">
      <c r="A148" s="24" t="s">
        <v>2508</v>
      </c>
      <c r="B148" s="14" t="s">
        <v>2539</v>
      </c>
      <c r="C148" s="792" t="s">
        <v>1666</v>
      </c>
      <c r="D148" s="13" t="s">
        <v>1666</v>
      </c>
      <c r="E148" s="454" t="s">
        <v>1666</v>
      </c>
      <c r="F148" s="454" t="s">
        <v>1666</v>
      </c>
      <c r="G148" s="454" t="s">
        <v>1666</v>
      </c>
      <c r="H148" s="454" t="s">
        <v>1666</v>
      </c>
    </row>
    <row r="149" spans="1:8" ht="12.75">
      <c r="A149" s="24" t="s">
        <v>2508</v>
      </c>
      <c r="B149" s="14" t="s">
        <v>2539</v>
      </c>
      <c r="C149" s="792" t="s">
        <v>1666</v>
      </c>
      <c r="D149" s="13" t="s">
        <v>1666</v>
      </c>
      <c r="E149" s="454" t="s">
        <v>1666</v>
      </c>
      <c r="F149" s="454" t="s">
        <v>1666</v>
      </c>
      <c r="G149" s="454" t="s">
        <v>1666</v>
      </c>
      <c r="H149" s="454" t="s">
        <v>1666</v>
      </c>
    </row>
    <row r="150" spans="1:8" ht="12.75">
      <c r="A150" s="24" t="s">
        <v>2508</v>
      </c>
      <c r="B150" s="14" t="s">
        <v>2539</v>
      </c>
      <c r="C150" s="792" t="s">
        <v>1666</v>
      </c>
      <c r="D150" s="13" t="s">
        <v>1666</v>
      </c>
      <c r="E150" s="454" t="s">
        <v>1666</v>
      </c>
      <c r="F150" s="454" t="s">
        <v>1666</v>
      </c>
      <c r="G150" s="454" t="s">
        <v>1666</v>
      </c>
      <c r="H150" s="454" t="s">
        <v>1666</v>
      </c>
    </row>
    <row r="151" spans="1:8" ht="12.75">
      <c r="A151" s="24" t="s">
        <v>2508</v>
      </c>
      <c r="B151" s="14" t="s">
        <v>2539</v>
      </c>
      <c r="C151" s="792" t="s">
        <v>1666</v>
      </c>
      <c r="D151" s="13" t="s">
        <v>1666</v>
      </c>
      <c r="E151" s="454" t="s">
        <v>1666</v>
      </c>
      <c r="F151" s="454" t="s">
        <v>1666</v>
      </c>
      <c r="G151" s="454" t="s">
        <v>1666</v>
      </c>
      <c r="H151" s="454" t="s">
        <v>1666</v>
      </c>
    </row>
    <row r="152" spans="1:8" ht="12.75">
      <c r="A152" s="24" t="s">
        <v>2508</v>
      </c>
      <c r="B152" s="14" t="s">
        <v>2539</v>
      </c>
      <c r="C152" s="792">
        <v>0.3072721065209969</v>
      </c>
      <c r="D152" s="18" t="s">
        <v>324</v>
      </c>
      <c r="E152" s="12">
        <v>1.0652903141570055E-3</v>
      </c>
      <c r="F152" s="12">
        <v>1.7273631840796021E-2</v>
      </c>
      <c r="G152" s="12">
        <v>1.3582399999999999E-4</v>
      </c>
      <c r="H152" s="12">
        <v>2.14E-3</v>
      </c>
    </row>
    <row r="153" spans="1:8" ht="12.75">
      <c r="A153" s="24" t="s">
        <v>2508</v>
      </c>
      <c r="B153" s="14" t="s">
        <v>2539</v>
      </c>
      <c r="C153" s="792" t="s">
        <v>1666</v>
      </c>
      <c r="D153" s="18" t="s">
        <v>1666</v>
      </c>
      <c r="E153" s="454" t="s">
        <v>1666</v>
      </c>
      <c r="F153" s="454" t="s">
        <v>1666</v>
      </c>
      <c r="G153" s="454" t="s">
        <v>1666</v>
      </c>
      <c r="H153" s="454" t="s">
        <v>1666</v>
      </c>
    </row>
    <row r="154" spans="1:8" ht="12.75">
      <c r="A154" s="24" t="s">
        <v>2508</v>
      </c>
      <c r="B154" s="14" t="s">
        <v>2539</v>
      </c>
      <c r="C154" s="792" t="s">
        <v>1666</v>
      </c>
      <c r="D154" s="18" t="s">
        <v>1666</v>
      </c>
      <c r="E154" s="454" t="s">
        <v>1666</v>
      </c>
      <c r="F154" s="454" t="s">
        <v>1666</v>
      </c>
      <c r="G154" s="454" t="s">
        <v>1666</v>
      </c>
      <c r="H154" s="454" t="s">
        <v>1666</v>
      </c>
    </row>
    <row r="155" spans="1:8" ht="12.75">
      <c r="A155" s="24" t="s">
        <v>2508</v>
      </c>
      <c r="B155" s="14" t="s">
        <v>2539</v>
      </c>
      <c r="C155" s="792" t="s">
        <v>1666</v>
      </c>
      <c r="D155" s="18" t="s">
        <v>1666</v>
      </c>
      <c r="E155" s="454" t="s">
        <v>1666</v>
      </c>
      <c r="F155" s="454" t="s">
        <v>1666</v>
      </c>
      <c r="G155" s="454" t="s">
        <v>1666</v>
      </c>
      <c r="H155" s="454" t="s">
        <v>1666</v>
      </c>
    </row>
    <row r="156" spans="1:8" ht="12.75">
      <c r="A156" s="24" t="s">
        <v>2508</v>
      </c>
      <c r="B156" s="14" t="s">
        <v>2539</v>
      </c>
      <c r="C156" s="792" t="s">
        <v>1666</v>
      </c>
      <c r="D156" s="18" t="s">
        <v>1666</v>
      </c>
      <c r="E156" s="454" t="s">
        <v>1666</v>
      </c>
      <c r="F156" s="454" t="s">
        <v>1666</v>
      </c>
      <c r="G156" s="454" t="s">
        <v>1666</v>
      </c>
      <c r="H156" s="454" t="s">
        <v>1666</v>
      </c>
    </row>
    <row r="157" spans="1:8" ht="12.75">
      <c r="A157" s="24" t="s">
        <v>2508</v>
      </c>
      <c r="B157" s="14" t="s">
        <v>2539</v>
      </c>
      <c r="C157" s="792" t="s">
        <v>1666</v>
      </c>
      <c r="D157" s="18" t="s">
        <v>1666</v>
      </c>
      <c r="E157" s="454" t="s">
        <v>1666</v>
      </c>
      <c r="F157" s="454" t="s">
        <v>1666</v>
      </c>
      <c r="G157" s="454" t="s">
        <v>1666</v>
      </c>
      <c r="H157" s="454" t="s">
        <v>1666</v>
      </c>
    </row>
    <row r="158" spans="1:8" ht="12.75">
      <c r="A158" s="24" t="s">
        <v>2508</v>
      </c>
      <c r="B158" s="14" t="s">
        <v>2539</v>
      </c>
      <c r="C158" s="792" t="s">
        <v>1666</v>
      </c>
      <c r="D158" s="18" t="s">
        <v>1666</v>
      </c>
      <c r="E158" s="454" t="s">
        <v>1666</v>
      </c>
      <c r="F158" s="454" t="s">
        <v>1666</v>
      </c>
      <c r="G158" s="454" t="s">
        <v>1666</v>
      </c>
      <c r="H158" s="454" t="s">
        <v>1666</v>
      </c>
    </row>
    <row r="159" spans="1:8" ht="12.75">
      <c r="A159" s="24" t="s">
        <v>2508</v>
      </c>
      <c r="B159" s="14" t="s">
        <v>2539</v>
      </c>
      <c r="C159" s="792" t="s">
        <v>1666</v>
      </c>
      <c r="D159" s="18" t="s">
        <v>1666</v>
      </c>
      <c r="E159" s="454" t="s">
        <v>1666</v>
      </c>
      <c r="F159" s="454" t="s">
        <v>1666</v>
      </c>
      <c r="G159" s="454" t="s">
        <v>1666</v>
      </c>
      <c r="H159" s="454" t="s">
        <v>1666</v>
      </c>
    </row>
    <row r="160" spans="1:8" ht="12.75">
      <c r="A160" s="24" t="s">
        <v>2508</v>
      </c>
      <c r="B160" s="14" t="s">
        <v>2539</v>
      </c>
      <c r="C160" s="792" t="s">
        <v>1666</v>
      </c>
      <c r="D160" s="18" t="s">
        <v>1666</v>
      </c>
      <c r="E160" s="454" t="s">
        <v>1666</v>
      </c>
      <c r="F160" s="454" t="s">
        <v>1666</v>
      </c>
      <c r="G160" s="454" t="s">
        <v>1666</v>
      </c>
      <c r="H160" s="454" t="s">
        <v>1666</v>
      </c>
    </row>
    <row r="161" spans="1:8" ht="12.75">
      <c r="A161" s="24" t="s">
        <v>2508</v>
      </c>
      <c r="B161" s="14" t="s">
        <v>2539</v>
      </c>
      <c r="C161" s="792" t="s">
        <v>1666</v>
      </c>
      <c r="D161" s="18" t="s">
        <v>1666</v>
      </c>
      <c r="E161" s="454" t="s">
        <v>1666</v>
      </c>
      <c r="F161" s="454" t="s">
        <v>1666</v>
      </c>
      <c r="G161" s="454" t="s">
        <v>1666</v>
      </c>
      <c r="H161" s="454" t="s">
        <v>1666</v>
      </c>
    </row>
    <row r="162" spans="1:8" ht="12.75">
      <c r="A162" s="24" t="s">
        <v>2508</v>
      </c>
      <c r="B162" s="14" t="s">
        <v>2539</v>
      </c>
      <c r="C162" s="792" t="s">
        <v>1666</v>
      </c>
      <c r="D162" s="18" t="s">
        <v>1666</v>
      </c>
      <c r="E162" s="454" t="s">
        <v>1666</v>
      </c>
      <c r="F162" s="454" t="s">
        <v>1666</v>
      </c>
      <c r="G162" s="454" t="s">
        <v>1666</v>
      </c>
      <c r="H162" s="454" t="s">
        <v>1666</v>
      </c>
    </row>
    <row r="163" spans="1:8" ht="12.75">
      <c r="A163" s="794" t="s">
        <v>2508</v>
      </c>
      <c r="B163" s="617" t="s">
        <v>2539</v>
      </c>
      <c r="C163" s="455" t="s">
        <v>1666</v>
      </c>
      <c r="D163" s="793" t="s">
        <v>1666</v>
      </c>
      <c r="E163" s="454" t="s">
        <v>1666</v>
      </c>
      <c r="F163" s="454" t="s">
        <v>1666</v>
      </c>
      <c r="G163" s="454" t="s">
        <v>1666</v>
      </c>
      <c r="H163" s="454" t="s">
        <v>1666</v>
      </c>
    </row>
    <row r="164" spans="1:8" ht="12.75">
      <c r="A164" s="14" t="s">
        <v>2508</v>
      </c>
      <c r="B164" s="14" t="s">
        <v>2542</v>
      </c>
      <c r="C164" s="792">
        <v>55.555555555555557</v>
      </c>
      <c r="D164" s="18" t="s">
        <v>88</v>
      </c>
      <c r="E164" s="800">
        <v>5.5280749052132698E-2</v>
      </c>
      <c r="F164" s="800">
        <v>0.16253532298578199</v>
      </c>
      <c r="G164" s="800">
        <v>1.0836239353080568E-3</v>
      </c>
      <c r="H164" s="800">
        <v>1.0196349526066351E-2</v>
      </c>
    </row>
    <row r="165" spans="1:8" ht="12.75">
      <c r="A165" s="14" t="s">
        <v>2508</v>
      </c>
      <c r="B165" s="14" t="s">
        <v>2542</v>
      </c>
      <c r="C165" s="792">
        <v>44.444444444444443</v>
      </c>
      <c r="D165" s="18" t="s">
        <v>340</v>
      </c>
      <c r="E165" s="12">
        <v>2.1708241661196198E-2</v>
      </c>
      <c r="F165" s="12">
        <v>0.36572952458380198</v>
      </c>
      <c r="G165" s="12">
        <v>4.6350652173913045E-4</v>
      </c>
      <c r="H165" s="12">
        <v>1.6975608035415088E-3</v>
      </c>
    </row>
    <row r="166" spans="1:8" ht="12.75">
      <c r="A166" s="617" t="s">
        <v>2508</v>
      </c>
      <c r="B166" s="617" t="s">
        <v>2542</v>
      </c>
      <c r="C166" s="459">
        <v>20</v>
      </c>
      <c r="D166" s="801" t="s">
        <v>72</v>
      </c>
      <c r="E166" s="802">
        <v>0</v>
      </c>
      <c r="F166" s="802">
        <v>0</v>
      </c>
      <c r="G166" s="802">
        <v>0</v>
      </c>
      <c r="H166" s="802">
        <v>0</v>
      </c>
    </row>
    <row r="167" spans="1:8" ht="12.75">
      <c r="A167" s="799" t="s">
        <v>2508</v>
      </c>
      <c r="B167" s="617" t="s">
        <v>2543</v>
      </c>
      <c r="C167" s="455">
        <v>100</v>
      </c>
      <c r="D167" s="793" t="s">
        <v>879</v>
      </c>
      <c r="E167" s="635">
        <v>5.688340995260663E-3</v>
      </c>
      <c r="F167" s="635">
        <v>1.672474336492891E-2</v>
      </c>
      <c r="G167" s="635">
        <v>1.1150396042654029E-4</v>
      </c>
      <c r="H167" s="635">
        <v>1.0491954976303319E-3</v>
      </c>
    </row>
    <row r="168" spans="1:8" ht="12.75">
      <c r="A168" s="24" t="s">
        <v>2508</v>
      </c>
      <c r="B168" s="14" t="s">
        <v>2544</v>
      </c>
      <c r="C168" s="792">
        <v>81.730769230769226</v>
      </c>
      <c r="D168" s="18" t="s">
        <v>124</v>
      </c>
      <c r="E168" s="12">
        <v>3.9416473933649287E-3</v>
      </c>
      <c r="F168" s="12">
        <v>1.1589150710900475E-2</v>
      </c>
      <c r="G168" s="12">
        <v>7.7264934597156404E-5</v>
      </c>
      <c r="H168" s="12">
        <v>7.2702369668246447E-4</v>
      </c>
    </row>
    <row r="169" spans="1:8" ht="12.75">
      <c r="A169" s="24" t="s">
        <v>2508</v>
      </c>
      <c r="B169" s="14" t="s">
        <v>2544</v>
      </c>
      <c r="C169" s="792">
        <v>4.8076923076923075</v>
      </c>
      <c r="D169" s="18" t="s">
        <v>2545</v>
      </c>
      <c r="E169" s="12">
        <v>6.0179999999999999E-3</v>
      </c>
      <c r="F169" s="23">
        <v>1.7694000000000001E-2</v>
      </c>
      <c r="G169" s="12">
        <v>1.17966E-4</v>
      </c>
      <c r="H169" s="12">
        <v>1.1100000000000001E-3</v>
      </c>
    </row>
    <row r="170" spans="1:8" ht="12.75">
      <c r="A170" s="24" t="s">
        <v>2508</v>
      </c>
      <c r="B170" s="14" t="s">
        <v>2544</v>
      </c>
      <c r="C170" s="792">
        <v>9.615384615384615</v>
      </c>
      <c r="D170" s="18" t="s">
        <v>201</v>
      </c>
      <c r="E170" s="12">
        <v>4.18475450981867E-4</v>
      </c>
      <c r="F170" s="12">
        <v>8.6483234472969298E-3</v>
      </c>
      <c r="G170" s="12">
        <v>1.2528735632183908E-4</v>
      </c>
      <c r="H170" s="12">
        <v>3.0408612692190031E-4</v>
      </c>
    </row>
    <row r="171" spans="1:8" ht="12.75">
      <c r="A171" s="24" t="s">
        <v>2508</v>
      </c>
      <c r="B171" s="14" t="s">
        <v>2544</v>
      </c>
      <c r="C171" s="792" t="s">
        <v>1666</v>
      </c>
      <c r="D171" s="18" t="s">
        <v>1666</v>
      </c>
      <c r="E171" s="454" t="s">
        <v>1666</v>
      </c>
      <c r="F171" s="454" t="s">
        <v>1666</v>
      </c>
      <c r="G171" s="454" t="s">
        <v>1666</v>
      </c>
      <c r="H171" s="454" t="s">
        <v>1666</v>
      </c>
    </row>
    <row r="172" spans="1:8" ht="12.75">
      <c r="A172" s="24" t="s">
        <v>2508</v>
      </c>
      <c r="B172" s="14" t="s">
        <v>2544</v>
      </c>
      <c r="C172" s="792">
        <v>0.96153846153846156</v>
      </c>
      <c r="D172" s="18" t="s">
        <v>227</v>
      </c>
      <c r="E172" s="12">
        <v>2.5055367220000002E-3</v>
      </c>
      <c r="F172" s="12">
        <v>3.8459841414181101E-2</v>
      </c>
      <c r="G172" s="12">
        <v>1.1035422343324251E-4</v>
      </c>
      <c r="H172" s="12">
        <v>8.109653861711444E-4</v>
      </c>
    </row>
    <row r="173" spans="1:8" ht="12.75">
      <c r="A173" s="24" t="s">
        <v>2508</v>
      </c>
      <c r="B173" s="14" t="s">
        <v>2544</v>
      </c>
      <c r="C173" s="792">
        <v>0.48076923076923078</v>
      </c>
      <c r="D173" s="18" t="s">
        <v>2532</v>
      </c>
      <c r="E173" s="12">
        <v>4.0401172748815169E-2</v>
      </c>
      <c r="F173" s="12">
        <v>0.11878669834123222</v>
      </c>
      <c r="G173" s="12">
        <v>7.919516026066351E-4</v>
      </c>
      <c r="H173" s="12">
        <v>7.4518613744075819E-3</v>
      </c>
    </row>
    <row r="174" spans="1:8" ht="12.75">
      <c r="A174" s="794" t="s">
        <v>2508</v>
      </c>
      <c r="B174" s="617" t="s">
        <v>2544</v>
      </c>
      <c r="C174" s="455">
        <v>2.4038461538461537</v>
      </c>
      <c r="D174" s="797" t="s">
        <v>2546</v>
      </c>
      <c r="E174" s="803">
        <v>2.2073766211046637E-2</v>
      </c>
      <c r="F174" s="803">
        <v>8.7246004352723297E-2</v>
      </c>
      <c r="G174" s="803">
        <v>5.8202330775582959E-4</v>
      </c>
      <c r="H174" s="803">
        <v>2.670351142205461E-3</v>
      </c>
    </row>
    <row r="175" spans="1:8" ht="12.75">
      <c r="A175" s="24" t="s">
        <v>2508</v>
      </c>
      <c r="B175" s="14" t="s">
        <v>2547</v>
      </c>
      <c r="C175" s="792">
        <v>69.599999999999994</v>
      </c>
      <c r="D175" s="18" t="s">
        <v>879</v>
      </c>
      <c r="E175" s="12">
        <v>5.688340995260663E-3</v>
      </c>
      <c r="F175" s="12">
        <v>1.672474336492891E-2</v>
      </c>
      <c r="G175" s="12">
        <v>1.1150396042654029E-4</v>
      </c>
      <c r="H175" s="12">
        <v>1.0491954976303319E-3</v>
      </c>
    </row>
    <row r="176" spans="1:8" ht="12.75">
      <c r="A176" s="24" t="s">
        <v>2508</v>
      </c>
      <c r="B176" s="14" t="s">
        <v>2547</v>
      </c>
      <c r="C176" s="792">
        <v>2.2059575795383655</v>
      </c>
      <c r="D176" s="18" t="s">
        <v>201</v>
      </c>
      <c r="E176" s="12">
        <v>4.18475450981867E-4</v>
      </c>
      <c r="F176" s="12">
        <v>8.6483234472969298E-3</v>
      </c>
      <c r="G176" s="12">
        <v>1.2528735632183908E-4</v>
      </c>
      <c r="H176" s="12">
        <v>3.0408612692190031E-4</v>
      </c>
    </row>
    <row r="177" spans="1:8" ht="12.75">
      <c r="A177" s="24" t="s">
        <v>2508</v>
      </c>
      <c r="B177" s="14" t="s">
        <v>2547</v>
      </c>
      <c r="C177" s="792">
        <v>2.1881004366812227</v>
      </c>
      <c r="D177" s="18" t="s">
        <v>160</v>
      </c>
      <c r="E177" s="12">
        <v>6.0223214285714296E-4</v>
      </c>
      <c r="F177" s="12">
        <v>6.2001687102860702E-3</v>
      </c>
      <c r="G177" s="12">
        <v>1.4264705882352941E-4</v>
      </c>
      <c r="H177" s="12">
        <v>3.8905136826772536E-4</v>
      </c>
    </row>
    <row r="178" spans="1:8" ht="12.75">
      <c r="A178" s="24" t="s">
        <v>2508</v>
      </c>
      <c r="B178" s="14" t="s">
        <v>2547</v>
      </c>
      <c r="C178" s="792">
        <v>6.6268013100436685</v>
      </c>
      <c r="D178" s="18" t="s">
        <v>433</v>
      </c>
      <c r="E178" s="12">
        <v>3.0104466724907065E-4</v>
      </c>
      <c r="F178" s="12">
        <v>1.2500000000000001E-2</v>
      </c>
      <c r="G178" s="12">
        <v>5.1818181818181835E-4</v>
      </c>
      <c r="H178" s="12">
        <v>4.0084080366977777E-4</v>
      </c>
    </row>
    <row r="179" spans="1:8" ht="12.75">
      <c r="A179" s="24" t="s">
        <v>2508</v>
      </c>
      <c r="B179" s="14" t="s">
        <v>2547</v>
      </c>
      <c r="C179" s="792">
        <v>6.5875000000000004</v>
      </c>
      <c r="D179" s="18" t="s">
        <v>425</v>
      </c>
      <c r="E179" s="12">
        <v>3.8102374934982654E-3</v>
      </c>
      <c r="F179" s="12">
        <v>0.20470422547079484</v>
      </c>
      <c r="G179" s="12">
        <v>1.210810810810811E-4</v>
      </c>
      <c r="H179" s="12">
        <v>1.0002400855855065E-3</v>
      </c>
    </row>
    <row r="180" spans="1:8" ht="12.75">
      <c r="A180" s="24" t="s">
        <v>2508</v>
      </c>
      <c r="B180" s="14" t="s">
        <v>2547</v>
      </c>
      <c r="C180" s="792">
        <v>12.19217872738615</v>
      </c>
      <c r="D180" s="18" t="s">
        <v>124</v>
      </c>
      <c r="E180" s="12">
        <v>3.9416473933649287E-3</v>
      </c>
      <c r="F180" s="12">
        <v>1.1589150710900475E-2</v>
      </c>
      <c r="G180" s="12">
        <v>7.7264934597156404E-5</v>
      </c>
      <c r="H180" s="12">
        <v>7.2702369668246447E-4</v>
      </c>
    </row>
    <row r="181" spans="1:8" ht="12.75">
      <c r="A181" s="24" t="s">
        <v>2508</v>
      </c>
      <c r="B181" s="14" t="s">
        <v>2547</v>
      </c>
      <c r="C181" s="792">
        <v>9.1703056768558944E-2</v>
      </c>
      <c r="D181" s="18" t="s">
        <v>2548</v>
      </c>
      <c r="E181" s="12">
        <v>1.5483515402843602E-2</v>
      </c>
      <c r="F181" s="12">
        <v>4.5524313981042654E-2</v>
      </c>
      <c r="G181" s="12">
        <v>3.0351086374407588E-4</v>
      </c>
      <c r="H181" s="12">
        <v>2.8558827014218014E-3</v>
      </c>
    </row>
    <row r="182" spans="1:8" ht="12.75">
      <c r="A182" s="24" t="s">
        <v>2508</v>
      </c>
      <c r="B182" s="14" t="s">
        <v>2547</v>
      </c>
      <c r="C182" s="792">
        <v>7.025888958203369E-2</v>
      </c>
      <c r="D182" s="18" t="s">
        <v>162</v>
      </c>
      <c r="E182" s="12">
        <v>2.0907198096371199E-3</v>
      </c>
      <c r="F182" s="12">
        <v>1.7024640721375099E-2</v>
      </c>
      <c r="G182" s="12">
        <v>3.6304347826086956E-4</v>
      </c>
      <c r="H182" s="12">
        <v>9.106057387715603E-4</v>
      </c>
    </row>
    <row r="183" spans="1:8" ht="12.75">
      <c r="A183" s="24" t="s">
        <v>2508</v>
      </c>
      <c r="B183" s="14" t="s">
        <v>2547</v>
      </c>
      <c r="C183" s="792" t="s">
        <v>1666</v>
      </c>
      <c r="D183" s="18" t="s">
        <v>1666</v>
      </c>
      <c r="E183" s="454" t="s">
        <v>1666</v>
      </c>
      <c r="F183" s="454" t="s">
        <v>1666</v>
      </c>
      <c r="G183" s="454" t="s">
        <v>1666</v>
      </c>
      <c r="H183" s="454" t="s">
        <v>1666</v>
      </c>
    </row>
    <row r="184" spans="1:8" ht="12.75">
      <c r="A184" s="24" t="s">
        <v>2508</v>
      </c>
      <c r="B184" s="14" t="s">
        <v>2547</v>
      </c>
      <c r="C184" s="792" t="s">
        <v>1666</v>
      </c>
      <c r="D184" s="18" t="s">
        <v>1666</v>
      </c>
      <c r="E184" s="454" t="s">
        <v>1666</v>
      </c>
      <c r="F184" s="454" t="s">
        <v>1666</v>
      </c>
      <c r="G184" s="454" t="s">
        <v>1666</v>
      </c>
      <c r="H184" s="454" t="s">
        <v>1666</v>
      </c>
    </row>
    <row r="185" spans="1:8" ht="12.75">
      <c r="A185" s="24" t="s">
        <v>2508</v>
      </c>
      <c r="B185" s="14" t="s">
        <v>2547</v>
      </c>
      <c r="C185" s="792" t="s">
        <v>1666</v>
      </c>
      <c r="D185" s="18" t="s">
        <v>1666</v>
      </c>
      <c r="E185" s="454" t="s">
        <v>1666</v>
      </c>
      <c r="F185" s="454" t="s">
        <v>1666</v>
      </c>
      <c r="G185" s="454" t="s">
        <v>1666</v>
      </c>
      <c r="H185" s="454" t="s">
        <v>1666</v>
      </c>
    </row>
    <row r="186" spans="1:8" ht="12.75">
      <c r="A186" s="24" t="s">
        <v>2508</v>
      </c>
      <c r="B186" s="14" t="s">
        <v>2547</v>
      </c>
      <c r="C186" s="792" t="s">
        <v>1666</v>
      </c>
      <c r="D186" s="18" t="s">
        <v>1666</v>
      </c>
      <c r="E186" s="454" t="s">
        <v>1666</v>
      </c>
      <c r="F186" s="454" t="s">
        <v>1666</v>
      </c>
      <c r="G186" s="454" t="s">
        <v>1666</v>
      </c>
      <c r="H186" s="454" t="s">
        <v>1666</v>
      </c>
    </row>
    <row r="187" spans="1:8" ht="12.75">
      <c r="A187" s="24" t="s">
        <v>2508</v>
      </c>
      <c r="B187" s="14" t="s">
        <v>2547</v>
      </c>
      <c r="C187" s="792">
        <v>0.4017857142857143</v>
      </c>
      <c r="D187" s="18" t="s">
        <v>115</v>
      </c>
      <c r="E187" s="12">
        <v>4.9087580568720375E-3</v>
      </c>
      <c r="F187" s="12">
        <v>1.4432629620853081E-2</v>
      </c>
      <c r="G187" s="12">
        <v>9.6222424881516595E-5</v>
      </c>
      <c r="H187" s="12">
        <v>9.0540402843601901E-4</v>
      </c>
    </row>
    <row r="188" spans="1:8" ht="12.75">
      <c r="A188" s="24" t="s">
        <v>2508</v>
      </c>
      <c r="B188" s="14" t="s">
        <v>2547</v>
      </c>
      <c r="C188" s="792" t="s">
        <v>1666</v>
      </c>
      <c r="D188" s="18" t="s">
        <v>1666</v>
      </c>
      <c r="E188" s="454" t="s">
        <v>1666</v>
      </c>
      <c r="F188" s="454" t="s">
        <v>1666</v>
      </c>
      <c r="G188" s="454" t="s">
        <v>1666</v>
      </c>
      <c r="H188" s="454" t="s">
        <v>1666</v>
      </c>
    </row>
    <row r="189" spans="1:8" ht="12.75">
      <c r="A189" s="24" t="s">
        <v>2508</v>
      </c>
      <c r="B189" s="14" t="s">
        <v>2547</v>
      </c>
      <c r="C189" s="792" t="s">
        <v>1666</v>
      </c>
      <c r="D189" s="18" t="s">
        <v>1666</v>
      </c>
      <c r="E189" s="454" t="s">
        <v>1666</v>
      </c>
      <c r="F189" s="454" t="s">
        <v>1666</v>
      </c>
      <c r="G189" s="454" t="s">
        <v>1666</v>
      </c>
      <c r="H189" s="454" t="s">
        <v>1666</v>
      </c>
    </row>
    <row r="190" spans="1:8" ht="12.75">
      <c r="A190" s="24" t="s">
        <v>2508</v>
      </c>
      <c r="B190" s="14" t="s">
        <v>2547</v>
      </c>
      <c r="C190" s="792" t="s">
        <v>1666</v>
      </c>
      <c r="D190" s="18" t="s">
        <v>1666</v>
      </c>
      <c r="E190" s="454" t="s">
        <v>1666</v>
      </c>
      <c r="F190" s="454" t="s">
        <v>1666</v>
      </c>
      <c r="G190" s="454" t="s">
        <v>1666</v>
      </c>
      <c r="H190" s="454" t="s">
        <v>1666</v>
      </c>
    </row>
    <row r="191" spans="1:8" ht="12.75">
      <c r="A191" s="24" t="s">
        <v>2508</v>
      </c>
      <c r="B191" s="14" t="s">
        <v>2547</v>
      </c>
      <c r="C191" s="792">
        <v>1.785714285714286E-2</v>
      </c>
      <c r="D191" s="18" t="s">
        <v>200</v>
      </c>
      <c r="E191" s="22">
        <v>2.4663841103631703E-3</v>
      </c>
      <c r="F191" s="12">
        <v>2.0360674810936601E-2</v>
      </c>
      <c r="G191" s="12">
        <v>5.4639175257731962E-5</v>
      </c>
      <c r="H191" s="12">
        <v>2.7273704167221988E-4</v>
      </c>
    </row>
    <row r="192" spans="1:8" ht="12.75">
      <c r="A192" s="24" t="s">
        <v>2508</v>
      </c>
      <c r="B192" s="14" t="s">
        <v>2547</v>
      </c>
      <c r="C192" s="792" t="s">
        <v>1666</v>
      </c>
      <c r="D192" s="148" t="s">
        <v>1666</v>
      </c>
      <c r="E192" s="220" t="s">
        <v>1666</v>
      </c>
      <c r="F192" s="220" t="s">
        <v>1666</v>
      </c>
      <c r="G192" s="220" t="s">
        <v>1666</v>
      </c>
      <c r="H192" s="220" t="s">
        <v>1666</v>
      </c>
    </row>
    <row r="193" spans="1:8" ht="12.75">
      <c r="A193" s="24" t="s">
        <v>2508</v>
      </c>
      <c r="B193" s="14" t="s">
        <v>2547</v>
      </c>
      <c r="C193" s="792">
        <v>8.9285714285714298E-3</v>
      </c>
      <c r="D193" s="18" t="s">
        <v>227</v>
      </c>
      <c r="E193" s="12">
        <v>2.5055367220000002E-3</v>
      </c>
      <c r="F193" s="12">
        <v>3.8459841414181101E-2</v>
      </c>
      <c r="G193" s="12">
        <v>1.1035422343324251E-4</v>
      </c>
      <c r="H193" s="12">
        <v>8.109653861711444E-4</v>
      </c>
    </row>
    <row r="194" spans="1:8" ht="12.75">
      <c r="A194" s="794" t="s">
        <v>2508</v>
      </c>
      <c r="B194" s="617" t="s">
        <v>2547</v>
      </c>
      <c r="C194" s="455">
        <v>8.9285714285714298E-3</v>
      </c>
      <c r="D194" s="793" t="s">
        <v>131</v>
      </c>
      <c r="E194" s="635">
        <v>4.0401172748815169E-2</v>
      </c>
      <c r="F194" s="635">
        <v>0.11878669834123222</v>
      </c>
      <c r="G194" s="635">
        <v>7.919516026066351E-4</v>
      </c>
      <c r="H194" s="635">
        <v>7.4518613744075819E-3</v>
      </c>
    </row>
    <row r="195" spans="1:8" ht="12.75">
      <c r="A195" s="799" t="s">
        <v>2508</v>
      </c>
      <c r="B195" s="617" t="s">
        <v>2549</v>
      </c>
      <c r="C195" s="455">
        <v>100</v>
      </c>
      <c r="D195" s="793" t="s">
        <v>2550</v>
      </c>
      <c r="E195" s="635">
        <v>9.8563298630136974E-3</v>
      </c>
      <c r="F195" s="635">
        <v>2.8979378630136984E-2</v>
      </c>
      <c r="G195" s="635">
        <v>1.9320568438356163E-4</v>
      </c>
      <c r="H195" s="635">
        <v>1.8179671232876713E-3</v>
      </c>
    </row>
    <row r="196" spans="1:8" ht="12.75">
      <c r="A196" s="799" t="s">
        <v>2508</v>
      </c>
      <c r="B196" s="617" t="s">
        <v>2551</v>
      </c>
      <c r="C196" s="455">
        <v>100</v>
      </c>
      <c r="D196" s="793" t="s">
        <v>103</v>
      </c>
      <c r="E196" s="635">
        <v>2.9198708530805688E-2</v>
      </c>
      <c r="F196" s="635">
        <v>8.5849443127962083E-2</v>
      </c>
      <c r="G196" s="635">
        <v>5.7235873222748809E-4</v>
      </c>
      <c r="H196" s="635">
        <v>5.3856042654028434E-3</v>
      </c>
    </row>
    <row r="197" spans="1:8" ht="12.75">
      <c r="A197" s="617" t="s">
        <v>2552</v>
      </c>
      <c r="B197" s="617" t="s">
        <v>2553</v>
      </c>
      <c r="C197" s="455">
        <v>100</v>
      </c>
      <c r="D197" s="793" t="s">
        <v>2554</v>
      </c>
      <c r="E197" s="635">
        <v>4.8143999999999999E-2</v>
      </c>
      <c r="F197" s="635">
        <v>0.14155200000000001</v>
      </c>
      <c r="G197" s="635">
        <v>9.4372800000000001E-4</v>
      </c>
      <c r="H197" s="635">
        <v>8.8800000000000007E-3</v>
      </c>
    </row>
    <row r="198" spans="1:8" ht="12.75">
      <c r="A198" s="13" t="s">
        <v>2555</v>
      </c>
      <c r="B198" s="14" t="s">
        <v>2556</v>
      </c>
      <c r="C198" s="792">
        <v>38</v>
      </c>
      <c r="D198" s="18" t="s">
        <v>990</v>
      </c>
      <c r="E198" s="12">
        <v>4.8065157443333336E-3</v>
      </c>
      <c r="F198" s="12">
        <v>2.3753475394999998E-2</v>
      </c>
      <c r="G198" s="12">
        <v>4.4716312056737589E-4</v>
      </c>
      <c r="H198" s="12">
        <v>1.378834501718213E-3</v>
      </c>
    </row>
    <row r="199" spans="1:8" ht="12.75">
      <c r="A199" s="799" t="s">
        <v>2555</v>
      </c>
      <c r="B199" s="617" t="s">
        <v>2556</v>
      </c>
      <c r="C199" s="455">
        <v>62</v>
      </c>
      <c r="D199" s="793" t="s">
        <v>2557</v>
      </c>
      <c r="E199" s="635">
        <v>1.109195941E-3</v>
      </c>
      <c r="F199" s="635">
        <v>5.4815712449999996E-3</v>
      </c>
      <c r="G199" s="635">
        <v>1.0319148936170213E-4</v>
      </c>
      <c r="H199" s="635">
        <v>5.0229370000000003E-4</v>
      </c>
    </row>
    <row r="200" spans="1:8" ht="12.75">
      <c r="A200" s="13" t="s">
        <v>2555</v>
      </c>
      <c r="B200" s="14" t="s">
        <v>2558</v>
      </c>
      <c r="C200" s="792">
        <v>78</v>
      </c>
      <c r="D200" s="18" t="s">
        <v>2559</v>
      </c>
      <c r="E200" s="12">
        <v>2.6431432150407948E-3</v>
      </c>
      <c r="F200" s="12">
        <v>3.578569890523918E-2</v>
      </c>
      <c r="G200" s="12">
        <v>1.1539641943734014E-3</v>
      </c>
      <c r="H200" s="12">
        <v>5.0706361664226891E-4</v>
      </c>
    </row>
    <row r="201" spans="1:8" ht="12.75">
      <c r="A201" s="799" t="s">
        <v>2555</v>
      </c>
      <c r="B201" s="617" t="s">
        <v>2558</v>
      </c>
      <c r="C201" s="455">
        <v>22</v>
      </c>
      <c r="D201" s="793" t="s">
        <v>192</v>
      </c>
      <c r="E201" s="635">
        <v>1.1563751565803477E-3</v>
      </c>
      <c r="F201" s="635">
        <v>1.5656243271042144E-2</v>
      </c>
      <c r="G201" s="635">
        <v>5.0485933503836313E-4</v>
      </c>
      <c r="H201" s="635">
        <v>5.9203469084219082E-4</v>
      </c>
    </row>
    <row r="202" spans="1:8" ht="12.75">
      <c r="A202" s="799" t="s">
        <v>2555</v>
      </c>
      <c r="B202" s="617" t="s">
        <v>2560</v>
      </c>
      <c r="C202" s="455">
        <v>100</v>
      </c>
      <c r="D202" s="793" t="s">
        <v>51</v>
      </c>
      <c r="E202" s="12">
        <v>7.8192986778290174E-4</v>
      </c>
      <c r="F202" s="12">
        <v>1.0586602592799924E-2</v>
      </c>
      <c r="G202" s="12">
        <v>3.4138107416879792E-4</v>
      </c>
      <c r="H202" s="12">
        <v>1.6500695191567171E-4</v>
      </c>
    </row>
    <row r="203" spans="1:8" ht="12.75">
      <c r="A203" s="799" t="s">
        <v>2555</v>
      </c>
      <c r="B203" s="617" t="s">
        <v>2561</v>
      </c>
      <c r="C203" s="455">
        <v>100</v>
      </c>
      <c r="D203" s="793" t="s">
        <v>160</v>
      </c>
      <c r="E203" s="804">
        <v>6.0223214285714296E-4</v>
      </c>
      <c r="F203" s="804">
        <v>6.2001687102860702E-3</v>
      </c>
      <c r="G203" s="804">
        <v>1.4264705882352941E-4</v>
      </c>
      <c r="H203" s="804">
        <v>3.8905136826772536E-4</v>
      </c>
    </row>
    <row r="204" spans="1:8" ht="12.75">
      <c r="A204" s="799" t="s">
        <v>2555</v>
      </c>
      <c r="B204" s="617" t="s">
        <v>2562</v>
      </c>
      <c r="C204" s="455">
        <v>100</v>
      </c>
      <c r="D204" s="793" t="s">
        <v>164</v>
      </c>
      <c r="E204" s="635">
        <v>5.8970014450866999E-3</v>
      </c>
      <c r="F204" s="635">
        <v>9.2947174052665296E-2</v>
      </c>
      <c r="G204" s="635">
        <v>5.3866776803454815E-5</v>
      </c>
      <c r="H204" s="635">
        <v>2.6455493042205327E-4</v>
      </c>
    </row>
    <row r="205" spans="1:8" ht="12.75">
      <c r="A205" s="799" t="s">
        <v>2555</v>
      </c>
      <c r="B205" s="617" t="s">
        <v>2563</v>
      </c>
      <c r="C205" s="455">
        <v>100</v>
      </c>
      <c r="D205" s="793" t="s">
        <v>158</v>
      </c>
      <c r="E205" s="635">
        <v>4.2641079069014702E-3</v>
      </c>
      <c r="F205" s="635">
        <v>3.0172608007591802E-2</v>
      </c>
      <c r="G205" s="635">
        <v>3.7733333333333331E-4</v>
      </c>
      <c r="H205" s="635">
        <v>1.0254471294296212E-3</v>
      </c>
    </row>
    <row r="206" spans="1:8" ht="12.75">
      <c r="A206" s="13" t="s">
        <v>2555</v>
      </c>
      <c r="B206" s="14" t="s">
        <v>2564</v>
      </c>
      <c r="C206" s="792">
        <v>74</v>
      </c>
      <c r="D206" s="18" t="s">
        <v>147</v>
      </c>
      <c r="E206" s="12">
        <v>5.3660800389999995E-4</v>
      </c>
      <c r="F206" s="12">
        <v>2.8929604629999999E-3</v>
      </c>
      <c r="G206" s="12">
        <v>1.75E-4</v>
      </c>
      <c r="H206" s="12">
        <v>2.6107342105263152E-4</v>
      </c>
    </row>
    <row r="207" spans="1:8" ht="12.75">
      <c r="A207" s="799" t="s">
        <v>2555</v>
      </c>
      <c r="B207" s="617" t="s">
        <v>2564</v>
      </c>
      <c r="C207" s="455">
        <v>26</v>
      </c>
      <c r="D207" s="793" t="s">
        <v>186</v>
      </c>
      <c r="E207" s="635">
        <v>5.2339736232043406E-4</v>
      </c>
      <c r="F207" s="635">
        <v>4.8498643654599103E-3</v>
      </c>
      <c r="G207" s="635">
        <v>1.205128205128205E-4</v>
      </c>
      <c r="H207" s="635">
        <v>4.2396623465072643E-4</v>
      </c>
    </row>
    <row r="208" spans="1:8" ht="12.75">
      <c r="A208" s="799" t="s">
        <v>2555</v>
      </c>
      <c r="B208" s="617" t="s">
        <v>2565</v>
      </c>
      <c r="C208" s="455">
        <v>100</v>
      </c>
      <c r="D208" s="793" t="s">
        <v>13</v>
      </c>
      <c r="E208" s="635">
        <v>7.4013793103448278E-4</v>
      </c>
      <c r="F208" s="635">
        <v>3.9903448275862069E-3</v>
      </c>
      <c r="G208" s="635">
        <v>2.4137931034482759E-4</v>
      </c>
      <c r="H208" s="635">
        <v>3.6010127048275863E-4</v>
      </c>
    </row>
    <row r="209" spans="1:8" ht="12.75">
      <c r="A209" s="799" t="s">
        <v>2555</v>
      </c>
      <c r="B209" s="617" t="s">
        <v>2566</v>
      </c>
      <c r="C209" s="455">
        <v>100</v>
      </c>
      <c r="D209" s="793" t="s">
        <v>689</v>
      </c>
      <c r="E209" s="635">
        <v>9.6530647293316797E-4</v>
      </c>
      <c r="F209" s="635">
        <v>1.9624016847597899E-2</v>
      </c>
      <c r="G209" s="635">
        <v>1.5714285714285716E-4</v>
      </c>
      <c r="H209" s="635">
        <v>6.7713464334216039E-4</v>
      </c>
    </row>
    <row r="210" spans="1:8" ht="12.75">
      <c r="A210" s="805" t="s">
        <v>2555</v>
      </c>
      <c r="B210" s="753" t="s">
        <v>2567</v>
      </c>
      <c r="C210" s="455">
        <v>100</v>
      </c>
      <c r="D210" s="806" t="s">
        <v>43</v>
      </c>
      <c r="E210" s="635">
        <v>1.9306129458663359E-3</v>
      </c>
      <c r="F210" s="635">
        <v>3.9248033695195798E-2</v>
      </c>
      <c r="G210" s="635">
        <v>2.2000000000000001E-4</v>
      </c>
      <c r="H210" s="635">
        <v>2.1384856875782642E-3</v>
      </c>
    </row>
    <row r="211" spans="1:8" ht="12.75">
      <c r="A211" s="805" t="s">
        <v>2555</v>
      </c>
      <c r="B211" s="753" t="s">
        <v>2568</v>
      </c>
      <c r="C211" s="455">
        <v>100</v>
      </c>
      <c r="D211" s="806" t="s">
        <v>2569</v>
      </c>
      <c r="E211" s="635">
        <v>1.9306129458663359E-3</v>
      </c>
      <c r="F211" s="635">
        <v>3.9248033695195798E-2</v>
      </c>
      <c r="G211" s="635">
        <v>2.2000000000000001E-4</v>
      </c>
      <c r="H211" s="635">
        <v>2.1384856875782642E-3</v>
      </c>
    </row>
    <row r="212" spans="1:8" ht="12.75">
      <c r="A212" s="805" t="s">
        <v>2555</v>
      </c>
      <c r="B212" s="753" t="s">
        <v>2570</v>
      </c>
      <c r="C212" s="455">
        <v>100</v>
      </c>
      <c r="D212" s="806" t="s">
        <v>172</v>
      </c>
      <c r="E212" s="635">
        <v>1.08830216354969E-3</v>
      </c>
      <c r="F212" s="635">
        <v>1.5829360713849203E-2</v>
      </c>
      <c r="G212" s="635">
        <v>1.8085106382978726E-4</v>
      </c>
      <c r="H212" s="635">
        <v>8.1696188617021279E-4</v>
      </c>
    </row>
    <row r="213" spans="1:8" ht="12.75">
      <c r="A213" s="13" t="s">
        <v>2555</v>
      </c>
      <c r="B213" s="14" t="s">
        <v>2571</v>
      </c>
      <c r="C213" s="796">
        <v>32.76</v>
      </c>
      <c r="D213" s="456" t="s">
        <v>72</v>
      </c>
      <c r="E213" s="457">
        <v>0</v>
      </c>
      <c r="F213" s="457">
        <v>0</v>
      </c>
      <c r="G213" s="457">
        <v>0</v>
      </c>
      <c r="H213" s="457">
        <v>0</v>
      </c>
    </row>
    <row r="214" spans="1:8" ht="12.75">
      <c r="A214" s="13" t="s">
        <v>2555</v>
      </c>
      <c r="B214" s="14" t="s">
        <v>2571</v>
      </c>
      <c r="C214" s="792">
        <v>37.945945945945944</v>
      </c>
      <c r="D214" s="18" t="s">
        <v>32</v>
      </c>
      <c r="E214" s="12">
        <v>3.8146972123113249E-3</v>
      </c>
      <c r="F214" s="12">
        <v>1.710282858599476E-2</v>
      </c>
      <c r="G214" s="12">
        <v>5.0222393723691188E-4</v>
      </c>
      <c r="H214" s="12">
        <v>6.5940142870550104E-3</v>
      </c>
    </row>
    <row r="215" spans="1:8" ht="12.75">
      <c r="A215" s="13" t="s">
        <v>2555</v>
      </c>
      <c r="B215" s="14" t="s">
        <v>2571</v>
      </c>
      <c r="C215" s="792">
        <v>9.8378378378378386</v>
      </c>
      <c r="D215" s="18" t="s">
        <v>433</v>
      </c>
      <c r="E215" s="12">
        <v>3.0104466724907065E-4</v>
      </c>
      <c r="F215" s="12">
        <v>1.2500000000000001E-2</v>
      </c>
      <c r="G215" s="12">
        <v>5.1818181818181835E-4</v>
      </c>
      <c r="H215" s="12">
        <v>4.0084080366977777E-4</v>
      </c>
    </row>
    <row r="216" spans="1:8" ht="12.75">
      <c r="A216" s="13" t="s">
        <v>2555</v>
      </c>
      <c r="B216" s="14" t="s">
        <v>2571</v>
      </c>
      <c r="C216" s="792">
        <v>4.2162162162162167</v>
      </c>
      <c r="D216" s="18" t="s">
        <v>425</v>
      </c>
      <c r="E216" s="12">
        <v>3.8102374934982654E-3</v>
      </c>
      <c r="F216" s="12">
        <v>0.20470422547079484</v>
      </c>
      <c r="G216" s="12">
        <v>1.210810810810811E-4</v>
      </c>
      <c r="H216" s="12">
        <v>1.0002400855855065E-3</v>
      </c>
    </row>
    <row r="217" spans="1:8" ht="12.75">
      <c r="A217" s="24" t="s">
        <v>2555</v>
      </c>
      <c r="B217" s="14" t="s">
        <v>2571</v>
      </c>
      <c r="C217" s="792">
        <v>10</v>
      </c>
      <c r="D217" s="18" t="s">
        <v>2572</v>
      </c>
      <c r="E217" s="12">
        <v>3.7044615384615384E-3</v>
      </c>
      <c r="F217" s="12">
        <v>0.11525538461538461</v>
      </c>
      <c r="G217" s="12">
        <v>1.3846153846153847E-5</v>
      </c>
      <c r="H217" s="12">
        <v>1.3566892307692306E-4</v>
      </c>
    </row>
    <row r="218" spans="1:8" ht="12.75">
      <c r="A218" s="24" t="s">
        <v>2555</v>
      </c>
      <c r="B218" s="14" t="s">
        <v>2571</v>
      </c>
      <c r="C218" s="792">
        <v>25</v>
      </c>
      <c r="D218" s="18" t="s">
        <v>2573</v>
      </c>
      <c r="E218" s="12">
        <v>1.2649297968236144E-3</v>
      </c>
      <c r="F218" s="12">
        <v>6.2511974168971618E-3</v>
      </c>
      <c r="G218" s="12">
        <v>1.1767982990863112E-4</v>
      </c>
      <c r="H218" s="12">
        <v>4.4131428444507676E-4</v>
      </c>
    </row>
    <row r="219" spans="1:8" ht="12.75">
      <c r="A219" s="794" t="s">
        <v>2555</v>
      </c>
      <c r="B219" s="617" t="s">
        <v>2571</v>
      </c>
      <c r="C219" s="455">
        <v>13</v>
      </c>
      <c r="D219" s="793" t="s">
        <v>53</v>
      </c>
      <c r="E219" s="635">
        <v>2.5104287393882085E-3</v>
      </c>
      <c r="F219" s="635">
        <v>0.12077642340358601</v>
      </c>
      <c r="G219" s="635">
        <v>1.1761358644033755E-3</v>
      </c>
      <c r="H219" s="635">
        <v>1.1442664359861592E-3</v>
      </c>
    </row>
    <row r="220" spans="1:8" ht="12.75">
      <c r="A220" s="805" t="s">
        <v>2555</v>
      </c>
      <c r="B220" s="753" t="s">
        <v>2574</v>
      </c>
      <c r="C220" s="455">
        <v>100</v>
      </c>
      <c r="D220" s="806" t="s">
        <v>2575</v>
      </c>
      <c r="E220" s="635">
        <v>4.18475450981867E-4</v>
      </c>
      <c r="F220" s="635">
        <v>8.6483234472969298E-3</v>
      </c>
      <c r="G220" s="635">
        <v>1.2528735632183908E-4</v>
      </c>
      <c r="H220" s="635">
        <v>3.0408612692190031E-4</v>
      </c>
    </row>
    <row r="221" spans="1:8" ht="12.75">
      <c r="A221" s="805" t="s">
        <v>2555</v>
      </c>
      <c r="B221" s="753" t="s">
        <v>2576</v>
      </c>
      <c r="C221" s="455">
        <v>100</v>
      </c>
      <c r="D221" s="806" t="s">
        <v>2577</v>
      </c>
      <c r="E221" s="635">
        <v>2.0907198096371199E-3</v>
      </c>
      <c r="F221" s="635">
        <v>1.7024640721375099E-2</v>
      </c>
      <c r="G221" s="635">
        <v>3.6304347826086956E-4</v>
      </c>
      <c r="H221" s="635">
        <v>9.106057387715603E-4</v>
      </c>
    </row>
    <row r="222" spans="1:8" ht="12.75">
      <c r="A222" s="13" t="s">
        <v>2555</v>
      </c>
      <c r="B222" s="14" t="s">
        <v>2578</v>
      </c>
      <c r="C222" s="792">
        <v>54.635135135135137</v>
      </c>
      <c r="D222" s="18" t="s">
        <v>184</v>
      </c>
      <c r="E222" s="12">
        <v>1.1328228175540001E-3</v>
      </c>
      <c r="F222" s="12">
        <v>1.1196667334361301E-2</v>
      </c>
      <c r="G222" s="12">
        <v>2.4736842105263154E-4</v>
      </c>
      <c r="H222" s="12">
        <v>2.2046244201837776E-4</v>
      </c>
    </row>
    <row r="223" spans="1:8" ht="12.75">
      <c r="A223" s="24" t="s">
        <v>2555</v>
      </c>
      <c r="B223" s="14" t="s">
        <v>2578</v>
      </c>
      <c r="C223" s="792" t="s">
        <v>1666</v>
      </c>
      <c r="D223" s="18" t="s">
        <v>1666</v>
      </c>
      <c r="E223" s="454" t="s">
        <v>1666</v>
      </c>
      <c r="F223" s="454" t="s">
        <v>1666</v>
      </c>
      <c r="G223" s="454" t="s">
        <v>1666</v>
      </c>
      <c r="H223" s="454" t="s">
        <v>1666</v>
      </c>
    </row>
    <row r="224" spans="1:8" ht="12.75">
      <c r="A224" s="24" t="s">
        <v>2555</v>
      </c>
      <c r="B224" s="14" t="s">
        <v>2578</v>
      </c>
      <c r="C224" s="796">
        <v>1.0101010101010102</v>
      </c>
      <c r="D224" s="456" t="s">
        <v>72</v>
      </c>
      <c r="E224" s="457">
        <v>0</v>
      </c>
      <c r="F224" s="457">
        <v>0</v>
      </c>
      <c r="G224" s="457">
        <v>0</v>
      </c>
      <c r="H224" s="457">
        <v>0</v>
      </c>
    </row>
    <row r="225" spans="1:8" ht="12.75">
      <c r="A225" s="24" t="s">
        <v>2555</v>
      </c>
      <c r="B225" s="14" t="s">
        <v>2578</v>
      </c>
      <c r="C225" s="792">
        <v>0.54054054054054057</v>
      </c>
      <c r="D225" s="18" t="s">
        <v>425</v>
      </c>
      <c r="E225" s="12">
        <v>3.8102374934982654E-3</v>
      </c>
      <c r="F225" s="12">
        <v>0.20470422547079484</v>
      </c>
      <c r="G225" s="12">
        <v>1.210810810810811E-4</v>
      </c>
      <c r="H225" s="12">
        <v>1.0002400855855065E-3</v>
      </c>
    </row>
    <row r="226" spans="1:8" ht="12.75">
      <c r="A226" s="24" t="s">
        <v>2555</v>
      </c>
      <c r="B226" s="14" t="s">
        <v>2578</v>
      </c>
      <c r="C226" s="792">
        <v>0.32432432432432434</v>
      </c>
      <c r="D226" s="18" t="s">
        <v>433</v>
      </c>
      <c r="E226" s="12">
        <v>3.0104466724907065E-4</v>
      </c>
      <c r="F226" s="12">
        <v>1.2500000000000001E-2</v>
      </c>
      <c r="G226" s="12">
        <v>5.1818181818181835E-4</v>
      </c>
      <c r="H226" s="12">
        <v>4.0084080366977777E-4</v>
      </c>
    </row>
    <row r="227" spans="1:8" ht="12.75">
      <c r="A227" s="24" t="s">
        <v>2555</v>
      </c>
      <c r="B227" s="14" t="s">
        <v>2578</v>
      </c>
      <c r="C227" s="792" t="s">
        <v>1666</v>
      </c>
      <c r="D227" s="18" t="s">
        <v>1666</v>
      </c>
      <c r="E227" s="454" t="s">
        <v>1666</v>
      </c>
      <c r="F227" s="454" t="s">
        <v>1666</v>
      </c>
      <c r="G227" s="454" t="s">
        <v>1666</v>
      </c>
      <c r="H227" s="454" t="s">
        <v>1666</v>
      </c>
    </row>
    <row r="228" spans="1:8" ht="12.75">
      <c r="A228" s="24" t="s">
        <v>2555</v>
      </c>
      <c r="B228" s="14" t="s">
        <v>2578</v>
      </c>
      <c r="C228" s="792">
        <v>14.499999999999998</v>
      </c>
      <c r="D228" s="18" t="s">
        <v>13</v>
      </c>
      <c r="E228" s="12">
        <v>7.4013793103448278E-4</v>
      </c>
      <c r="F228" s="12">
        <v>3.9903448275862069E-3</v>
      </c>
      <c r="G228" s="12">
        <v>2.4137931034482759E-4</v>
      </c>
      <c r="H228" s="12">
        <v>3.6010127048275863E-4</v>
      </c>
    </row>
    <row r="229" spans="1:8" ht="12.75">
      <c r="A229" s="794" t="s">
        <v>2555</v>
      </c>
      <c r="B229" s="617" t="s">
        <v>2578</v>
      </c>
      <c r="C229" s="455">
        <v>30</v>
      </c>
      <c r="D229" s="793" t="s">
        <v>195</v>
      </c>
      <c r="E229" s="635">
        <v>5.0660244954948562E-4</v>
      </c>
      <c r="F229" s="635">
        <v>6.8589256235041763E-3</v>
      </c>
      <c r="G229" s="635">
        <v>2.2117647058823527E-4</v>
      </c>
      <c r="H229" s="635">
        <v>2.5936757884515029E-4</v>
      </c>
    </row>
    <row r="230" spans="1:8" ht="12.75">
      <c r="A230" s="13" t="s">
        <v>2555</v>
      </c>
      <c r="B230" s="14" t="s">
        <v>2579</v>
      </c>
      <c r="C230" s="792">
        <v>80</v>
      </c>
      <c r="D230" s="18" t="s">
        <v>154</v>
      </c>
      <c r="E230" s="12">
        <v>7.1773844620122602E-3</v>
      </c>
      <c r="F230" s="12">
        <v>6.7715737224996325E-2</v>
      </c>
      <c r="G230" s="12">
        <v>2.6813386525249999E-3</v>
      </c>
      <c r="H230" s="12">
        <v>1.1775586996833334E-3</v>
      </c>
    </row>
    <row r="231" spans="1:8" ht="12.75">
      <c r="A231" s="799" t="s">
        <v>2555</v>
      </c>
      <c r="B231" s="617" t="s">
        <v>2579</v>
      </c>
      <c r="C231" s="455">
        <v>20</v>
      </c>
      <c r="D231" s="793" t="s">
        <v>157</v>
      </c>
      <c r="E231" s="635">
        <v>1.4295205567493299E-3</v>
      </c>
      <c r="F231" s="635">
        <v>1.3486951812447402E-2</v>
      </c>
      <c r="G231" s="635">
        <v>5.3404255319148934E-4</v>
      </c>
      <c r="H231" s="635">
        <v>2.3453451278550826E-4</v>
      </c>
    </row>
    <row r="232" spans="1:8" ht="12.75">
      <c r="A232" s="805" t="s">
        <v>2580</v>
      </c>
      <c r="B232" s="753" t="s">
        <v>2581</v>
      </c>
      <c r="C232" s="807">
        <v>100</v>
      </c>
      <c r="D232" s="806" t="s">
        <v>506</v>
      </c>
      <c r="E232" s="635">
        <v>4.8057057617005398E-4</v>
      </c>
      <c r="F232" s="635">
        <v>9.8776215197699697E-3</v>
      </c>
      <c r="G232" s="635">
        <v>6.3E-5</v>
      </c>
      <c r="H232" s="635">
        <v>2.4250819999999999E-4</v>
      </c>
    </row>
    <row r="233" spans="1:8" ht="12.75">
      <c r="A233" s="13" t="s">
        <v>2580</v>
      </c>
      <c r="B233" s="14" t="s">
        <v>2582</v>
      </c>
      <c r="C233" s="792">
        <v>59.890410958904113</v>
      </c>
      <c r="D233" s="18" t="s">
        <v>70</v>
      </c>
      <c r="E233" s="12">
        <v>7.1317551258113035E-4</v>
      </c>
      <c r="F233" s="12">
        <v>1.4658570748517077E-2</v>
      </c>
      <c r="G233" s="12">
        <v>9.34931506849315E-5</v>
      </c>
      <c r="H233" s="12">
        <v>3.5988659817351594E-4</v>
      </c>
    </row>
    <row r="234" spans="1:8" ht="12.75">
      <c r="A234" s="24" t="s">
        <v>2580</v>
      </c>
      <c r="B234" s="14" t="s">
        <v>2582</v>
      </c>
      <c r="C234" s="792" t="s">
        <v>1666</v>
      </c>
      <c r="D234" s="18" t="s">
        <v>1666</v>
      </c>
      <c r="E234" s="454" t="s">
        <v>1666</v>
      </c>
      <c r="F234" s="454" t="s">
        <v>1666</v>
      </c>
      <c r="G234" s="454" t="s">
        <v>1666</v>
      </c>
      <c r="H234" s="454" t="s">
        <v>1666</v>
      </c>
    </row>
    <row r="235" spans="1:8" ht="12.75">
      <c r="A235" s="24" t="s">
        <v>2580</v>
      </c>
      <c r="B235" s="14" t="s">
        <v>2582</v>
      </c>
      <c r="C235" s="792">
        <v>20.890410958904109</v>
      </c>
      <c r="D235" s="18" t="s">
        <v>22</v>
      </c>
      <c r="E235" s="12">
        <v>8.2470000000000004E-4</v>
      </c>
      <c r="F235" s="12">
        <v>6.7374066666666659E-3</v>
      </c>
      <c r="G235" s="12">
        <v>2.2764227642276422E-5</v>
      </c>
      <c r="H235" s="12">
        <v>8.9618699186991881E-5</v>
      </c>
    </row>
    <row r="236" spans="1:8" ht="12.75">
      <c r="A236" s="24" t="s">
        <v>2580</v>
      </c>
      <c r="B236" s="14" t="s">
        <v>2582</v>
      </c>
      <c r="C236" s="796">
        <v>15.561224489795919</v>
      </c>
      <c r="D236" s="456" t="s">
        <v>72</v>
      </c>
      <c r="E236" s="457">
        <v>0</v>
      </c>
      <c r="F236" s="457">
        <v>0</v>
      </c>
      <c r="G236" s="457">
        <v>0</v>
      </c>
      <c r="H236" s="457">
        <v>0</v>
      </c>
    </row>
    <row r="237" spans="1:8" ht="12.75">
      <c r="A237" s="24" t="s">
        <v>2580</v>
      </c>
      <c r="B237" s="14" t="s">
        <v>2582</v>
      </c>
      <c r="C237" s="792">
        <v>19.219178082191778</v>
      </c>
      <c r="D237" s="18" t="s">
        <v>511</v>
      </c>
      <c r="E237" s="12">
        <v>1.0614922294827143E-3</v>
      </c>
      <c r="F237" s="12">
        <v>1.8872032768007998E-2</v>
      </c>
      <c r="G237" s="12">
        <v>4.1669167635432442E-5</v>
      </c>
      <c r="H237" s="12">
        <v>5.2098391964434997E-4</v>
      </c>
    </row>
    <row r="238" spans="1:8" ht="12.75">
      <c r="A238" s="24" t="s">
        <v>2580</v>
      </c>
      <c r="B238" s="14" t="s">
        <v>2582</v>
      </c>
      <c r="C238" s="792" t="s">
        <v>1666</v>
      </c>
      <c r="D238" s="18" t="s">
        <v>1666</v>
      </c>
      <c r="E238" s="454" t="s">
        <v>1666</v>
      </c>
      <c r="F238" s="454" t="s">
        <v>1666</v>
      </c>
      <c r="G238" s="454" t="s">
        <v>1666</v>
      </c>
      <c r="H238" s="454" t="s">
        <v>1666</v>
      </c>
    </row>
    <row r="239" spans="1:8" ht="12.75">
      <c r="A239" s="24" t="s">
        <v>2580</v>
      </c>
      <c r="B239" s="14" t="s">
        <v>2582</v>
      </c>
      <c r="C239" s="792" t="s">
        <v>1666</v>
      </c>
      <c r="D239" s="18" t="s">
        <v>1666</v>
      </c>
      <c r="E239" s="454" t="s">
        <v>1666</v>
      </c>
      <c r="F239" s="454" t="s">
        <v>1666</v>
      </c>
      <c r="G239" s="454" t="s">
        <v>1666</v>
      </c>
      <c r="H239" s="454" t="s">
        <v>1666</v>
      </c>
    </row>
    <row r="240" spans="1:8" ht="12.75">
      <c r="A240" s="24" t="s">
        <v>2580</v>
      </c>
      <c r="B240" s="14" t="s">
        <v>2582</v>
      </c>
      <c r="C240" s="792" t="s">
        <v>1666</v>
      </c>
      <c r="D240" s="18" t="s">
        <v>1666</v>
      </c>
      <c r="E240" s="454" t="s">
        <v>1666</v>
      </c>
      <c r="F240" s="454" t="s">
        <v>1666</v>
      </c>
      <c r="G240" s="454" t="s">
        <v>1666</v>
      </c>
      <c r="H240" s="454" t="s">
        <v>1666</v>
      </c>
    </row>
    <row r="241" spans="1:8" ht="12.75">
      <c r="A241" s="24" t="s">
        <v>2580</v>
      </c>
      <c r="B241" s="14" t="s">
        <v>2582</v>
      </c>
      <c r="C241" s="792" t="s">
        <v>1666</v>
      </c>
      <c r="D241" s="18" t="s">
        <v>1666</v>
      </c>
      <c r="E241" s="454" t="s">
        <v>1666</v>
      </c>
      <c r="F241" s="454" t="s">
        <v>1666</v>
      </c>
      <c r="G241" s="454" t="s">
        <v>1666</v>
      </c>
      <c r="H241" s="454" t="s">
        <v>1666</v>
      </c>
    </row>
    <row r="242" spans="1:8" ht="12.75">
      <c r="A242" s="794" t="s">
        <v>2580</v>
      </c>
      <c r="B242" s="617" t="s">
        <v>2582</v>
      </c>
      <c r="C242" s="455" t="s">
        <v>1666</v>
      </c>
      <c r="D242" s="793" t="s">
        <v>1666</v>
      </c>
      <c r="E242" s="808" t="s">
        <v>1666</v>
      </c>
      <c r="F242" s="808" t="s">
        <v>1666</v>
      </c>
      <c r="G242" s="808" t="s">
        <v>1666</v>
      </c>
      <c r="H242" s="808" t="s">
        <v>1666</v>
      </c>
    </row>
    <row r="243" spans="1:8" ht="12.75">
      <c r="A243" s="24" t="s">
        <v>2580</v>
      </c>
      <c r="B243" s="14" t="s">
        <v>2583</v>
      </c>
      <c r="C243" s="796">
        <v>44.865403788634097</v>
      </c>
      <c r="D243" s="456" t="s">
        <v>72</v>
      </c>
      <c r="E243" s="457">
        <v>0</v>
      </c>
      <c r="F243" s="457">
        <v>0</v>
      </c>
      <c r="G243" s="457">
        <v>0</v>
      </c>
      <c r="H243" s="457">
        <v>0</v>
      </c>
    </row>
    <row r="244" spans="1:8" ht="12.75">
      <c r="A244" s="24" t="s">
        <v>2580</v>
      </c>
      <c r="B244" s="14" t="s">
        <v>2583</v>
      </c>
      <c r="C244" s="792">
        <v>45.207956600361669</v>
      </c>
      <c r="D244" s="18" t="s">
        <v>508</v>
      </c>
      <c r="E244" s="12">
        <v>2.8834234570203239E-3</v>
      </c>
      <c r="F244" s="12">
        <v>5.9265729118619818E-2</v>
      </c>
      <c r="G244" s="12">
        <v>3.7800000000000003E-4</v>
      </c>
      <c r="H244" s="12">
        <v>1.4550492E-3</v>
      </c>
    </row>
    <row r="245" spans="1:8" ht="12.75">
      <c r="A245" s="24" t="s">
        <v>2580</v>
      </c>
      <c r="B245" s="14" t="s">
        <v>2583</v>
      </c>
      <c r="C245" s="792">
        <v>27.124773960216995</v>
      </c>
      <c r="D245" s="18" t="s">
        <v>506</v>
      </c>
      <c r="E245" s="12">
        <v>4.8057057617005398E-4</v>
      </c>
      <c r="F245" s="12">
        <v>9.8776215197699697E-3</v>
      </c>
      <c r="G245" s="12">
        <v>6.3E-5</v>
      </c>
      <c r="H245" s="12">
        <v>2.4250819999999999E-4</v>
      </c>
    </row>
    <row r="246" spans="1:8" ht="12.75">
      <c r="A246" s="24" t="s">
        <v>2580</v>
      </c>
      <c r="B246" s="14" t="s">
        <v>2583</v>
      </c>
      <c r="C246" s="792">
        <v>18.083182640144667</v>
      </c>
      <c r="D246" s="18" t="s">
        <v>2584</v>
      </c>
      <c r="E246" s="12">
        <v>4.7754773653722405E-4</v>
      </c>
      <c r="F246" s="12">
        <v>9.9048845026103102E-3</v>
      </c>
      <c r="G246" s="12">
        <v>1.1598405219282348E-5</v>
      </c>
      <c r="H246" s="12">
        <v>9.908404494382022E-5</v>
      </c>
    </row>
    <row r="247" spans="1:8" ht="12.75">
      <c r="A247" s="24" t="s">
        <v>2580</v>
      </c>
      <c r="B247" s="14" t="s">
        <v>2583</v>
      </c>
      <c r="C247" s="792">
        <v>1.8083182640144666</v>
      </c>
      <c r="D247" s="18" t="s">
        <v>433</v>
      </c>
      <c r="E247" s="12">
        <v>3.0104466724907065E-4</v>
      </c>
      <c r="F247" s="12">
        <v>1.2500000000000001E-2</v>
      </c>
      <c r="G247" s="12">
        <v>5.1818181818181835E-4</v>
      </c>
      <c r="H247" s="12">
        <v>4.0084080366977777E-4</v>
      </c>
    </row>
    <row r="248" spans="1:8" ht="12.75">
      <c r="A248" s="24" t="s">
        <v>2580</v>
      </c>
      <c r="B248" s="14" t="s">
        <v>2583</v>
      </c>
      <c r="C248" s="792">
        <v>3.6166365280289332</v>
      </c>
      <c r="D248" s="18" t="s">
        <v>462</v>
      </c>
      <c r="E248" s="12">
        <v>1.6146898803046799E-3</v>
      </c>
      <c r="F248" s="12">
        <v>2.6750090678273501E-2</v>
      </c>
      <c r="G248" s="12">
        <v>9.3103448275862075E-5</v>
      </c>
      <c r="H248" s="12">
        <v>1.0896397701149426E-3</v>
      </c>
    </row>
    <row r="249" spans="1:8" ht="12.75">
      <c r="A249" s="24" t="s">
        <v>2580</v>
      </c>
      <c r="B249" s="14" t="s">
        <v>2583</v>
      </c>
      <c r="C249" s="792">
        <v>1.8083182640144666</v>
      </c>
      <c r="D249" s="18" t="s">
        <v>83</v>
      </c>
      <c r="E249" s="12">
        <v>0</v>
      </c>
      <c r="F249" s="12">
        <v>0</v>
      </c>
      <c r="G249" s="12">
        <v>0</v>
      </c>
      <c r="H249" s="12">
        <v>0</v>
      </c>
    </row>
    <row r="250" spans="1:8" ht="12.75">
      <c r="A250" s="24" t="s">
        <v>2580</v>
      </c>
      <c r="B250" s="14" t="s">
        <v>2583</v>
      </c>
      <c r="C250" s="792">
        <v>1.2658227848101264</v>
      </c>
      <c r="D250" s="18" t="s">
        <v>325</v>
      </c>
      <c r="E250" s="12">
        <v>1.0908510307875098E-2</v>
      </c>
      <c r="F250" s="12">
        <v>0.10414261699680899</v>
      </c>
      <c r="G250" s="12">
        <v>2.2359865447154469E-3</v>
      </c>
      <c r="H250" s="12">
        <v>1.4E-3</v>
      </c>
    </row>
    <row r="251" spans="1:8" ht="12.75">
      <c r="A251" s="24" t="s">
        <v>2580</v>
      </c>
      <c r="B251" s="14" t="s">
        <v>2583</v>
      </c>
      <c r="C251" s="792">
        <v>0.54249547920434005</v>
      </c>
      <c r="D251" s="18" t="s">
        <v>340</v>
      </c>
      <c r="E251" s="12">
        <v>2.1708241661196198E-2</v>
      </c>
      <c r="F251" s="12">
        <v>0.36572952458380198</v>
      </c>
      <c r="G251" s="12">
        <v>4.6350652173913045E-4</v>
      </c>
      <c r="H251" s="12">
        <v>1.6975608035415088E-3</v>
      </c>
    </row>
    <row r="252" spans="1:8" ht="12.75">
      <c r="A252" s="794" t="s">
        <v>2580</v>
      </c>
      <c r="B252" s="617" t="s">
        <v>2583</v>
      </c>
      <c r="C252" s="455">
        <v>0.54249547920434005</v>
      </c>
      <c r="D252" s="793" t="s">
        <v>346</v>
      </c>
      <c r="E252" s="635">
        <v>2.9691872042618299E-2</v>
      </c>
      <c r="F252" s="635">
        <v>7.5368545517799299E-2</v>
      </c>
      <c r="G252" s="635">
        <v>2.9014018691588786E-4</v>
      </c>
      <c r="H252" s="635">
        <v>1.4770983615231311E-3</v>
      </c>
    </row>
    <row r="253" spans="1:8" ht="12.75">
      <c r="A253" s="24" t="s">
        <v>2580</v>
      </c>
      <c r="B253" s="14" t="s">
        <v>2585</v>
      </c>
      <c r="C253" s="796">
        <v>19.019019019019019</v>
      </c>
      <c r="D253" s="456" t="s">
        <v>72</v>
      </c>
      <c r="E253" s="457">
        <v>0</v>
      </c>
      <c r="F253" s="457">
        <v>0</v>
      </c>
      <c r="G253" s="457">
        <v>0</v>
      </c>
      <c r="H253" s="457">
        <v>0</v>
      </c>
    </row>
    <row r="254" spans="1:8" ht="12.75">
      <c r="A254" s="24" t="s">
        <v>2580</v>
      </c>
      <c r="B254" s="14" t="s">
        <v>2585</v>
      </c>
      <c r="C254" s="792">
        <v>18.541409147095177</v>
      </c>
      <c r="D254" s="18" t="s">
        <v>508</v>
      </c>
      <c r="E254" s="12">
        <v>2.8834234570203239E-3</v>
      </c>
      <c r="F254" s="12">
        <v>5.9265729118619818E-2</v>
      </c>
      <c r="G254" s="12">
        <v>3.7800000000000003E-4</v>
      </c>
      <c r="H254" s="12">
        <v>1.4550492E-3</v>
      </c>
    </row>
    <row r="255" spans="1:8" ht="12.75">
      <c r="A255" s="24" t="s">
        <v>2580</v>
      </c>
      <c r="B255" s="14" t="s">
        <v>2585</v>
      </c>
      <c r="C255" s="792">
        <v>19.777503090234855</v>
      </c>
      <c r="D255" s="18" t="s">
        <v>70</v>
      </c>
      <c r="E255" s="12">
        <v>7.1317551258113035E-4</v>
      </c>
      <c r="F255" s="12">
        <v>1.4658570748517077E-2</v>
      </c>
      <c r="G255" s="12">
        <v>9.34931506849315E-5</v>
      </c>
      <c r="H255" s="12">
        <v>3.5988659817351594E-4</v>
      </c>
    </row>
    <row r="256" spans="1:8" ht="12.75">
      <c r="A256" s="24" t="s">
        <v>2580</v>
      </c>
      <c r="B256" s="14" t="s">
        <v>2585</v>
      </c>
      <c r="C256" s="792">
        <v>25.957972805933249</v>
      </c>
      <c r="D256" s="18" t="s">
        <v>506</v>
      </c>
      <c r="E256" s="12">
        <v>4.8057057617005398E-4</v>
      </c>
      <c r="F256" s="12">
        <v>9.8776215197699697E-3</v>
      </c>
      <c r="G256" s="12">
        <v>6.3E-5</v>
      </c>
      <c r="H256" s="12">
        <v>2.4250819999999999E-4</v>
      </c>
    </row>
    <row r="257" spans="1:8" ht="12.75">
      <c r="A257" s="24" t="s">
        <v>2580</v>
      </c>
      <c r="B257" s="14" t="s">
        <v>2585</v>
      </c>
      <c r="C257" s="792">
        <v>14.833127317676141</v>
      </c>
      <c r="D257" s="18" t="s">
        <v>2584</v>
      </c>
      <c r="E257" s="12">
        <v>4.7754773653722405E-4</v>
      </c>
      <c r="F257" s="12">
        <v>9.9048845026103102E-3</v>
      </c>
      <c r="G257" s="12">
        <v>1.1598405219282348E-5</v>
      </c>
      <c r="H257" s="12">
        <v>9.908404494382022E-5</v>
      </c>
    </row>
    <row r="258" spans="1:8" ht="12.75">
      <c r="A258" s="24" t="s">
        <v>2580</v>
      </c>
      <c r="B258" s="14" t="s">
        <v>2585</v>
      </c>
      <c r="C258" s="792">
        <v>14.833127317676141</v>
      </c>
      <c r="D258" s="18" t="s">
        <v>2586</v>
      </c>
      <c r="E258" s="12">
        <v>7.9819533896283569E-4</v>
      </c>
      <c r="F258" s="12">
        <v>1.9185232895529411E-2</v>
      </c>
      <c r="G258" s="12">
        <v>4.9411764705882349E-5</v>
      </c>
      <c r="H258" s="12">
        <v>3.1124047058823527E-4</v>
      </c>
    </row>
    <row r="259" spans="1:8" ht="12.75">
      <c r="A259" s="24" t="s">
        <v>2580</v>
      </c>
      <c r="B259" s="14" t="s">
        <v>2585</v>
      </c>
      <c r="C259" s="792">
        <v>2.4721878862793569</v>
      </c>
      <c r="D259" s="18" t="s">
        <v>2587</v>
      </c>
      <c r="E259" s="454">
        <v>8.2739760746147598E-4</v>
      </c>
      <c r="F259" s="454">
        <v>1.9887131659999998E-2</v>
      </c>
      <c r="G259" s="454">
        <v>5.1219512195121953E-5</v>
      </c>
      <c r="H259" s="454">
        <v>3.2262731707317075E-4</v>
      </c>
    </row>
    <row r="260" spans="1:8" ht="12.75">
      <c r="A260" s="24" t="s">
        <v>2580</v>
      </c>
      <c r="B260" s="14" t="s">
        <v>2585</v>
      </c>
      <c r="C260" s="792">
        <v>1.2360939431396785</v>
      </c>
      <c r="D260" s="18" t="s">
        <v>85</v>
      </c>
      <c r="E260" s="12">
        <v>2.0262392565709405E-4</v>
      </c>
      <c r="F260" s="12">
        <v>1.0885928720785719E-2</v>
      </c>
      <c r="G260" s="12">
        <v>6.2837933649623454E-6</v>
      </c>
      <c r="H260" s="12">
        <v>4.6142098112569087E-5</v>
      </c>
    </row>
    <row r="261" spans="1:8" ht="12.75">
      <c r="A261" s="24" t="s">
        <v>2580</v>
      </c>
      <c r="B261" s="14" t="s">
        <v>2585</v>
      </c>
      <c r="C261" s="792">
        <v>1.606922126081582</v>
      </c>
      <c r="D261" s="18" t="s">
        <v>83</v>
      </c>
      <c r="E261" s="12">
        <v>0</v>
      </c>
      <c r="F261" s="12">
        <v>0</v>
      </c>
      <c r="G261" s="12">
        <v>0</v>
      </c>
      <c r="H261" s="12">
        <v>0</v>
      </c>
    </row>
    <row r="262" spans="1:8" ht="12.75">
      <c r="A262" s="24" t="s">
        <v>2580</v>
      </c>
      <c r="B262" s="14" t="s">
        <v>2585</v>
      </c>
      <c r="C262" s="792">
        <v>0.37082818294190351</v>
      </c>
      <c r="D262" s="18" t="s">
        <v>462</v>
      </c>
      <c r="E262" s="12">
        <v>1.6146898803046799E-3</v>
      </c>
      <c r="F262" s="12">
        <v>2.6750090678273501E-2</v>
      </c>
      <c r="G262" s="12">
        <v>9.3103448275862075E-5</v>
      </c>
      <c r="H262" s="12">
        <v>1.0896397701149426E-3</v>
      </c>
    </row>
    <row r="263" spans="1:8" ht="12.75">
      <c r="A263" s="794" t="s">
        <v>2580</v>
      </c>
      <c r="B263" s="617" t="s">
        <v>2585</v>
      </c>
      <c r="C263" s="455">
        <v>0.37082818294190351</v>
      </c>
      <c r="D263" s="793" t="s">
        <v>433</v>
      </c>
      <c r="E263" s="635">
        <v>3.0104466724907065E-4</v>
      </c>
      <c r="F263" s="635">
        <v>1.2500000000000001E-2</v>
      </c>
      <c r="G263" s="635">
        <v>5.1818181818181835E-4</v>
      </c>
      <c r="H263" s="635">
        <v>4.0084080366977777E-4</v>
      </c>
    </row>
    <row r="264" spans="1:8" ht="12.75">
      <c r="A264" s="799" t="s">
        <v>2580</v>
      </c>
      <c r="B264" s="617" t="s">
        <v>2588</v>
      </c>
      <c r="C264" s="455">
        <v>100</v>
      </c>
      <c r="D264" s="793" t="s">
        <v>2589</v>
      </c>
      <c r="E264" s="635">
        <v>2.9479682138342099E-3</v>
      </c>
      <c r="F264" s="635">
        <v>2.6157365601107697E-2</v>
      </c>
      <c r="G264" s="635">
        <v>6.1363636363636362E-5</v>
      </c>
      <c r="H264" s="635">
        <v>3.5908655328750923E-4</v>
      </c>
    </row>
    <row r="265" spans="1:8" ht="12.75">
      <c r="A265" s="13" t="s">
        <v>2580</v>
      </c>
      <c r="B265" s="14" t="s">
        <v>2590</v>
      </c>
      <c r="C265" s="792">
        <v>39.215686274509807</v>
      </c>
      <c r="D265" s="18" t="s">
        <v>295</v>
      </c>
      <c r="E265" s="12">
        <v>2.0692254254943625E-3</v>
      </c>
      <c r="F265" s="12">
        <v>2.7422367533161289E-2</v>
      </c>
      <c r="G265" s="12">
        <v>4.191394658753709E-5</v>
      </c>
      <c r="H265" s="12">
        <v>2.9199825221039441E-4</v>
      </c>
    </row>
    <row r="266" spans="1:8" ht="12.75">
      <c r="A266" s="13" t="s">
        <v>2580</v>
      </c>
      <c r="B266" s="14" t="s">
        <v>2590</v>
      </c>
      <c r="C266" s="792">
        <v>19.248826291079812</v>
      </c>
      <c r="D266" s="18" t="s">
        <v>2591</v>
      </c>
      <c r="E266" s="12">
        <v>2.3887946390805602E-3</v>
      </c>
      <c r="F266" s="12">
        <v>3.1657451985185346E-2</v>
      </c>
      <c r="G266" s="12">
        <v>4.8387096774193554E-5</v>
      </c>
      <c r="H266" s="12">
        <v>3.370941855377776E-4</v>
      </c>
    </row>
    <row r="267" spans="1:8" ht="12.75">
      <c r="A267" s="13" t="s">
        <v>2580</v>
      </c>
      <c r="B267" s="14" t="s">
        <v>2590</v>
      </c>
      <c r="C267" s="792">
        <v>13.725490196078432</v>
      </c>
      <c r="D267" s="18" t="s">
        <v>2592</v>
      </c>
      <c r="E267" s="12">
        <v>2.3255896375025138E-3</v>
      </c>
      <c r="F267" s="12">
        <v>3.0819828997446758E-2</v>
      </c>
      <c r="G267" s="12">
        <v>4.7106824925816024E-5</v>
      </c>
      <c r="H267" s="12">
        <v>3.2817502682053179E-4</v>
      </c>
    </row>
    <row r="268" spans="1:8" ht="12.75">
      <c r="A268" s="24" t="s">
        <v>2580</v>
      </c>
      <c r="B268" s="14" t="s">
        <v>2590</v>
      </c>
      <c r="C268" s="796">
        <v>12.528566947887226</v>
      </c>
      <c r="D268" s="456" t="s">
        <v>2593</v>
      </c>
      <c r="E268" s="457">
        <v>0</v>
      </c>
      <c r="F268" s="457">
        <v>0</v>
      </c>
      <c r="G268" s="457">
        <v>0</v>
      </c>
      <c r="H268" s="457">
        <v>0</v>
      </c>
    </row>
    <row r="269" spans="1:8" ht="12.75">
      <c r="A269" s="24" t="s">
        <v>2580</v>
      </c>
      <c r="B269" s="14" t="s">
        <v>2590</v>
      </c>
      <c r="C269" s="792" t="s">
        <v>1666</v>
      </c>
      <c r="D269" s="460" t="s">
        <v>1666</v>
      </c>
      <c r="E269" s="454" t="s">
        <v>1666</v>
      </c>
      <c r="F269" s="454" t="s">
        <v>1666</v>
      </c>
      <c r="G269" s="454" t="s">
        <v>1666</v>
      </c>
      <c r="H269" s="454" t="s">
        <v>1666</v>
      </c>
    </row>
    <row r="270" spans="1:8" ht="12.75">
      <c r="A270" s="24" t="s">
        <v>2580</v>
      </c>
      <c r="B270" s="14" t="s">
        <v>2590</v>
      </c>
      <c r="C270" s="792" t="s">
        <v>1666</v>
      </c>
      <c r="D270" s="18" t="s">
        <v>1666</v>
      </c>
      <c r="E270" s="454" t="s">
        <v>1666</v>
      </c>
      <c r="F270" s="454" t="s">
        <v>1666</v>
      </c>
      <c r="G270" s="454" t="s">
        <v>1666</v>
      </c>
      <c r="H270" s="454" t="s">
        <v>1666</v>
      </c>
    </row>
    <row r="271" spans="1:8" ht="12.75">
      <c r="A271" s="24" t="s">
        <v>2580</v>
      </c>
      <c r="B271" s="14" t="s">
        <v>2590</v>
      </c>
      <c r="C271" s="792">
        <v>3.9279281087160731</v>
      </c>
      <c r="D271" s="18" t="s">
        <v>506</v>
      </c>
      <c r="E271" s="12">
        <v>4.8057057617005398E-4</v>
      </c>
      <c r="F271" s="12">
        <v>9.8776215197699697E-3</v>
      </c>
      <c r="G271" s="12">
        <v>6.3E-5</v>
      </c>
      <c r="H271" s="12">
        <v>2.4250819999999999E-4</v>
      </c>
    </row>
    <row r="272" spans="1:8" ht="12.75">
      <c r="A272" s="24" t="s">
        <v>2580</v>
      </c>
      <c r="B272" s="14" t="s">
        <v>2590</v>
      </c>
      <c r="C272" s="792">
        <v>0.88787627727147211</v>
      </c>
      <c r="D272" s="18" t="s">
        <v>2584</v>
      </c>
      <c r="E272" s="12">
        <v>4.7754773653722405E-4</v>
      </c>
      <c r="F272" s="12">
        <v>9.9048845026103102E-3</v>
      </c>
      <c r="G272" s="12">
        <v>1.1598405219282348E-5</v>
      </c>
      <c r="H272" s="12">
        <v>9.908404494382022E-5</v>
      </c>
    </row>
    <row r="273" spans="1:8" ht="12.75">
      <c r="A273" s="24" t="s">
        <v>2580</v>
      </c>
      <c r="B273" s="14" t="s">
        <v>2590</v>
      </c>
      <c r="C273" s="792">
        <v>0.39768019884009936</v>
      </c>
      <c r="D273" s="809" t="s">
        <v>2594</v>
      </c>
      <c r="E273" s="461">
        <v>2.2073766211046637E-2</v>
      </c>
      <c r="F273" s="461">
        <v>8.7246004352723297E-2</v>
      </c>
      <c r="G273" s="461">
        <v>5.8202330775582959E-4</v>
      </c>
      <c r="H273" s="461">
        <v>2.670351142205461E-3</v>
      </c>
    </row>
    <row r="274" spans="1:8" ht="12.75">
      <c r="A274" s="24" t="s">
        <v>2580</v>
      </c>
      <c r="B274" s="14" t="s">
        <v>2590</v>
      </c>
      <c r="C274" s="792">
        <v>5.5603653811054121</v>
      </c>
      <c r="D274" s="18" t="s">
        <v>459</v>
      </c>
      <c r="E274" s="12">
        <v>2.8944733420025999E-4</v>
      </c>
      <c r="F274" s="12">
        <v>9.8179453836150891E-3</v>
      </c>
      <c r="G274" s="12">
        <v>1.0639011302594951E-5</v>
      </c>
      <c r="H274" s="12">
        <v>1.4697466666666669E-4</v>
      </c>
    </row>
    <row r="275" spans="1:8" ht="12.75">
      <c r="A275" s="24" t="s">
        <v>2580</v>
      </c>
      <c r="B275" s="14" t="s">
        <v>2590</v>
      </c>
      <c r="C275" s="792">
        <v>0.46274662699038382</v>
      </c>
      <c r="D275" s="18" t="s">
        <v>83</v>
      </c>
      <c r="E275" s="12">
        <v>0</v>
      </c>
      <c r="F275" s="12">
        <v>0</v>
      </c>
      <c r="G275" s="12">
        <v>0</v>
      </c>
      <c r="H275" s="12">
        <v>0</v>
      </c>
    </row>
    <row r="276" spans="1:8" ht="12.75">
      <c r="A276" s="24" t="s">
        <v>2580</v>
      </c>
      <c r="B276" s="14" t="s">
        <v>2590</v>
      </c>
      <c r="C276" s="792">
        <v>0.27616680475006905</v>
      </c>
      <c r="D276" s="18" t="s">
        <v>1099</v>
      </c>
      <c r="E276" s="12">
        <v>2.5055367220000002E-3</v>
      </c>
      <c r="F276" s="12">
        <v>3.8459841414181101E-2</v>
      </c>
      <c r="G276" s="12">
        <v>1.1035422343324251E-4</v>
      </c>
      <c r="H276" s="12">
        <v>8.109653861711444E-4</v>
      </c>
    </row>
    <row r="277" spans="1:8" ht="12.75">
      <c r="A277" s="24" t="s">
        <v>2580</v>
      </c>
      <c r="B277" s="14" t="s">
        <v>2590</v>
      </c>
      <c r="C277" s="792">
        <v>0.19331676332504832</v>
      </c>
      <c r="D277" s="18" t="s">
        <v>362</v>
      </c>
      <c r="E277" s="12">
        <v>6.4492173908743997E-2</v>
      </c>
      <c r="F277" s="12">
        <v>0.52574608692147207</v>
      </c>
      <c r="G277" s="12">
        <v>2.2871426085431757E-3</v>
      </c>
      <c r="H277" s="12">
        <v>1.782870183160197E-2</v>
      </c>
    </row>
    <row r="278" spans="1:8" ht="12.75">
      <c r="A278" s="24" t="s">
        <v>2580</v>
      </c>
      <c r="B278" s="14" t="s">
        <v>2590</v>
      </c>
      <c r="C278" s="792">
        <v>0.13808340237503453</v>
      </c>
      <c r="D278" s="18" t="s">
        <v>301</v>
      </c>
      <c r="E278" s="12">
        <v>4.7062756261925113E-3</v>
      </c>
      <c r="F278" s="12">
        <v>3.8210906557435767E-2</v>
      </c>
      <c r="G278" s="12">
        <v>7.6086956521739124E-5</v>
      </c>
      <c r="H278" s="12">
        <v>5.9908272287602653E-4</v>
      </c>
    </row>
    <row r="279" spans="1:8" ht="12.75">
      <c r="A279" s="24" t="s">
        <v>2580</v>
      </c>
      <c r="B279" s="14" t="s">
        <v>2590</v>
      </c>
      <c r="C279" s="792" t="s">
        <v>1666</v>
      </c>
      <c r="D279" s="18" t="s">
        <v>1666</v>
      </c>
      <c r="E279" s="454" t="s">
        <v>1666</v>
      </c>
      <c r="F279" s="454" t="s">
        <v>1666</v>
      </c>
      <c r="G279" s="454" t="s">
        <v>1666</v>
      </c>
      <c r="H279" s="454" t="s">
        <v>1666</v>
      </c>
    </row>
    <row r="280" spans="1:8" ht="12.75">
      <c r="A280" s="24" t="s">
        <v>2580</v>
      </c>
      <c r="B280" s="14" t="s">
        <v>2590</v>
      </c>
      <c r="C280" s="792">
        <v>8.769968341154874E-2</v>
      </c>
      <c r="D280" s="18" t="s">
        <v>433</v>
      </c>
      <c r="E280" s="12">
        <v>3.0104466724907065E-4</v>
      </c>
      <c r="F280" s="12">
        <v>1.2500000000000001E-2</v>
      </c>
      <c r="G280" s="12">
        <v>5.1818181818181835E-4</v>
      </c>
      <c r="H280" s="12">
        <v>4.0084080366977777E-4</v>
      </c>
    </row>
    <row r="281" spans="1:8" ht="12.75">
      <c r="A281" s="24" t="s">
        <v>2580</v>
      </c>
      <c r="B281" s="14" t="s">
        <v>2590</v>
      </c>
      <c r="C281" s="792">
        <v>0.20712510356255176</v>
      </c>
      <c r="D281" s="18" t="s">
        <v>86</v>
      </c>
      <c r="E281" s="12">
        <v>0</v>
      </c>
      <c r="F281" s="12">
        <v>0</v>
      </c>
      <c r="G281" s="12">
        <v>0</v>
      </c>
      <c r="H281" s="12">
        <v>0</v>
      </c>
    </row>
    <row r="282" spans="1:8" ht="12.75">
      <c r="A282" s="24" t="s">
        <v>2580</v>
      </c>
      <c r="B282" s="14" t="s">
        <v>2590</v>
      </c>
      <c r="C282" s="792" t="s">
        <v>1666</v>
      </c>
      <c r="D282" s="460" t="s">
        <v>1666</v>
      </c>
      <c r="E282" s="454" t="s">
        <v>1666</v>
      </c>
      <c r="F282" s="454" t="s">
        <v>1666</v>
      </c>
      <c r="G282" s="454" t="s">
        <v>1666</v>
      </c>
      <c r="H282" s="454" t="s">
        <v>1666</v>
      </c>
    </row>
    <row r="283" spans="1:8" ht="12.75">
      <c r="A283" s="24" t="s">
        <v>2580</v>
      </c>
      <c r="B283" s="14" t="s">
        <v>2590</v>
      </c>
      <c r="C283" s="792">
        <v>14.420924078974149</v>
      </c>
      <c r="D283" s="18" t="s">
        <v>291</v>
      </c>
      <c r="E283" s="12">
        <v>8.7928093200579007E-3</v>
      </c>
      <c r="F283" s="12">
        <v>4.38025263805632E-2</v>
      </c>
      <c r="G283" s="12">
        <v>4.8899999999999996E-4</v>
      </c>
      <c r="H283" s="12">
        <v>5.2910986084410655E-4</v>
      </c>
    </row>
    <row r="284" spans="1:8" ht="12.75">
      <c r="A284" s="24" t="s">
        <v>2580</v>
      </c>
      <c r="B284" s="14" t="s">
        <v>2590</v>
      </c>
      <c r="C284" s="792" t="s">
        <v>1666</v>
      </c>
      <c r="D284" s="460" t="s">
        <v>1666</v>
      </c>
      <c r="E284" s="454" t="s">
        <v>1666</v>
      </c>
      <c r="F284" s="454" t="s">
        <v>1666</v>
      </c>
      <c r="G284" s="454" t="s">
        <v>1666</v>
      </c>
      <c r="H284" s="454" t="s">
        <v>1666</v>
      </c>
    </row>
    <row r="285" spans="1:8" ht="12.75">
      <c r="A285" s="24" t="s">
        <v>2580</v>
      </c>
      <c r="B285" s="14" t="s">
        <v>2590</v>
      </c>
      <c r="C285" s="792" t="s">
        <v>1666</v>
      </c>
      <c r="D285" s="460" t="s">
        <v>1666</v>
      </c>
      <c r="E285" s="454" t="s">
        <v>1666</v>
      </c>
      <c r="F285" s="454" t="s">
        <v>1666</v>
      </c>
      <c r="G285" s="454" t="s">
        <v>1666</v>
      </c>
      <c r="H285" s="454" t="s">
        <v>1666</v>
      </c>
    </row>
    <row r="286" spans="1:8" ht="12.75">
      <c r="A286" s="24" t="s">
        <v>2580</v>
      </c>
      <c r="B286" s="14" t="s">
        <v>2590</v>
      </c>
      <c r="C286" s="792">
        <v>0.93289911120157432</v>
      </c>
      <c r="D286" s="18" t="s">
        <v>2526</v>
      </c>
      <c r="E286" s="12">
        <v>5.0851930036188197E-3</v>
      </c>
      <c r="F286" s="12">
        <v>5.9995417730640897E-2</v>
      </c>
      <c r="G286" s="12">
        <v>3.4699999999999998E-4</v>
      </c>
      <c r="H286" s="12">
        <v>2.9762429672480995E-4</v>
      </c>
    </row>
    <row r="287" spans="1:8" ht="12.75">
      <c r="A287" s="24" t="s">
        <v>2580</v>
      </c>
      <c r="B287" s="14" t="s">
        <v>2590</v>
      </c>
      <c r="C287" s="792">
        <v>0.1865798222403148</v>
      </c>
      <c r="D287" s="18" t="s">
        <v>1532</v>
      </c>
      <c r="E287" s="12">
        <v>1.1846358545111501E-3</v>
      </c>
      <c r="F287" s="12">
        <v>2.0579068539103899E-2</v>
      </c>
      <c r="G287" s="12">
        <v>1.8918918918918918E-5</v>
      </c>
      <c r="H287" s="12">
        <v>4.4688243243243248E-4</v>
      </c>
    </row>
    <row r="288" spans="1:8" ht="12.75">
      <c r="A288" s="24" t="s">
        <v>2580</v>
      </c>
      <c r="B288" s="14" t="s">
        <v>2590</v>
      </c>
      <c r="C288" s="792" t="s">
        <v>1666</v>
      </c>
      <c r="D288" s="460" t="s">
        <v>1666</v>
      </c>
      <c r="E288" s="454" t="s">
        <v>1666</v>
      </c>
      <c r="F288" s="454" t="s">
        <v>1666</v>
      </c>
      <c r="G288" s="454" t="s">
        <v>1666</v>
      </c>
      <c r="H288" s="454" t="s">
        <v>1666</v>
      </c>
    </row>
    <row r="289" spans="1:8" ht="12.75">
      <c r="A289" s="24" t="s">
        <v>2580</v>
      </c>
      <c r="B289" s="14" t="s">
        <v>2590</v>
      </c>
      <c r="C289" s="792">
        <v>0.13060587556822037</v>
      </c>
      <c r="D289" s="18" t="s">
        <v>346</v>
      </c>
      <c r="E289" s="12">
        <v>2.9691872042618299E-2</v>
      </c>
      <c r="F289" s="12">
        <v>7.5368545517799299E-2</v>
      </c>
      <c r="G289" s="12">
        <v>2.9014018691588786E-4</v>
      </c>
      <c r="H289" s="12">
        <v>1.4770983615231311E-3</v>
      </c>
    </row>
    <row r="290" spans="1:8" ht="12.75">
      <c r="A290" s="24" t="s">
        <v>2580</v>
      </c>
      <c r="B290" s="14" t="s">
        <v>2590</v>
      </c>
      <c r="C290" s="792" t="s">
        <v>1666</v>
      </c>
      <c r="D290" s="460" t="s">
        <v>1666</v>
      </c>
      <c r="E290" s="454" t="s">
        <v>1666</v>
      </c>
      <c r="F290" s="454" t="s">
        <v>1666</v>
      </c>
      <c r="G290" s="454" t="s">
        <v>1666</v>
      </c>
      <c r="H290" s="454" t="s">
        <v>1666</v>
      </c>
    </row>
    <row r="291" spans="1:8" ht="12.75">
      <c r="A291" s="799" t="s">
        <v>2580</v>
      </c>
      <c r="B291" s="617" t="s">
        <v>2590</v>
      </c>
      <c r="C291" s="455" t="s">
        <v>1666</v>
      </c>
      <c r="D291" s="793" t="s">
        <v>1666</v>
      </c>
      <c r="E291" s="808" t="s">
        <v>1666</v>
      </c>
      <c r="F291" s="808" t="s">
        <v>1666</v>
      </c>
      <c r="G291" s="808" t="s">
        <v>1666</v>
      </c>
      <c r="H291" s="808" t="s">
        <v>1666</v>
      </c>
    </row>
    <row r="292" spans="1:8" ht="12.75">
      <c r="A292" s="24" t="s">
        <v>2580</v>
      </c>
      <c r="B292" s="14" t="s">
        <v>2595</v>
      </c>
      <c r="C292" s="796">
        <v>14.812365352513446</v>
      </c>
      <c r="D292" s="456" t="s">
        <v>72</v>
      </c>
      <c r="E292" s="457">
        <v>0</v>
      </c>
      <c r="F292" s="457">
        <v>0</v>
      </c>
      <c r="G292" s="457">
        <v>0</v>
      </c>
      <c r="H292" s="457">
        <v>0</v>
      </c>
    </row>
    <row r="293" spans="1:8" ht="12.75">
      <c r="A293" s="24" t="s">
        <v>2580</v>
      </c>
      <c r="B293" s="14" t="s">
        <v>2595</v>
      </c>
      <c r="C293" s="792">
        <v>12.776149570490144</v>
      </c>
      <c r="D293" s="18" t="s">
        <v>301</v>
      </c>
      <c r="E293" s="12">
        <v>4.7062756261925113E-3</v>
      </c>
      <c r="F293" s="12">
        <v>3.8210906557435767E-2</v>
      </c>
      <c r="G293" s="12">
        <v>7.6086956521739124E-5</v>
      </c>
      <c r="H293" s="12">
        <v>5.9908272287602653E-4</v>
      </c>
    </row>
    <row r="294" spans="1:8" ht="12.75">
      <c r="A294" s="24" t="s">
        <v>2580</v>
      </c>
      <c r="B294" s="14" t="s">
        <v>2595</v>
      </c>
      <c r="C294" s="792">
        <v>0.60636685194542694</v>
      </c>
      <c r="D294" s="18" t="s">
        <v>321</v>
      </c>
      <c r="E294" s="12">
        <v>5.2419900086202897E-2</v>
      </c>
      <c r="F294" s="12">
        <v>2.8162483479607547</v>
      </c>
      <c r="G294" s="12">
        <v>1.6256511627906977E-3</v>
      </c>
      <c r="H294" s="12">
        <v>1.194650084062842E-2</v>
      </c>
    </row>
    <row r="295" spans="1:8" ht="12.75">
      <c r="A295" s="24" t="s">
        <v>2580</v>
      </c>
      <c r="B295" s="14" t="s">
        <v>2595</v>
      </c>
      <c r="C295" s="792">
        <v>0.4147549267306721</v>
      </c>
      <c r="D295" s="18" t="s">
        <v>506</v>
      </c>
      <c r="E295" s="12">
        <v>4.8057057617005398E-4</v>
      </c>
      <c r="F295" s="12">
        <v>9.8776215197699697E-3</v>
      </c>
      <c r="G295" s="12">
        <v>6.3E-5</v>
      </c>
      <c r="H295" s="12">
        <v>2.4250819999999999E-4</v>
      </c>
    </row>
    <row r="296" spans="1:8" ht="12.75">
      <c r="A296" s="24" t="s">
        <v>2580</v>
      </c>
      <c r="B296" s="14" t="s">
        <v>2595</v>
      </c>
      <c r="C296" s="792">
        <v>0.4147549267306721</v>
      </c>
      <c r="D296" s="18" t="s">
        <v>22</v>
      </c>
      <c r="E296" s="12">
        <v>8.2470000000000004E-4</v>
      </c>
      <c r="F296" s="12">
        <v>6.7374066666666659E-3</v>
      </c>
      <c r="G296" s="12">
        <v>2.2764227642276422E-5</v>
      </c>
      <c r="H296" s="12">
        <v>8.9618699186991881E-5</v>
      </c>
    </row>
    <row r="297" spans="1:8" ht="12.75">
      <c r="A297" s="10" t="s">
        <v>2580</v>
      </c>
      <c r="B297" s="14" t="s">
        <v>2595</v>
      </c>
      <c r="C297" s="792" t="s">
        <v>1666</v>
      </c>
      <c r="D297" s="18" t="s">
        <v>1666</v>
      </c>
      <c r="E297" s="454" t="s">
        <v>1666</v>
      </c>
      <c r="F297" s="454" t="s">
        <v>1666</v>
      </c>
      <c r="G297" s="454" t="s">
        <v>1666</v>
      </c>
      <c r="H297" s="454" t="s">
        <v>1666</v>
      </c>
    </row>
    <row r="298" spans="1:8" ht="12.75">
      <c r="A298" s="10" t="s">
        <v>2580</v>
      </c>
      <c r="B298" s="14" t="s">
        <v>2595</v>
      </c>
      <c r="C298" s="792">
        <v>0.38322385042950985</v>
      </c>
      <c r="D298" s="18" t="s">
        <v>511</v>
      </c>
      <c r="E298" s="12">
        <v>1.0614922294827143E-3</v>
      </c>
      <c r="F298" s="12">
        <v>1.8872032768007998E-2</v>
      </c>
      <c r="G298" s="12">
        <v>4.1669167635432442E-5</v>
      </c>
      <c r="H298" s="12">
        <v>5.2098391964434997E-4</v>
      </c>
    </row>
    <row r="299" spans="1:8" ht="12.75">
      <c r="A299" s="24" t="s">
        <v>2580</v>
      </c>
      <c r="B299" s="14" t="s">
        <v>2595</v>
      </c>
      <c r="C299" s="792">
        <v>1.2127337038908539</v>
      </c>
      <c r="D299" s="18" t="s">
        <v>86</v>
      </c>
      <c r="E299" s="12">
        <v>0</v>
      </c>
      <c r="F299" s="12">
        <v>0</v>
      </c>
      <c r="G299" s="12">
        <v>0</v>
      </c>
      <c r="H299" s="12">
        <v>0</v>
      </c>
    </row>
    <row r="300" spans="1:8" ht="12.75">
      <c r="A300" s="24" t="s">
        <v>2580</v>
      </c>
      <c r="B300" s="14" t="s">
        <v>2595</v>
      </c>
      <c r="C300" s="792">
        <v>2.1222839818089945</v>
      </c>
      <c r="D300" s="18" t="s">
        <v>81</v>
      </c>
      <c r="E300" s="12">
        <v>1.9912385503783353E-2</v>
      </c>
      <c r="F300" s="12">
        <v>5.6949422540820388E-2</v>
      </c>
      <c r="G300" s="12">
        <v>3.8829151732377542E-3</v>
      </c>
      <c r="H300" s="12">
        <v>5.6321186778176026E-3</v>
      </c>
    </row>
    <row r="301" spans="1:8" ht="12.75">
      <c r="A301" s="24" t="s">
        <v>2580</v>
      </c>
      <c r="B301" s="14" t="s">
        <v>2595</v>
      </c>
      <c r="C301" s="792">
        <v>0.60636685194542694</v>
      </c>
      <c r="D301" s="18" t="s">
        <v>1099</v>
      </c>
      <c r="E301" s="12">
        <v>2.5055367220000002E-3</v>
      </c>
      <c r="F301" s="12">
        <v>3.8459841414181101E-2</v>
      </c>
      <c r="G301" s="12">
        <v>1.1035422343324251E-4</v>
      </c>
      <c r="H301" s="12">
        <v>8.109653861711444E-4</v>
      </c>
    </row>
    <row r="302" spans="1:8" ht="12.75">
      <c r="A302" s="24" t="s">
        <v>2580</v>
      </c>
      <c r="B302" s="14" t="s">
        <v>2595</v>
      </c>
      <c r="C302" s="792">
        <v>0.30318342597271347</v>
      </c>
      <c r="D302" s="18" t="s">
        <v>425</v>
      </c>
      <c r="E302" s="12">
        <v>3.8102374934982654E-3</v>
      </c>
      <c r="F302" s="12">
        <v>0.20470422547079484</v>
      </c>
      <c r="G302" s="12">
        <v>1.210810810810811E-4</v>
      </c>
      <c r="H302" s="12">
        <v>1.0002400855855065E-3</v>
      </c>
    </row>
    <row r="303" spans="1:8" ht="12.75">
      <c r="A303" s="24" t="s">
        <v>2580</v>
      </c>
      <c r="B303" s="14" t="s">
        <v>2595</v>
      </c>
      <c r="C303" s="792">
        <v>0.60636685194542694</v>
      </c>
      <c r="D303" s="18" t="s">
        <v>305</v>
      </c>
      <c r="E303" s="12">
        <v>4.7062756261925113E-3</v>
      </c>
      <c r="F303" s="12">
        <v>3.8210906557435767E-2</v>
      </c>
      <c r="G303" s="12">
        <v>8.2999999999999998E-5</v>
      </c>
      <c r="H303" s="12">
        <v>5.9908272287602653E-4</v>
      </c>
    </row>
    <row r="304" spans="1:8" ht="12.75">
      <c r="A304" s="24" t="s">
        <v>2580</v>
      </c>
      <c r="B304" s="14" t="s">
        <v>2595</v>
      </c>
      <c r="C304" s="792" t="s">
        <v>1666</v>
      </c>
      <c r="D304" s="458" t="s">
        <v>1666</v>
      </c>
      <c r="E304" s="454" t="s">
        <v>1666</v>
      </c>
      <c r="F304" s="454" t="s">
        <v>1666</v>
      </c>
      <c r="G304" s="454" t="s">
        <v>1666</v>
      </c>
      <c r="H304" s="454" t="s">
        <v>1666</v>
      </c>
    </row>
    <row r="305" spans="1:8" ht="12.75">
      <c r="A305" s="24" t="s">
        <v>2580</v>
      </c>
      <c r="B305" s="14" t="s">
        <v>2595</v>
      </c>
      <c r="C305" s="792">
        <v>0.60636685194542694</v>
      </c>
      <c r="D305" s="458" t="s">
        <v>2596</v>
      </c>
      <c r="E305" s="12">
        <v>5.5636766460262456E-4</v>
      </c>
      <c r="F305" s="12">
        <v>1.354456626711356E-2</v>
      </c>
      <c r="G305" s="12">
        <v>7.0283975659229207E-5</v>
      </c>
      <c r="H305" s="12">
        <v>7.0431572008113595E-4</v>
      </c>
    </row>
    <row r="306" spans="1:8" ht="12.75">
      <c r="A306" s="24" t="s">
        <v>2580</v>
      </c>
      <c r="B306" s="14" t="s">
        <v>2595</v>
      </c>
      <c r="C306" s="792">
        <v>1.2127337038908539</v>
      </c>
      <c r="D306" s="458" t="s">
        <v>2584</v>
      </c>
      <c r="E306" s="12">
        <v>4.7754773653722405E-4</v>
      </c>
      <c r="F306" s="12">
        <v>9.9048845026103102E-3</v>
      </c>
      <c r="G306" s="12">
        <v>1.1598405219282348E-5</v>
      </c>
      <c r="H306" s="12">
        <v>9.908404494382022E-5</v>
      </c>
    </row>
    <row r="307" spans="1:8" ht="12.75">
      <c r="A307" s="24" t="s">
        <v>2580</v>
      </c>
      <c r="B307" s="14" t="s">
        <v>2595</v>
      </c>
      <c r="C307" s="792">
        <v>0.60636685194542694</v>
      </c>
      <c r="D307" s="458" t="s">
        <v>1114</v>
      </c>
      <c r="E307" s="12">
        <v>3.8297066240151499E-4</v>
      </c>
      <c r="F307" s="12">
        <v>1.2726079536012401E-2</v>
      </c>
      <c r="G307" s="12">
        <v>1.225E-5</v>
      </c>
      <c r="H307" s="12">
        <v>1.5432370941286443E-5</v>
      </c>
    </row>
    <row r="308" spans="1:8" ht="12.75">
      <c r="A308" s="24" t="s">
        <v>2580</v>
      </c>
      <c r="B308" s="14" t="s">
        <v>2595</v>
      </c>
      <c r="C308" s="792">
        <v>0.27286508337544213</v>
      </c>
      <c r="D308" s="458" t="s">
        <v>350</v>
      </c>
      <c r="E308" s="12">
        <v>7.6923076923076919E-3</v>
      </c>
      <c r="F308" s="12">
        <v>0.183</v>
      </c>
      <c r="G308" s="12">
        <v>2.8673068893528183E-4</v>
      </c>
      <c r="H308" s="12">
        <v>1.4770983615231311E-3</v>
      </c>
    </row>
    <row r="309" spans="1:8" ht="12.75">
      <c r="A309" s="24" t="s">
        <v>2580</v>
      </c>
      <c r="B309" s="14" t="s">
        <v>2595</v>
      </c>
      <c r="C309" s="792">
        <v>0.27286508337544213</v>
      </c>
      <c r="D309" s="458" t="s">
        <v>273</v>
      </c>
      <c r="E309" s="12">
        <v>5.0851930036188197E-3</v>
      </c>
      <c r="F309" s="12">
        <v>5.9995417730640897E-2</v>
      </c>
      <c r="G309" s="12">
        <v>3.4699999999999998E-4</v>
      </c>
      <c r="H309" s="12">
        <v>4.5318147816043826E-4</v>
      </c>
    </row>
    <row r="310" spans="1:8" ht="12.75">
      <c r="A310" s="24" t="s">
        <v>2580</v>
      </c>
      <c r="B310" s="14" t="s">
        <v>2595</v>
      </c>
      <c r="C310" s="810" t="s">
        <v>1666</v>
      </c>
      <c r="D310" s="811" t="s">
        <v>1666</v>
      </c>
      <c r="E310" s="457" t="s">
        <v>1666</v>
      </c>
      <c r="F310" s="457" t="s">
        <v>1666</v>
      </c>
      <c r="G310" s="457" t="s">
        <v>1666</v>
      </c>
      <c r="H310" s="457" t="s">
        <v>1666</v>
      </c>
    </row>
    <row r="311" spans="1:8" ht="12.75">
      <c r="A311" s="24" t="s">
        <v>2580</v>
      </c>
      <c r="B311" s="14" t="s">
        <v>2595</v>
      </c>
      <c r="C311" s="792">
        <v>0.33350176856998481</v>
      </c>
      <c r="D311" s="18" t="s">
        <v>2526</v>
      </c>
      <c r="E311" s="12">
        <v>5.0851930036188197E-3</v>
      </c>
      <c r="F311" s="12">
        <v>5.9995417730640897E-2</v>
      </c>
      <c r="G311" s="12">
        <v>3.4699999999999998E-4</v>
      </c>
      <c r="H311" s="12">
        <v>2.9762429672480995E-4</v>
      </c>
    </row>
    <row r="312" spans="1:8" ht="12.75">
      <c r="A312" s="10" t="s">
        <v>2580</v>
      </c>
      <c r="B312" s="14" t="s">
        <v>2595</v>
      </c>
      <c r="C312" s="792">
        <v>47.042445679636181</v>
      </c>
      <c r="D312" s="18" t="s">
        <v>308</v>
      </c>
      <c r="E312" s="12">
        <v>5.0661296264537621E-3</v>
      </c>
      <c r="F312" s="12">
        <v>4.1132611249310447E-2</v>
      </c>
      <c r="G312" s="12">
        <v>8.190476190476189E-5</v>
      </c>
      <c r="H312" s="12">
        <v>6.4489013651634311E-4</v>
      </c>
    </row>
    <row r="313" spans="1:8" ht="12.75">
      <c r="A313" s="10" t="s">
        <v>2580</v>
      </c>
      <c r="B313" s="14" t="s">
        <v>2595</v>
      </c>
      <c r="C313" s="792" t="s">
        <v>1666</v>
      </c>
      <c r="D313" s="18" t="s">
        <v>1666</v>
      </c>
      <c r="E313" s="454" t="s">
        <v>1666</v>
      </c>
      <c r="F313" s="454" t="s">
        <v>1666</v>
      </c>
      <c r="G313" s="454" t="s">
        <v>1666</v>
      </c>
      <c r="H313" s="454" t="s">
        <v>1666</v>
      </c>
    </row>
    <row r="314" spans="1:8" ht="12.75">
      <c r="A314" s="10" t="s">
        <v>2580</v>
      </c>
      <c r="B314" s="14" t="s">
        <v>2595</v>
      </c>
      <c r="C314" s="792">
        <v>8.4891359272359787E-2</v>
      </c>
      <c r="D314" s="18" t="s">
        <v>83</v>
      </c>
      <c r="E314" s="12">
        <v>0</v>
      </c>
      <c r="F314" s="12">
        <v>0</v>
      </c>
      <c r="G314" s="12">
        <v>0</v>
      </c>
      <c r="H314" s="12">
        <v>0</v>
      </c>
    </row>
    <row r="315" spans="1:8" ht="12.75">
      <c r="A315" s="24" t="s">
        <v>2580</v>
      </c>
      <c r="B315" s="14" t="s">
        <v>2595</v>
      </c>
      <c r="C315" s="792" t="s">
        <v>1666</v>
      </c>
      <c r="D315" s="458" t="s">
        <v>1666</v>
      </c>
      <c r="E315" s="454" t="s">
        <v>1666</v>
      </c>
      <c r="F315" s="454" t="s">
        <v>1666</v>
      </c>
      <c r="G315" s="454" t="s">
        <v>1666</v>
      </c>
      <c r="H315" s="454" t="s">
        <v>1666</v>
      </c>
    </row>
    <row r="316" spans="1:8" ht="12.75">
      <c r="A316" s="24" t="s">
        <v>2580</v>
      </c>
      <c r="B316" s="14" t="s">
        <v>2595</v>
      </c>
      <c r="C316" s="792">
        <v>0.60636685194542694</v>
      </c>
      <c r="D316" s="458" t="s">
        <v>85</v>
      </c>
      <c r="E316" s="12">
        <v>2.0262392565709405E-4</v>
      </c>
      <c r="F316" s="12">
        <v>1.0885928720785719E-2</v>
      </c>
      <c r="G316" s="12">
        <v>6.2837933649623454E-6</v>
      </c>
      <c r="H316" s="12">
        <v>4.6142098112569087E-5</v>
      </c>
    </row>
    <row r="317" spans="1:8" ht="12.75">
      <c r="A317" s="24" t="s">
        <v>2580</v>
      </c>
      <c r="B317" s="14" t="s">
        <v>2595</v>
      </c>
      <c r="C317" s="792">
        <v>0.45477513895907024</v>
      </c>
      <c r="D317" s="458" t="s">
        <v>227</v>
      </c>
      <c r="E317" s="12">
        <v>2.5055367220000002E-3</v>
      </c>
      <c r="F317" s="12">
        <v>3.8459841414181101E-2</v>
      </c>
      <c r="G317" s="12">
        <v>1.1035422343324251E-4</v>
      </c>
      <c r="H317" s="12">
        <v>8.109653861711444E-4</v>
      </c>
    </row>
    <row r="318" spans="1:8" ht="12.75">
      <c r="A318" s="24" t="s">
        <v>2580</v>
      </c>
      <c r="B318" s="14" t="s">
        <v>2595</v>
      </c>
      <c r="C318" s="792" t="s">
        <v>1666</v>
      </c>
      <c r="D318" s="458" t="s">
        <v>1666</v>
      </c>
      <c r="E318" s="462" t="s">
        <v>1666</v>
      </c>
      <c r="F318" s="462" t="s">
        <v>1666</v>
      </c>
      <c r="G318" s="462" t="s">
        <v>1666</v>
      </c>
      <c r="H318" s="462" t="s">
        <v>1666</v>
      </c>
    </row>
    <row r="319" spans="1:8" ht="12.75">
      <c r="A319" s="24" t="s">
        <v>2580</v>
      </c>
      <c r="B319" s="14" t="s">
        <v>2595</v>
      </c>
      <c r="C319" s="792">
        <v>6.0636685194542697E-2</v>
      </c>
      <c r="D319" s="458" t="s">
        <v>2597</v>
      </c>
      <c r="E319" s="12">
        <v>2.9691872042618299E-2</v>
      </c>
      <c r="F319" s="12">
        <v>7.5368545517799299E-2</v>
      </c>
      <c r="G319" s="12">
        <v>2.9014018691588786E-4</v>
      </c>
      <c r="H319" s="12">
        <v>1.4770983615231311E-3</v>
      </c>
    </row>
    <row r="320" spans="1:8" ht="12.75">
      <c r="A320" s="13" t="s">
        <v>2580</v>
      </c>
      <c r="B320" s="14" t="s">
        <v>2595</v>
      </c>
      <c r="C320" s="792">
        <v>28.999999999999996</v>
      </c>
      <c r="D320" s="18" t="s">
        <v>310</v>
      </c>
      <c r="E320" s="12">
        <v>4.3502453187736897E-3</v>
      </c>
      <c r="F320" s="12">
        <v>1.10424718876256E-2</v>
      </c>
      <c r="G320" s="12">
        <v>8.2999999999999998E-5</v>
      </c>
      <c r="H320" s="12">
        <v>7.0547981445880884E-4</v>
      </c>
    </row>
    <row r="321" spans="1:8" ht="12.75">
      <c r="A321" s="799" t="s">
        <v>2580</v>
      </c>
      <c r="B321" s="617" t="s">
        <v>2595</v>
      </c>
      <c r="C321" s="455" t="s">
        <v>1666</v>
      </c>
      <c r="D321" s="793" t="s">
        <v>1666</v>
      </c>
      <c r="E321" s="808" t="s">
        <v>1666</v>
      </c>
      <c r="F321" s="808" t="s">
        <v>1666</v>
      </c>
      <c r="G321" s="808" t="s">
        <v>1666</v>
      </c>
      <c r="H321" s="808" t="s">
        <v>1666</v>
      </c>
    </row>
    <row r="322" spans="1:8" ht="12.75">
      <c r="A322" s="13" t="s">
        <v>2580</v>
      </c>
      <c r="B322" s="14" t="s">
        <v>2598</v>
      </c>
      <c r="C322" s="792">
        <v>75</v>
      </c>
      <c r="D322" s="18" t="s">
        <v>299</v>
      </c>
      <c r="E322" s="12">
        <v>3.3715510380578286E-3</v>
      </c>
      <c r="F322" s="12">
        <v>1.5399705979103718E-2</v>
      </c>
      <c r="G322" s="12">
        <v>1.8383838383838382E-4</v>
      </c>
      <c r="H322" s="12">
        <v>8.3632217061965959E-4</v>
      </c>
    </row>
    <row r="323" spans="1:8" ht="12.75">
      <c r="A323" s="799" t="s">
        <v>2580</v>
      </c>
      <c r="B323" s="617" t="s">
        <v>2598</v>
      </c>
      <c r="C323" s="455">
        <v>25</v>
      </c>
      <c r="D323" s="793" t="s">
        <v>293</v>
      </c>
      <c r="E323" s="635">
        <v>6.7171636864411322E-3</v>
      </c>
      <c r="F323" s="635">
        <v>8.9019074055687111E-2</v>
      </c>
      <c r="G323" s="635">
        <v>2.2314159292035395E-4</v>
      </c>
      <c r="H323" s="635">
        <v>6.959199386544721E-4</v>
      </c>
    </row>
    <row r="324" spans="1:8" ht="12.75">
      <c r="A324" s="799" t="s">
        <v>2580</v>
      </c>
      <c r="B324" s="617" t="s">
        <v>2599</v>
      </c>
      <c r="C324" s="455">
        <v>100</v>
      </c>
      <c r="D324" s="793" t="s">
        <v>444</v>
      </c>
      <c r="E324" s="635">
        <v>1.5085859519408502E-3</v>
      </c>
      <c r="F324" s="635">
        <v>3.1939309919901404E-2</v>
      </c>
      <c r="G324" s="635">
        <v>3.4426229508196721E-5</v>
      </c>
      <c r="H324" s="635">
        <v>5.7826098360655735E-4</v>
      </c>
    </row>
    <row r="325" spans="1:8" ht="12.75">
      <c r="A325" s="799" t="s">
        <v>2580</v>
      </c>
      <c r="B325" s="617" t="s">
        <v>2600</v>
      </c>
      <c r="C325" s="455">
        <v>100</v>
      </c>
      <c r="D325" s="793" t="s">
        <v>457</v>
      </c>
      <c r="E325" s="635">
        <v>2.14888098999473E-3</v>
      </c>
      <c r="F325" s="635">
        <v>5.1770668773038403E-2</v>
      </c>
      <c r="G325" s="635">
        <v>4.6666666666666665E-5</v>
      </c>
      <c r="H325" s="635">
        <v>6.8588177777777789E-4</v>
      </c>
    </row>
    <row r="326" spans="1:8" ht="12.75">
      <c r="A326" s="13" t="s">
        <v>2580</v>
      </c>
      <c r="B326" s="14" t="s">
        <v>2601</v>
      </c>
      <c r="C326" s="792">
        <v>81.10891089108911</v>
      </c>
      <c r="D326" s="18" t="s">
        <v>450</v>
      </c>
      <c r="E326" s="12">
        <v>5.8916802021295798E-4</v>
      </c>
      <c r="F326" s="12">
        <v>1.0256873007279099E-2</v>
      </c>
      <c r="G326" s="12">
        <v>3.2911392405063288E-5</v>
      </c>
      <c r="H326" s="12">
        <v>1.6743949367088607E-4</v>
      </c>
    </row>
    <row r="327" spans="1:8" ht="12.75">
      <c r="A327" s="24" t="s">
        <v>2580</v>
      </c>
      <c r="B327" s="14" t="s">
        <v>2601</v>
      </c>
      <c r="C327" s="792" t="s">
        <v>1666</v>
      </c>
      <c r="D327" s="18" t="s">
        <v>1666</v>
      </c>
      <c r="E327" s="454" t="s">
        <v>1666</v>
      </c>
      <c r="F327" s="454" t="s">
        <v>1666</v>
      </c>
      <c r="G327" s="454" t="s">
        <v>1666</v>
      </c>
      <c r="H327" s="454" t="s">
        <v>1666</v>
      </c>
    </row>
    <row r="328" spans="1:8" ht="12.75">
      <c r="A328" s="24" t="s">
        <v>2580</v>
      </c>
      <c r="B328" s="14" t="s">
        <v>2601</v>
      </c>
      <c r="C328" s="792">
        <v>4.7227722772277234</v>
      </c>
      <c r="D328" s="18" t="s">
        <v>569</v>
      </c>
      <c r="E328" s="12">
        <v>5.4980000000000003E-4</v>
      </c>
      <c r="F328" s="12">
        <v>1.010611E-2</v>
      </c>
      <c r="G328" s="12">
        <v>3.4146341463414633E-5</v>
      </c>
      <c r="H328" s="12">
        <v>1.3442804878048784E-4</v>
      </c>
    </row>
    <row r="329" spans="1:8" ht="12.75">
      <c r="A329" s="24" t="s">
        <v>2580</v>
      </c>
      <c r="B329" s="14" t="s">
        <v>2601</v>
      </c>
      <c r="C329" s="792">
        <v>2.4138613861386138</v>
      </c>
      <c r="D329" s="18" t="s">
        <v>2584</v>
      </c>
      <c r="E329" s="12">
        <v>4.7754773653722405E-4</v>
      </c>
      <c r="F329" s="12">
        <v>9.9048845026103102E-3</v>
      </c>
      <c r="G329" s="12">
        <v>1.1598405219282348E-5</v>
      </c>
      <c r="H329" s="12">
        <v>9.908404494382022E-5</v>
      </c>
    </row>
    <row r="330" spans="1:8" ht="12.75">
      <c r="A330" s="24" t="s">
        <v>2580</v>
      </c>
      <c r="B330" s="14" t="s">
        <v>2601</v>
      </c>
      <c r="C330" s="792">
        <v>5.7198019801980209</v>
      </c>
      <c r="D330" s="18" t="s">
        <v>346</v>
      </c>
      <c r="E330" s="12">
        <v>2.9691872042618299E-2</v>
      </c>
      <c r="F330" s="12">
        <v>7.5368545517799299E-2</v>
      </c>
      <c r="G330" s="12">
        <v>2.9014018691588786E-4</v>
      </c>
      <c r="H330" s="12">
        <v>1.4770983615231311E-3</v>
      </c>
    </row>
    <row r="331" spans="1:8" ht="12.75">
      <c r="A331" s="24" t="s">
        <v>2580</v>
      </c>
      <c r="B331" s="14" t="s">
        <v>2601</v>
      </c>
      <c r="C331" s="796">
        <v>1.0176000000000001</v>
      </c>
      <c r="D331" s="456" t="s">
        <v>72</v>
      </c>
      <c r="E331" s="457">
        <v>0</v>
      </c>
      <c r="F331" s="457">
        <v>0</v>
      </c>
      <c r="G331" s="457">
        <v>0</v>
      </c>
      <c r="H331" s="457">
        <v>0</v>
      </c>
    </row>
    <row r="332" spans="1:8" ht="12.75">
      <c r="A332" s="24" t="s">
        <v>2580</v>
      </c>
      <c r="B332" s="14" t="s">
        <v>2601</v>
      </c>
      <c r="C332" s="792">
        <v>0.51635643564356448</v>
      </c>
      <c r="D332" s="18" t="s">
        <v>139</v>
      </c>
      <c r="E332" s="12">
        <v>4.0165275294130297E-3</v>
      </c>
      <c r="F332" s="12">
        <v>3.2725331200335404E-2</v>
      </c>
      <c r="G332" s="12">
        <v>2.4399999999999999E-4</v>
      </c>
      <c r="H332" s="12">
        <v>2.0392735E-3</v>
      </c>
    </row>
    <row r="333" spans="1:8" ht="12.75">
      <c r="A333" s="24" t="s">
        <v>2580</v>
      </c>
      <c r="B333" s="14" t="s">
        <v>2601</v>
      </c>
      <c r="C333" s="792">
        <v>0.27077227722772279</v>
      </c>
      <c r="D333" s="809" t="s">
        <v>2594</v>
      </c>
      <c r="E333" s="461">
        <v>2.2073766211046637E-2</v>
      </c>
      <c r="F333" s="461">
        <v>8.7246004352723297E-2</v>
      </c>
      <c r="G333" s="461">
        <v>5.8202330775582959E-4</v>
      </c>
      <c r="H333" s="461">
        <v>2.670351142205461E-3</v>
      </c>
    </row>
    <row r="334" spans="1:8" ht="12.75">
      <c r="A334" s="24" t="s">
        <v>2580</v>
      </c>
      <c r="B334" s="14" t="s">
        <v>2601</v>
      </c>
      <c r="C334" s="792">
        <v>4.9851485148514847</v>
      </c>
      <c r="D334" s="18" t="s">
        <v>433</v>
      </c>
      <c r="E334" s="12">
        <v>3.0104466724907065E-4</v>
      </c>
      <c r="F334" s="12">
        <v>1.2500000000000001E-2</v>
      </c>
      <c r="G334" s="12">
        <v>5.1818181818181835E-4</v>
      </c>
      <c r="H334" s="12">
        <v>4.0084080366977777E-4</v>
      </c>
    </row>
    <row r="335" spans="1:8" ht="12.75">
      <c r="A335" s="24" t="s">
        <v>2580</v>
      </c>
      <c r="B335" s="14" t="s">
        <v>2601</v>
      </c>
      <c r="C335" s="792">
        <v>0.20990099009900992</v>
      </c>
      <c r="D335" s="18" t="s">
        <v>83</v>
      </c>
      <c r="E335" s="12">
        <v>0</v>
      </c>
      <c r="F335" s="12">
        <v>0</v>
      </c>
      <c r="G335" s="12">
        <v>0</v>
      </c>
      <c r="H335" s="12">
        <v>0</v>
      </c>
    </row>
    <row r="336" spans="1:8" ht="12.75">
      <c r="A336" s="24" t="s">
        <v>2580</v>
      </c>
      <c r="B336" s="14" t="s">
        <v>2601</v>
      </c>
      <c r="C336" s="792" t="s">
        <v>1666</v>
      </c>
      <c r="D336" s="18" t="s">
        <v>1666</v>
      </c>
      <c r="E336" s="454" t="s">
        <v>1666</v>
      </c>
      <c r="F336" s="454" t="s">
        <v>1666</v>
      </c>
      <c r="G336" s="454" t="s">
        <v>1666</v>
      </c>
      <c r="H336" s="454" t="s">
        <v>1666</v>
      </c>
    </row>
    <row r="337" spans="1:8" ht="12.75">
      <c r="A337" s="794" t="s">
        <v>2580</v>
      </c>
      <c r="B337" s="617" t="s">
        <v>2601</v>
      </c>
      <c r="C337" s="455">
        <v>5.247524752475248E-2</v>
      </c>
      <c r="D337" s="793" t="s">
        <v>227</v>
      </c>
      <c r="E337" s="635">
        <v>2.5055367220000002E-3</v>
      </c>
      <c r="F337" s="635">
        <v>3.8459841414181101E-2</v>
      </c>
      <c r="G337" s="635">
        <v>1.1035422343324251E-4</v>
      </c>
      <c r="H337" s="635">
        <v>8.109653861711444E-4</v>
      </c>
    </row>
    <row r="338" spans="1:8" ht="12.75">
      <c r="A338" s="799" t="s">
        <v>2580</v>
      </c>
      <c r="B338" s="617" t="s">
        <v>2602</v>
      </c>
      <c r="C338" s="455">
        <v>100</v>
      </c>
      <c r="D338" s="793" t="s">
        <v>447</v>
      </c>
      <c r="E338" s="635">
        <v>8.1081081081081077E-4</v>
      </c>
      <c r="F338" s="635">
        <v>2.8510934410257097E-2</v>
      </c>
      <c r="G338" s="635">
        <v>2.8378378378378378E-5</v>
      </c>
      <c r="H338" s="635">
        <v>3.5750594594594591E-4</v>
      </c>
    </row>
    <row r="339" spans="1:8" ht="12.75">
      <c r="A339" s="799" t="s">
        <v>2580</v>
      </c>
      <c r="B339" s="617" t="s">
        <v>2603</v>
      </c>
      <c r="C339" s="455">
        <v>100</v>
      </c>
      <c r="D339" s="793" t="s">
        <v>2604</v>
      </c>
      <c r="E339" s="635">
        <v>5.4980000000000003E-4</v>
      </c>
      <c r="F339" s="635">
        <v>1.010611E-2</v>
      </c>
      <c r="G339" s="635">
        <v>3.4146341463414633E-5</v>
      </c>
      <c r="H339" s="635">
        <v>1.3442804878048784E-4</v>
      </c>
    </row>
    <row r="340" spans="1:8" ht="12.75">
      <c r="A340" s="799" t="s">
        <v>2580</v>
      </c>
      <c r="B340" s="617" t="s">
        <v>2605</v>
      </c>
      <c r="C340" s="455">
        <v>100</v>
      </c>
      <c r="D340" s="793" t="s">
        <v>2606</v>
      </c>
      <c r="E340" s="635">
        <v>4.6934146341463416E-4</v>
      </c>
      <c r="F340" s="635">
        <v>8.6271670731707314E-3</v>
      </c>
      <c r="G340" s="635">
        <v>2.9149315883402736E-5</v>
      </c>
      <c r="H340" s="635">
        <v>1.1475565139797742E-4</v>
      </c>
    </row>
    <row r="341" spans="1:8" ht="12.75">
      <c r="A341" s="799" t="s">
        <v>2580</v>
      </c>
      <c r="B341" s="617" t="s">
        <v>2607</v>
      </c>
      <c r="C341" s="455">
        <v>100</v>
      </c>
      <c r="D341" s="793" t="s">
        <v>2608</v>
      </c>
      <c r="E341" s="635">
        <v>1.8058607109686532E-2</v>
      </c>
      <c r="F341" s="635">
        <v>0.29545309682941479</v>
      </c>
      <c r="G341" s="635">
        <v>1.0435042177806379E-2</v>
      </c>
      <c r="H341" s="635">
        <v>4.7661389143876732E-5</v>
      </c>
    </row>
    <row r="342" spans="1:8" ht="12.75">
      <c r="A342" s="24" t="s">
        <v>2580</v>
      </c>
      <c r="B342" s="14" t="s">
        <v>2609</v>
      </c>
      <c r="C342" s="792">
        <v>19.791666666666668</v>
      </c>
      <c r="D342" s="18" t="s">
        <v>2606</v>
      </c>
      <c r="E342" s="12">
        <v>4.6934146341463416E-4</v>
      </c>
      <c r="F342" s="12">
        <v>8.6271670731707314E-3</v>
      </c>
      <c r="G342" s="12">
        <v>2.9149315883402736E-5</v>
      </c>
      <c r="H342" s="12">
        <v>1.1475565139797742E-4</v>
      </c>
    </row>
    <row r="343" spans="1:8" ht="12.75">
      <c r="A343" s="24" t="s">
        <v>2580</v>
      </c>
      <c r="B343" s="14" t="s">
        <v>2609</v>
      </c>
      <c r="C343" s="792">
        <v>19.791666666666668</v>
      </c>
      <c r="D343" s="18" t="s">
        <v>299</v>
      </c>
      <c r="E343" s="12">
        <v>3.3715510380578286E-3</v>
      </c>
      <c r="F343" s="12">
        <v>1.5399705979103718E-2</v>
      </c>
      <c r="G343" s="12">
        <v>1.8383838383838382E-4</v>
      </c>
      <c r="H343" s="12">
        <v>8.3632217061965959E-4</v>
      </c>
    </row>
    <row r="344" spans="1:8" ht="12.75">
      <c r="A344" s="24" t="s">
        <v>2580</v>
      </c>
      <c r="B344" s="14" t="s">
        <v>2609</v>
      </c>
      <c r="C344" s="792">
        <v>19.791666666666668</v>
      </c>
      <c r="D344" s="18" t="s">
        <v>2608</v>
      </c>
      <c r="E344" s="12">
        <v>1.8058607109686532E-2</v>
      </c>
      <c r="F344" s="12">
        <v>0.29545309682941479</v>
      </c>
      <c r="G344" s="12">
        <v>1.0435042177806379E-2</v>
      </c>
      <c r="H344" s="12">
        <v>4.7661389143876732E-5</v>
      </c>
    </row>
    <row r="345" spans="1:8" ht="12.75">
      <c r="A345" s="24" t="s">
        <v>2580</v>
      </c>
      <c r="B345" s="14" t="s">
        <v>2609</v>
      </c>
      <c r="C345" s="792">
        <v>19.791666666666668</v>
      </c>
      <c r="D345" s="18" t="s">
        <v>2589</v>
      </c>
      <c r="E345" s="12">
        <v>2.9479682138342099E-3</v>
      </c>
      <c r="F345" s="12">
        <v>2.6157365601107697E-2</v>
      </c>
      <c r="G345" s="12">
        <v>6.1363636363636362E-5</v>
      </c>
      <c r="H345" s="12">
        <v>3.5908655328750923E-4</v>
      </c>
    </row>
    <row r="346" spans="1:8" ht="12.75">
      <c r="A346" s="24" t="s">
        <v>2580</v>
      </c>
      <c r="B346" s="14" t="s">
        <v>2609</v>
      </c>
      <c r="C346" s="792">
        <v>19.791666666666668</v>
      </c>
      <c r="D346" s="18" t="s">
        <v>293</v>
      </c>
      <c r="E346" s="12">
        <v>6.7171636864411322E-3</v>
      </c>
      <c r="F346" s="12">
        <v>8.9019074055687111E-2</v>
      </c>
      <c r="G346" s="12">
        <v>2.2314159292035395E-4</v>
      </c>
      <c r="H346" s="12">
        <v>6.959199386544721E-4</v>
      </c>
    </row>
    <row r="347" spans="1:8" ht="12.75">
      <c r="A347" s="794" t="s">
        <v>2580</v>
      </c>
      <c r="B347" s="617" t="s">
        <v>2609</v>
      </c>
      <c r="C347" s="455">
        <v>1.0416666666666667</v>
      </c>
      <c r="D347" s="793" t="s">
        <v>83</v>
      </c>
      <c r="E347" s="635">
        <v>0</v>
      </c>
      <c r="F347" s="635">
        <v>0</v>
      </c>
      <c r="G347" s="635">
        <v>0</v>
      </c>
      <c r="H347" s="635">
        <v>0</v>
      </c>
    </row>
    <row r="348" spans="1:8" ht="12.75">
      <c r="A348" s="13" t="s">
        <v>2580</v>
      </c>
      <c r="B348" s="14" t="s">
        <v>2610</v>
      </c>
      <c r="C348" s="792">
        <v>100</v>
      </c>
      <c r="D348" s="18" t="s">
        <v>2611</v>
      </c>
      <c r="E348" s="12">
        <v>2.3903313565692558E-3</v>
      </c>
      <c r="F348" s="12">
        <v>1.6108439629147951E-2</v>
      </c>
      <c r="G348" s="12">
        <v>5.4732558139534892E-6</v>
      </c>
      <c r="H348" s="12">
        <v>4.5852507083720935E-4</v>
      </c>
    </row>
    <row r="349" spans="1:8" ht="12.75">
      <c r="A349" s="799" t="s">
        <v>2580</v>
      </c>
      <c r="B349" s="617" t="s">
        <v>2610</v>
      </c>
      <c r="C349" s="455" t="s">
        <v>1666</v>
      </c>
      <c r="D349" s="793" t="s">
        <v>1666</v>
      </c>
      <c r="E349" s="808" t="s">
        <v>1666</v>
      </c>
      <c r="F349" s="808" t="s">
        <v>1666</v>
      </c>
      <c r="G349" s="808" t="s">
        <v>1666</v>
      </c>
      <c r="H349" s="808" t="s">
        <v>1666</v>
      </c>
    </row>
    <row r="350" spans="1:8" ht="12.75">
      <c r="A350" s="799" t="s">
        <v>2580</v>
      </c>
      <c r="B350" s="617" t="s">
        <v>2612</v>
      </c>
      <c r="C350" s="455">
        <v>100</v>
      </c>
      <c r="D350" s="793" t="s">
        <v>2613</v>
      </c>
      <c r="E350" s="635">
        <v>9.1578394306682969E-4</v>
      </c>
      <c r="F350" s="635">
        <v>9.6000593053856727E-3</v>
      </c>
      <c r="G350" s="635">
        <v>3.9975990396158467E-7</v>
      </c>
      <c r="H350" s="635">
        <v>5.141025630252102E-6</v>
      </c>
    </row>
    <row r="351" spans="1:8" ht="12.75">
      <c r="A351" s="799" t="s">
        <v>2580</v>
      </c>
      <c r="B351" s="617" t="s">
        <v>2614</v>
      </c>
      <c r="C351" s="455">
        <v>100</v>
      </c>
      <c r="D351" s="793" t="s">
        <v>2615</v>
      </c>
      <c r="E351" s="635">
        <v>1.54102049293825E-3</v>
      </c>
      <c r="F351" s="635">
        <v>1.7250530785562625E-2</v>
      </c>
      <c r="G351" s="635">
        <v>3.1578947368421058E-5</v>
      </c>
      <c r="H351" s="635">
        <v>4.641305263157895E-4</v>
      </c>
    </row>
    <row r="352" spans="1:8" ht="12.75">
      <c r="A352" s="13" t="s">
        <v>2580</v>
      </c>
      <c r="B352" s="14" t="s">
        <v>2616</v>
      </c>
      <c r="C352" s="463">
        <v>60</v>
      </c>
      <c r="D352" s="18" t="s">
        <v>481</v>
      </c>
      <c r="E352" s="12">
        <v>1.7421115507516912E-3</v>
      </c>
      <c r="F352" s="12">
        <v>3.0263336086917496E-2</v>
      </c>
      <c r="G352" s="12">
        <v>2.0588235294117645E-5</v>
      </c>
      <c r="H352" s="12">
        <v>4.8631323529411762E-4</v>
      </c>
    </row>
    <row r="353" spans="1:8" ht="12.75">
      <c r="A353" s="799" t="s">
        <v>2580</v>
      </c>
      <c r="B353" s="617" t="s">
        <v>2616</v>
      </c>
      <c r="C353" s="455">
        <v>40</v>
      </c>
      <c r="D353" s="793" t="s">
        <v>470</v>
      </c>
      <c r="E353" s="635">
        <v>1.6008592628529055E-3</v>
      </c>
      <c r="F353" s="635">
        <v>2.7809552079870136E-2</v>
      </c>
      <c r="G353" s="635">
        <v>1.8918918918918918E-5</v>
      </c>
      <c r="H353" s="635">
        <v>4.4688243243243248E-4</v>
      </c>
    </row>
    <row r="354" spans="1:8" ht="12.75">
      <c r="A354" s="799" t="s">
        <v>2580</v>
      </c>
      <c r="B354" s="617" t="s">
        <v>2617</v>
      </c>
      <c r="C354" s="455">
        <v>100</v>
      </c>
      <c r="D354" s="793" t="s">
        <v>2618</v>
      </c>
      <c r="E354" s="635">
        <v>1.1846358545111501E-3</v>
      </c>
      <c r="F354" s="635">
        <v>2.0579068539103899E-2</v>
      </c>
      <c r="G354" s="635">
        <v>1.8918918918918918E-5</v>
      </c>
      <c r="H354" s="635">
        <v>4.4688243243243248E-4</v>
      </c>
    </row>
    <row r="355" spans="1:8" ht="12.75">
      <c r="A355" s="799" t="s">
        <v>2580</v>
      </c>
      <c r="B355" s="617" t="s">
        <v>2619</v>
      </c>
      <c r="C355" s="455">
        <v>100</v>
      </c>
      <c r="D355" s="793" t="s">
        <v>2618</v>
      </c>
      <c r="E355" s="635">
        <v>1.1846358545111501E-3</v>
      </c>
      <c r="F355" s="635">
        <v>2.0579068539103899E-2</v>
      </c>
      <c r="G355" s="635">
        <v>1.8918918918918918E-5</v>
      </c>
      <c r="H355" s="635">
        <v>4.4688243243243248E-4</v>
      </c>
    </row>
    <row r="356" spans="1:8" ht="12.75">
      <c r="A356" s="799" t="s">
        <v>2580</v>
      </c>
      <c r="B356" s="617" t="s">
        <v>2620</v>
      </c>
      <c r="C356" s="455">
        <v>100</v>
      </c>
      <c r="D356" s="793" t="s">
        <v>2621</v>
      </c>
      <c r="E356" s="635">
        <v>3.7676505686062725E-4</v>
      </c>
      <c r="F356" s="635">
        <v>3.9594550949037634E-3</v>
      </c>
      <c r="G356" s="635">
        <v>1.4354578172208981E-4</v>
      </c>
      <c r="H356" s="635">
        <v>2.6812945945945945E-4</v>
      </c>
    </row>
    <row r="357" spans="1:8" ht="12.75">
      <c r="A357" s="799" t="s">
        <v>2580</v>
      </c>
      <c r="B357" s="617" t="s">
        <v>2622</v>
      </c>
      <c r="C357" s="455">
        <v>100</v>
      </c>
      <c r="D357" s="793" t="s">
        <v>2623</v>
      </c>
      <c r="E357" s="635">
        <v>8.4376421531463298E-4</v>
      </c>
      <c r="F357" s="635">
        <v>1.9553955016426601E-2</v>
      </c>
      <c r="G357" s="635">
        <v>4.1791044776119397E-5</v>
      </c>
      <c r="H357" s="635">
        <v>1.3820005970149253E-3</v>
      </c>
    </row>
    <row r="358" spans="1:8" ht="12.75">
      <c r="A358" s="799" t="s">
        <v>2580</v>
      </c>
      <c r="B358" s="617" t="s">
        <v>2624</v>
      </c>
      <c r="C358" s="455">
        <v>100</v>
      </c>
      <c r="D358" s="793" t="s">
        <v>459</v>
      </c>
      <c r="E358" s="635">
        <v>2.8944733420025999E-4</v>
      </c>
      <c r="F358" s="635">
        <v>9.8179453836150891E-3</v>
      </c>
      <c r="G358" s="635">
        <v>1.0639011302594951E-5</v>
      </c>
      <c r="H358" s="635">
        <v>1.4697466666666669E-4</v>
      </c>
    </row>
    <row r="359" spans="1:8" ht="12.75">
      <c r="A359" s="13" t="s">
        <v>2580</v>
      </c>
      <c r="B359" s="14" t="s">
        <v>2625</v>
      </c>
      <c r="C359" s="463">
        <v>66</v>
      </c>
      <c r="D359" s="18" t="s">
        <v>2626</v>
      </c>
      <c r="E359" s="454">
        <v>8.2739760746147598E-4</v>
      </c>
      <c r="F359" s="454">
        <v>1.9887131659999998E-2</v>
      </c>
      <c r="G359" s="454">
        <v>5.1219512195121953E-5</v>
      </c>
      <c r="H359" s="454">
        <v>3.2262731707317075E-4</v>
      </c>
    </row>
    <row r="360" spans="1:8" ht="12.75">
      <c r="A360" s="799" t="s">
        <v>2580</v>
      </c>
      <c r="B360" s="617" t="s">
        <v>2625</v>
      </c>
      <c r="C360" s="455">
        <v>34</v>
      </c>
      <c r="D360" s="793" t="s">
        <v>2627</v>
      </c>
      <c r="E360" s="808">
        <v>8.2739760746147598E-4</v>
      </c>
      <c r="F360" s="808">
        <v>1.9887131659999998E-2</v>
      </c>
      <c r="G360" s="808">
        <v>5.1219512195121953E-5</v>
      </c>
      <c r="H360" s="808">
        <v>3.2262731707317075E-4</v>
      </c>
    </row>
    <row r="361" spans="1:8" ht="12.75">
      <c r="A361" s="799" t="s">
        <v>2580</v>
      </c>
      <c r="B361" s="617" t="s">
        <v>2628</v>
      </c>
      <c r="C361" s="455">
        <v>100</v>
      </c>
      <c r="D361" s="793" t="s">
        <v>2584</v>
      </c>
      <c r="E361" s="12">
        <v>4.7754773653722405E-4</v>
      </c>
      <c r="F361" s="12">
        <v>9.9048845026103102E-3</v>
      </c>
      <c r="G361" s="12">
        <v>1.1598405219282348E-5</v>
      </c>
      <c r="H361" s="12">
        <v>9.908404494382022E-5</v>
      </c>
    </row>
    <row r="362" spans="1:8" ht="12.75">
      <c r="A362" s="799" t="s">
        <v>2580</v>
      </c>
      <c r="B362" s="799" t="s">
        <v>2629</v>
      </c>
      <c r="C362" s="455">
        <v>100</v>
      </c>
      <c r="D362" s="793" t="s">
        <v>2584</v>
      </c>
      <c r="E362" s="804">
        <v>4.7754773653722405E-4</v>
      </c>
      <c r="F362" s="804">
        <v>9.9048845026103102E-3</v>
      </c>
      <c r="G362" s="804">
        <v>1.1598405219282348E-5</v>
      </c>
      <c r="H362" s="804">
        <v>9.908404494382022E-5</v>
      </c>
    </row>
    <row r="363" spans="1:8" ht="12.75">
      <c r="A363" s="799" t="s">
        <v>2630</v>
      </c>
      <c r="B363" s="617" t="s">
        <v>2631</v>
      </c>
      <c r="C363" s="455">
        <v>100</v>
      </c>
      <c r="D363" s="793" t="s">
        <v>2632</v>
      </c>
      <c r="E363" s="635">
        <v>4.0165275294130297E-3</v>
      </c>
      <c r="F363" s="635">
        <v>3.2725331200335404E-2</v>
      </c>
      <c r="G363" s="635">
        <v>2.4399999999999999E-4</v>
      </c>
      <c r="H363" s="635">
        <v>2.0392735E-3</v>
      </c>
    </row>
    <row r="364" spans="1:8" ht="12.75">
      <c r="A364" s="799" t="s">
        <v>2630</v>
      </c>
      <c r="B364" s="617" t="s">
        <v>2633</v>
      </c>
      <c r="C364" s="455">
        <v>100</v>
      </c>
      <c r="D364" s="793" t="s">
        <v>139</v>
      </c>
      <c r="E364" s="635">
        <v>4.0165275294130297E-3</v>
      </c>
      <c r="F364" s="635">
        <v>3.2725331200335404E-2</v>
      </c>
      <c r="G364" s="635">
        <v>2.4399999999999999E-4</v>
      </c>
      <c r="H364" s="635">
        <v>2.0392735E-3</v>
      </c>
    </row>
    <row r="365" spans="1:8" ht="12.75">
      <c r="A365" s="13" t="s">
        <v>2630</v>
      </c>
      <c r="B365" s="14" t="s">
        <v>2634</v>
      </c>
      <c r="C365" s="792">
        <v>83.625316455696193</v>
      </c>
      <c r="D365" s="18" t="s">
        <v>373</v>
      </c>
      <c r="E365" s="12">
        <v>0.68162031746031748</v>
      </c>
      <c r="F365" s="12">
        <v>0.81774904761904776</v>
      </c>
      <c r="G365" s="12">
        <v>7.6374403174603181E-3</v>
      </c>
      <c r="H365" s="12">
        <v>2.7995230732492413E-2</v>
      </c>
    </row>
    <row r="366" spans="1:8" ht="12.75">
      <c r="A366" s="24" t="s">
        <v>2630</v>
      </c>
      <c r="B366" s="14" t="s">
        <v>2634</v>
      </c>
      <c r="C366" s="792" t="s">
        <v>1666</v>
      </c>
      <c r="D366" s="18" t="s">
        <v>1666</v>
      </c>
      <c r="E366" s="454" t="s">
        <v>1666</v>
      </c>
      <c r="F366" s="454" t="s">
        <v>1666</v>
      </c>
      <c r="G366" s="454" t="s">
        <v>1666</v>
      </c>
      <c r="H366" s="454" t="s">
        <v>1666</v>
      </c>
    </row>
    <row r="367" spans="1:8" ht="12.75">
      <c r="A367" s="24" t="s">
        <v>2630</v>
      </c>
      <c r="B367" s="14" t="s">
        <v>2634</v>
      </c>
      <c r="C367" s="792">
        <v>4.5189873417721529</v>
      </c>
      <c r="D367" s="18" t="s">
        <v>379</v>
      </c>
      <c r="E367" s="12">
        <v>1.4413766233766232E-2</v>
      </c>
      <c r="F367" s="12">
        <v>0.11750233766233766</v>
      </c>
      <c r="G367" s="12">
        <v>5.1116805194805187E-4</v>
      </c>
      <c r="H367" s="12">
        <v>7.1006085221503486E-3</v>
      </c>
    </row>
    <row r="368" spans="1:8" ht="12.75">
      <c r="A368" s="24" t="s">
        <v>2630</v>
      </c>
      <c r="B368" s="14" t="s">
        <v>2634</v>
      </c>
      <c r="C368" s="796">
        <v>12.31413612565445</v>
      </c>
      <c r="D368" s="456" t="s">
        <v>72</v>
      </c>
      <c r="E368" s="457">
        <v>0</v>
      </c>
      <c r="F368" s="457">
        <v>0</v>
      </c>
      <c r="G368" s="457">
        <v>0</v>
      </c>
      <c r="H368" s="457">
        <v>0</v>
      </c>
    </row>
    <row r="369" spans="1:8" ht="12.75">
      <c r="A369" s="24" t="s">
        <v>2630</v>
      </c>
      <c r="B369" s="14" t="s">
        <v>2634</v>
      </c>
      <c r="C369" s="792" t="s">
        <v>1666</v>
      </c>
      <c r="D369" s="18" t="s">
        <v>1666</v>
      </c>
      <c r="E369" s="454" t="s">
        <v>1666</v>
      </c>
      <c r="F369" s="454" t="s">
        <v>1666</v>
      </c>
      <c r="G369" s="454" t="s">
        <v>1666</v>
      </c>
      <c r="H369" s="454" t="s">
        <v>1666</v>
      </c>
    </row>
    <row r="370" spans="1:8" ht="12.75">
      <c r="A370" s="24" t="s">
        <v>2630</v>
      </c>
      <c r="B370" s="14" t="s">
        <v>2634</v>
      </c>
      <c r="C370" s="792">
        <v>1.0632911392405064</v>
      </c>
      <c r="D370" s="809" t="s">
        <v>2635</v>
      </c>
      <c r="E370" s="461">
        <v>2.2073766211046637E-2</v>
      </c>
      <c r="F370" s="461">
        <v>8.7246004352723297E-2</v>
      </c>
      <c r="G370" s="461">
        <v>5.8202330775582959E-4</v>
      </c>
      <c r="H370" s="461">
        <v>2.670351142205461E-3</v>
      </c>
    </row>
    <row r="371" spans="1:8" ht="12.75">
      <c r="A371" s="24" t="s">
        <v>2630</v>
      </c>
      <c r="B371" s="14" t="s">
        <v>2634</v>
      </c>
      <c r="C371" s="792">
        <v>4.78481012658228</v>
      </c>
      <c r="D371" s="18" t="s">
        <v>360</v>
      </c>
      <c r="E371" s="12">
        <v>1.284515625E-2</v>
      </c>
      <c r="F371" s="12">
        <v>0.10467703125</v>
      </c>
      <c r="G371" s="12">
        <v>4.5535921875000006E-4</v>
      </c>
      <c r="H371" s="12">
        <v>7.1653738381629306E-3</v>
      </c>
    </row>
    <row r="372" spans="1:8" ht="12.75">
      <c r="A372" s="24" t="s">
        <v>2630</v>
      </c>
      <c r="B372" s="14" t="s">
        <v>2634</v>
      </c>
      <c r="C372" s="792">
        <v>2.1265822784810129</v>
      </c>
      <c r="D372" s="18" t="s">
        <v>227</v>
      </c>
      <c r="E372" s="12">
        <v>2.5055367220000002E-3</v>
      </c>
      <c r="F372" s="12">
        <v>3.8459841414181101E-2</v>
      </c>
      <c r="G372" s="12">
        <v>1.1035422343324251E-4</v>
      </c>
      <c r="H372" s="12">
        <v>8.109653861711444E-4</v>
      </c>
    </row>
    <row r="373" spans="1:8" ht="12.75">
      <c r="A373" s="24" t="s">
        <v>2630</v>
      </c>
      <c r="B373" s="14" t="s">
        <v>2634</v>
      </c>
      <c r="C373" s="792">
        <v>1.2227848101265824</v>
      </c>
      <c r="D373" s="18" t="s">
        <v>425</v>
      </c>
      <c r="E373" s="12">
        <v>3.8102374934982654E-3</v>
      </c>
      <c r="F373" s="12">
        <v>0.20470422547079484</v>
      </c>
      <c r="G373" s="12">
        <v>1.210810810810811E-4</v>
      </c>
      <c r="H373" s="12">
        <v>1.0002400855855065E-3</v>
      </c>
    </row>
    <row r="374" spans="1:8" ht="12.75">
      <c r="A374" s="24" t="s">
        <v>2630</v>
      </c>
      <c r="B374" s="14" t="s">
        <v>2634</v>
      </c>
      <c r="C374" s="792">
        <v>1.0632911392405064</v>
      </c>
      <c r="D374" s="18" t="s">
        <v>433</v>
      </c>
      <c r="E374" s="12">
        <v>3.0104466724907065E-4</v>
      </c>
      <c r="F374" s="12">
        <v>1.2500000000000001E-2</v>
      </c>
      <c r="G374" s="12">
        <v>5.1818181818181835E-4</v>
      </c>
      <c r="H374" s="12">
        <v>4.0084080366977777E-4</v>
      </c>
    </row>
    <row r="375" spans="1:8" ht="12.75">
      <c r="A375" s="24" t="s">
        <v>2630</v>
      </c>
      <c r="B375" s="14" t="s">
        <v>2634</v>
      </c>
      <c r="C375" s="792">
        <v>1.0632911392405064</v>
      </c>
      <c r="D375" s="18" t="s">
        <v>301</v>
      </c>
      <c r="E375" s="12">
        <v>4.7062756261925113E-3</v>
      </c>
      <c r="F375" s="12">
        <v>3.8210906557435767E-2</v>
      </c>
      <c r="G375" s="12">
        <v>7.6086956521739124E-5</v>
      </c>
      <c r="H375" s="12">
        <v>5.9908272287602653E-4</v>
      </c>
    </row>
    <row r="376" spans="1:8" ht="12.75">
      <c r="A376" s="24" t="s">
        <v>2630</v>
      </c>
      <c r="B376" s="14" t="s">
        <v>2634</v>
      </c>
      <c r="C376" s="792">
        <v>0.53164556962025322</v>
      </c>
      <c r="D376" s="148" t="s">
        <v>83</v>
      </c>
      <c r="E376" s="12">
        <v>0</v>
      </c>
      <c r="F376" s="12">
        <v>0</v>
      </c>
      <c r="G376" s="12">
        <v>0</v>
      </c>
      <c r="H376" s="12">
        <v>0</v>
      </c>
    </row>
    <row r="377" spans="1:8" ht="6" customHeight="1">
      <c r="A377" s="794" t="s">
        <v>2630</v>
      </c>
      <c r="B377" s="617" t="s">
        <v>2634</v>
      </c>
      <c r="C377" s="455" t="s">
        <v>1666</v>
      </c>
      <c r="D377" s="793" t="s">
        <v>1666</v>
      </c>
      <c r="E377" s="808" t="s">
        <v>1666</v>
      </c>
      <c r="F377" s="808" t="s">
        <v>1666</v>
      </c>
      <c r="G377" s="808" t="s">
        <v>1666</v>
      </c>
      <c r="H377" s="808" t="s">
        <v>1666</v>
      </c>
    </row>
    <row r="378" spans="1:8" ht="12.75">
      <c r="A378" s="24" t="s">
        <v>2630</v>
      </c>
      <c r="B378" s="14" t="s">
        <v>2636</v>
      </c>
      <c r="C378" s="792">
        <v>12.333333333333334</v>
      </c>
      <c r="D378" s="18" t="s">
        <v>2637</v>
      </c>
      <c r="E378" s="12">
        <v>1.2534820143884892E-2</v>
      </c>
      <c r="F378" s="12">
        <v>0.10214805755395684</v>
      </c>
      <c r="G378" s="12">
        <v>4.4435784172661873E-4</v>
      </c>
      <c r="H378" s="12">
        <v>5.3926064954135577E-3</v>
      </c>
    </row>
    <row r="379" spans="1:8" ht="12.75">
      <c r="A379" s="24" t="s">
        <v>2630</v>
      </c>
      <c r="B379" s="14" t="s">
        <v>2636</v>
      </c>
      <c r="C379" s="792">
        <v>6.2666666666666666</v>
      </c>
      <c r="D379" s="18" t="s">
        <v>351</v>
      </c>
      <c r="E379" s="12">
        <v>1.2534820143884892E-2</v>
      </c>
      <c r="F379" s="12">
        <v>0.10214805755395684</v>
      </c>
      <c r="G379" s="12">
        <v>4.4435784172661873E-4</v>
      </c>
      <c r="H379" s="12">
        <v>5.3926064954135577E-3</v>
      </c>
    </row>
    <row r="380" spans="1:8" ht="12.75">
      <c r="A380" s="24" t="s">
        <v>2630</v>
      </c>
      <c r="B380" s="14" t="s">
        <v>2636</v>
      </c>
      <c r="C380" s="796">
        <v>39.019178677297347</v>
      </c>
      <c r="D380" s="456" t="s">
        <v>72</v>
      </c>
      <c r="E380" s="457">
        <v>0</v>
      </c>
      <c r="F380" s="457">
        <v>0</v>
      </c>
      <c r="G380" s="457">
        <v>0</v>
      </c>
      <c r="H380" s="457">
        <v>0</v>
      </c>
    </row>
    <row r="381" spans="1:8" ht="12.75">
      <c r="A381" s="24" t="s">
        <v>2630</v>
      </c>
      <c r="B381" s="14" t="s">
        <v>2636</v>
      </c>
      <c r="C381" s="792">
        <v>4.1505610937711257</v>
      </c>
      <c r="D381" s="18" t="s">
        <v>433</v>
      </c>
      <c r="E381" s="12">
        <v>3.0104466724907065E-4</v>
      </c>
      <c r="F381" s="12">
        <v>1.2500000000000001E-2</v>
      </c>
      <c r="G381" s="12">
        <v>5.1818181818181835E-4</v>
      </c>
      <c r="H381" s="12">
        <v>4.0084080366977777E-4</v>
      </c>
    </row>
    <row r="382" spans="1:8" ht="12.75">
      <c r="A382" s="24" t="s">
        <v>2630</v>
      </c>
      <c r="B382" s="14" t="s">
        <v>2636</v>
      </c>
      <c r="C382" s="792">
        <v>3.4567364290939921</v>
      </c>
      <c r="D382" s="18" t="s">
        <v>83</v>
      </c>
      <c r="E382" s="12">
        <v>0</v>
      </c>
      <c r="F382" s="12">
        <v>0</v>
      </c>
      <c r="G382" s="12">
        <v>0</v>
      </c>
      <c r="H382" s="12">
        <v>0</v>
      </c>
    </row>
    <row r="383" spans="1:8" ht="12.75">
      <c r="A383" s="24" t="s">
        <v>2630</v>
      </c>
      <c r="B383" s="14" t="s">
        <v>2636</v>
      </c>
      <c r="C383" s="792">
        <v>1.3461565265872186</v>
      </c>
      <c r="D383" s="18" t="s">
        <v>1099</v>
      </c>
      <c r="E383" s="12">
        <v>2.5055367220000002E-3</v>
      </c>
      <c r="F383" s="12">
        <v>3.8459841414181101E-2</v>
      </c>
      <c r="G383" s="12">
        <v>1.1035422343324251E-4</v>
      </c>
      <c r="H383" s="12">
        <v>8.109653861711444E-4</v>
      </c>
    </row>
    <row r="384" spans="1:8" ht="12.75">
      <c r="A384" s="24" t="s">
        <v>2630</v>
      </c>
      <c r="B384" s="14" t="s">
        <v>2636</v>
      </c>
      <c r="C384" s="792">
        <v>2.2839648073781933</v>
      </c>
      <c r="D384" s="18" t="s">
        <v>425</v>
      </c>
      <c r="E384" s="12">
        <v>3.8102374934982654E-3</v>
      </c>
      <c r="F384" s="12">
        <v>0.20470422547079484</v>
      </c>
      <c r="G384" s="12">
        <v>1.210810810810811E-4</v>
      </c>
      <c r="H384" s="12">
        <v>1.0002400855855065E-3</v>
      </c>
    </row>
    <row r="385" spans="1:8" ht="12.75">
      <c r="A385" s="24" t="s">
        <v>2630</v>
      </c>
      <c r="B385" s="14" t="s">
        <v>2636</v>
      </c>
      <c r="C385" s="792">
        <v>54.574599193320751</v>
      </c>
      <c r="D385" s="18" t="s">
        <v>360</v>
      </c>
      <c r="E385" s="12">
        <v>1.284515625E-2</v>
      </c>
      <c r="F385" s="12">
        <v>0.10467703125</v>
      </c>
      <c r="G385" s="12">
        <v>4.5535921875000006E-4</v>
      </c>
      <c r="H385" s="12">
        <v>7.1653738381629306E-3</v>
      </c>
    </row>
    <row r="386" spans="1:8" ht="12.75">
      <c r="A386" s="24" t="s">
        <v>2630</v>
      </c>
      <c r="B386" s="14" t="s">
        <v>2636</v>
      </c>
      <c r="C386" s="792" t="s">
        <v>1666</v>
      </c>
      <c r="D386" s="18" t="s">
        <v>1666</v>
      </c>
      <c r="E386" s="454" t="s">
        <v>1666</v>
      </c>
      <c r="F386" s="454" t="s">
        <v>1666</v>
      </c>
      <c r="G386" s="454" t="s">
        <v>1666</v>
      </c>
      <c r="H386" s="454" t="s">
        <v>1666</v>
      </c>
    </row>
    <row r="387" spans="1:8" ht="12.75">
      <c r="A387" s="24" t="s">
        <v>2630</v>
      </c>
      <c r="B387" s="14" t="s">
        <v>2636</v>
      </c>
      <c r="C387" s="792">
        <v>4.3192868719611024</v>
      </c>
      <c r="D387" s="18" t="s">
        <v>379</v>
      </c>
      <c r="E387" s="12">
        <v>1.4413766233766232E-2</v>
      </c>
      <c r="F387" s="12">
        <v>0.11750233766233766</v>
      </c>
      <c r="G387" s="12">
        <v>5.1116805194805187E-4</v>
      </c>
      <c r="H387" s="12">
        <v>7.1006085221503486E-3</v>
      </c>
    </row>
    <row r="388" spans="1:8" ht="12.75">
      <c r="A388" s="24" t="s">
        <v>2630</v>
      </c>
      <c r="B388" s="14" t="s">
        <v>2636</v>
      </c>
      <c r="C388" s="792">
        <v>4.2139384116693686</v>
      </c>
      <c r="D388" s="18" t="s">
        <v>215</v>
      </c>
      <c r="E388" s="12">
        <v>5.0851930036188197E-3</v>
      </c>
      <c r="F388" s="12">
        <v>5.9995417730640897E-2</v>
      </c>
      <c r="G388" s="12">
        <v>3.4699999999999998E-4</v>
      </c>
      <c r="H388" s="12">
        <v>2.9762429672480995E-4</v>
      </c>
    </row>
    <row r="389" spans="1:8" ht="12.75">
      <c r="A389" s="24" t="s">
        <v>2630</v>
      </c>
      <c r="B389" s="14" t="s">
        <v>2636</v>
      </c>
      <c r="C389" s="792">
        <v>4.2682976004630131</v>
      </c>
      <c r="D389" s="18" t="s">
        <v>121</v>
      </c>
      <c r="E389" s="12">
        <v>4.1127278199052132E-2</v>
      </c>
      <c r="F389" s="12">
        <v>0.12092157867298578</v>
      </c>
      <c r="G389" s="12">
        <v>8.0618486208530824E-4</v>
      </c>
      <c r="H389" s="12">
        <v>7.5857890995260661E-3</v>
      </c>
    </row>
    <row r="390" spans="1:8" ht="12.75">
      <c r="A390" s="24" t="s">
        <v>2630</v>
      </c>
      <c r="B390" s="14" t="s">
        <v>2636</v>
      </c>
      <c r="C390" s="792" t="s">
        <v>1666</v>
      </c>
      <c r="D390" s="18" t="s">
        <v>1666</v>
      </c>
      <c r="E390" s="454" t="s">
        <v>1666</v>
      </c>
      <c r="F390" s="454" t="s">
        <v>1666</v>
      </c>
      <c r="G390" s="454" t="s">
        <v>1666</v>
      </c>
      <c r="H390" s="454" t="s">
        <v>1666</v>
      </c>
    </row>
    <row r="391" spans="1:8" ht="12.75">
      <c r="A391" s="24" t="s">
        <v>2630</v>
      </c>
      <c r="B391" s="14" t="s">
        <v>2636</v>
      </c>
      <c r="C391" s="792">
        <v>2.7864590657552362</v>
      </c>
      <c r="D391" s="18" t="s">
        <v>376</v>
      </c>
      <c r="E391" s="12">
        <v>0.364568</v>
      </c>
      <c r="F391" s="12">
        <v>0.43737712500000003</v>
      </c>
      <c r="G391" s="12">
        <v>4.0849227500000009E-3</v>
      </c>
      <c r="H391" s="12">
        <v>2.2046244201837775E-2</v>
      </c>
    </row>
    <row r="392" spans="1:8" ht="12.75">
      <c r="A392" s="24" t="s">
        <v>2630</v>
      </c>
      <c r="B392" s="14" t="s">
        <v>2636</v>
      </c>
      <c r="C392" s="792" t="s">
        <v>1666</v>
      </c>
      <c r="D392" s="18" t="s">
        <v>1666</v>
      </c>
      <c r="E392" s="454" t="s">
        <v>1666</v>
      </c>
      <c r="F392" s="454" t="s">
        <v>1666</v>
      </c>
      <c r="G392" s="454" t="s">
        <v>1666</v>
      </c>
      <c r="H392" s="454" t="s">
        <v>1666</v>
      </c>
    </row>
    <row r="393" spans="1:8" ht="12.75">
      <c r="A393" s="24" t="s">
        <v>2630</v>
      </c>
      <c r="B393" s="14" t="s">
        <v>2636</v>
      </c>
      <c r="C393" s="792" t="s">
        <v>1666</v>
      </c>
      <c r="D393" s="18" t="s">
        <v>1666</v>
      </c>
      <c r="E393" s="454" t="s">
        <v>1666</v>
      </c>
      <c r="F393" s="454" t="s">
        <v>1666</v>
      </c>
      <c r="G393" s="454" t="s">
        <v>1666</v>
      </c>
      <c r="H393" s="454" t="s">
        <v>1666</v>
      </c>
    </row>
    <row r="394" spans="1:8" ht="12.75">
      <c r="A394" s="24" t="s">
        <v>2630</v>
      </c>
      <c r="B394" s="14" t="s">
        <v>2636</v>
      </c>
      <c r="C394" s="792" t="s">
        <v>1666</v>
      </c>
      <c r="D394" s="18" t="s">
        <v>1666</v>
      </c>
      <c r="E394" s="454" t="s">
        <v>1666</v>
      </c>
      <c r="F394" s="454" t="s">
        <v>1666</v>
      </c>
      <c r="G394" s="454" t="s">
        <v>1666</v>
      </c>
      <c r="H394" s="454" t="s">
        <v>1666</v>
      </c>
    </row>
    <row r="395" spans="1:8" ht="12.75">
      <c r="A395" s="24" t="s">
        <v>2630</v>
      </c>
      <c r="B395" s="14" t="s">
        <v>2636</v>
      </c>
      <c r="C395" s="792" t="s">
        <v>1666</v>
      </c>
      <c r="D395" s="18" t="s">
        <v>1666</v>
      </c>
      <c r="E395" s="454" t="s">
        <v>1666</v>
      </c>
      <c r="F395" s="454" t="s">
        <v>1666</v>
      </c>
      <c r="G395" s="454" t="s">
        <v>1666</v>
      </c>
      <c r="H395" s="454" t="s">
        <v>1666</v>
      </c>
    </row>
    <row r="396" spans="1:8" ht="12.75">
      <c r="A396" s="24" t="s">
        <v>2630</v>
      </c>
      <c r="B396" s="14" t="s">
        <v>2636</v>
      </c>
      <c r="C396" s="792" t="s">
        <v>1666</v>
      </c>
      <c r="D396" s="18" t="s">
        <v>1666</v>
      </c>
      <c r="E396" s="454" t="s">
        <v>1666</v>
      </c>
      <c r="F396" s="454" t="s">
        <v>1666</v>
      </c>
      <c r="G396" s="454" t="s">
        <v>1666</v>
      </c>
      <c r="H396" s="454" t="s">
        <v>1666</v>
      </c>
    </row>
    <row r="397" spans="1:8" ht="12.75">
      <c r="A397" s="24" t="s">
        <v>2630</v>
      </c>
      <c r="B397" s="14" t="s">
        <v>2636</v>
      </c>
      <c r="C397" s="792" t="s">
        <v>1666</v>
      </c>
      <c r="D397" s="18" t="s">
        <v>1666</v>
      </c>
      <c r="E397" s="454" t="s">
        <v>1666</v>
      </c>
      <c r="F397" s="454" t="s">
        <v>1666</v>
      </c>
      <c r="G397" s="454" t="s">
        <v>1666</v>
      </c>
      <c r="H397" s="454" t="s">
        <v>1666</v>
      </c>
    </row>
    <row r="398" spans="1:8" ht="12.75">
      <c r="A398" s="24" t="s">
        <v>2630</v>
      </c>
      <c r="B398" s="14" t="s">
        <v>2636</v>
      </c>
      <c r="C398" s="792" t="s">
        <v>1666</v>
      </c>
      <c r="D398" s="18" t="s">
        <v>1666</v>
      </c>
      <c r="E398" s="454" t="s">
        <v>1666</v>
      </c>
      <c r="F398" s="454" t="s">
        <v>1666</v>
      </c>
      <c r="G398" s="454" t="s">
        <v>1666</v>
      </c>
      <c r="H398" s="454" t="s">
        <v>1666</v>
      </c>
    </row>
    <row r="399" spans="1:8" ht="12.75">
      <c r="A399" s="24" t="s">
        <v>2630</v>
      </c>
      <c r="B399" s="14" t="s">
        <v>2636</v>
      </c>
      <c r="C399" s="792" t="s">
        <v>1666</v>
      </c>
      <c r="D399" s="18" t="s">
        <v>1666</v>
      </c>
      <c r="E399" s="454" t="s">
        <v>1666</v>
      </c>
      <c r="F399" s="454" t="s">
        <v>1666</v>
      </c>
      <c r="G399" s="454" t="s">
        <v>1666</v>
      </c>
      <c r="H399" s="454" t="s">
        <v>1666</v>
      </c>
    </row>
    <row r="400" spans="1:8" ht="12.75">
      <c r="A400" s="24" t="s">
        <v>2630</v>
      </c>
      <c r="B400" s="14" t="s">
        <v>2636</v>
      </c>
      <c r="C400" s="792" t="s">
        <v>1666</v>
      </c>
      <c r="D400" s="18" t="s">
        <v>1666</v>
      </c>
      <c r="E400" s="454" t="s">
        <v>1666</v>
      </c>
      <c r="F400" s="454" t="s">
        <v>1666</v>
      </c>
      <c r="G400" s="454" t="s">
        <v>1666</v>
      </c>
      <c r="H400" s="454" t="s">
        <v>1666</v>
      </c>
    </row>
    <row r="401" spans="1:8" ht="12.75">
      <c r="A401" s="24" t="s">
        <v>2630</v>
      </c>
      <c r="B401" s="14" t="s">
        <v>2636</v>
      </c>
      <c r="C401" s="792" t="s">
        <v>1666</v>
      </c>
      <c r="D401" s="18" t="s">
        <v>1666</v>
      </c>
      <c r="E401" s="454" t="s">
        <v>1666</v>
      </c>
      <c r="F401" s="454" t="s">
        <v>1666</v>
      </c>
      <c r="G401" s="454" t="s">
        <v>1666</v>
      </c>
      <c r="H401" s="454" t="s">
        <v>1666</v>
      </c>
    </row>
    <row r="402" spans="1:8" ht="12.75">
      <c r="A402" s="24" t="s">
        <v>2630</v>
      </c>
      <c r="B402" s="14" t="s">
        <v>2636</v>
      </c>
      <c r="C402" s="792" t="s">
        <v>1666</v>
      </c>
      <c r="D402" s="18" t="s">
        <v>1666</v>
      </c>
      <c r="E402" s="454" t="s">
        <v>1666</v>
      </c>
      <c r="F402" s="454" t="s">
        <v>1666</v>
      </c>
      <c r="G402" s="454" t="s">
        <v>1666</v>
      </c>
      <c r="H402" s="454" t="s">
        <v>1666</v>
      </c>
    </row>
    <row r="403" spans="1:8" ht="12.75">
      <c r="A403" s="24" t="s">
        <v>2630</v>
      </c>
      <c r="B403" s="14" t="s">
        <v>2636</v>
      </c>
      <c r="C403" s="792" t="s">
        <v>1666</v>
      </c>
      <c r="D403" s="18" t="s">
        <v>1666</v>
      </c>
      <c r="E403" s="454" t="s">
        <v>1666</v>
      </c>
      <c r="F403" s="454" t="s">
        <v>1666</v>
      </c>
      <c r="G403" s="454" t="s">
        <v>1666</v>
      </c>
      <c r="H403" s="454" t="s">
        <v>1666</v>
      </c>
    </row>
    <row r="404" spans="1:8" ht="12.75">
      <c r="A404" s="24" t="s">
        <v>2630</v>
      </c>
      <c r="B404" s="14" t="s">
        <v>2636</v>
      </c>
      <c r="C404" s="792" t="s">
        <v>1666</v>
      </c>
      <c r="D404" s="18" t="s">
        <v>1666</v>
      </c>
      <c r="E404" s="454" t="s">
        <v>1666</v>
      </c>
      <c r="F404" s="454" t="s">
        <v>1666</v>
      </c>
      <c r="G404" s="454" t="s">
        <v>1666</v>
      </c>
      <c r="H404" s="454" t="s">
        <v>1666</v>
      </c>
    </row>
    <row r="405" spans="1:8" ht="12.75">
      <c r="A405" s="24" t="s">
        <v>2630</v>
      </c>
      <c r="B405" s="14" t="s">
        <v>2636</v>
      </c>
      <c r="C405" s="792" t="s">
        <v>1666</v>
      </c>
      <c r="D405" s="18" t="s">
        <v>1666</v>
      </c>
      <c r="E405" s="454" t="s">
        <v>1666</v>
      </c>
      <c r="F405" s="454" t="s">
        <v>1666</v>
      </c>
      <c r="G405" s="454" t="s">
        <v>1666</v>
      </c>
      <c r="H405" s="454" t="s">
        <v>1666</v>
      </c>
    </row>
    <row r="406" spans="1:8" ht="12.75">
      <c r="A406" s="24" t="s">
        <v>2630</v>
      </c>
      <c r="B406" s="14" t="s">
        <v>2636</v>
      </c>
      <c r="C406" s="792" t="s">
        <v>1666</v>
      </c>
      <c r="D406" s="18" t="s">
        <v>1666</v>
      </c>
      <c r="E406" s="454" t="s">
        <v>1666</v>
      </c>
      <c r="F406" s="454" t="s">
        <v>1666</v>
      </c>
      <c r="G406" s="454" t="s">
        <v>1666</v>
      </c>
      <c r="H406" s="454" t="s">
        <v>1666</v>
      </c>
    </row>
    <row r="407" spans="1:8" ht="12.75">
      <c r="A407" s="24" t="s">
        <v>2630</v>
      </c>
      <c r="B407" s="14" t="s">
        <v>2636</v>
      </c>
      <c r="C407" s="792" t="s">
        <v>1666</v>
      </c>
      <c r="D407" s="18" t="s">
        <v>1666</v>
      </c>
      <c r="E407" s="454" t="s">
        <v>1666</v>
      </c>
      <c r="F407" s="454" t="s">
        <v>1666</v>
      </c>
      <c r="G407" s="454" t="s">
        <v>1666</v>
      </c>
      <c r="H407" s="454" t="s">
        <v>1666</v>
      </c>
    </row>
    <row r="408" spans="1:8" ht="12.75">
      <c r="A408" s="24" t="s">
        <v>2630</v>
      </c>
      <c r="B408" s="14" t="s">
        <v>2636</v>
      </c>
      <c r="C408" s="792" t="s">
        <v>1666</v>
      </c>
      <c r="D408" s="18" t="s">
        <v>1666</v>
      </c>
      <c r="E408" s="454" t="s">
        <v>1666</v>
      </c>
      <c r="F408" s="454" t="s">
        <v>1666</v>
      </c>
      <c r="G408" s="454" t="s">
        <v>1666</v>
      </c>
      <c r="H408" s="454" t="s">
        <v>1666</v>
      </c>
    </row>
    <row r="409" spans="1:8" ht="12.75">
      <c r="A409" s="24" t="s">
        <v>2630</v>
      </c>
      <c r="B409" s="14" t="s">
        <v>2636</v>
      </c>
      <c r="C409" s="792" t="s">
        <v>1666</v>
      </c>
      <c r="D409" s="18" t="s">
        <v>1666</v>
      </c>
      <c r="E409" s="454" t="s">
        <v>1666</v>
      </c>
      <c r="F409" s="454" t="s">
        <v>1666</v>
      </c>
      <c r="G409" s="454" t="s">
        <v>1666</v>
      </c>
      <c r="H409" s="454" t="s">
        <v>1666</v>
      </c>
    </row>
    <row r="410" spans="1:8" ht="12.75">
      <c r="A410" s="24" t="s">
        <v>2630</v>
      </c>
      <c r="B410" s="14" t="s">
        <v>2636</v>
      </c>
      <c r="C410" s="792" t="s">
        <v>1666</v>
      </c>
      <c r="D410" s="18" t="s">
        <v>1666</v>
      </c>
      <c r="E410" s="454" t="s">
        <v>1666</v>
      </c>
      <c r="F410" s="454" t="s">
        <v>1666</v>
      </c>
      <c r="G410" s="454" t="s">
        <v>1666</v>
      </c>
      <c r="H410" s="454" t="s">
        <v>1666</v>
      </c>
    </row>
    <row r="411" spans="1:8" ht="12.75">
      <c r="A411" s="24" t="s">
        <v>2630</v>
      </c>
      <c r="B411" s="14" t="s">
        <v>2636</v>
      </c>
      <c r="C411" s="792" t="s">
        <v>1666</v>
      </c>
      <c r="D411" s="18" t="s">
        <v>1666</v>
      </c>
      <c r="E411" s="454" t="s">
        <v>1666</v>
      </c>
      <c r="F411" s="454" t="s">
        <v>1666</v>
      </c>
      <c r="G411" s="454" t="s">
        <v>1666</v>
      </c>
      <c r="H411" s="454" t="s">
        <v>1666</v>
      </c>
    </row>
    <row r="412" spans="1:8" ht="12.75">
      <c r="A412" s="24" t="s">
        <v>2630</v>
      </c>
      <c r="B412" s="14" t="s">
        <v>2636</v>
      </c>
      <c r="C412" s="792" t="s">
        <v>1666</v>
      </c>
      <c r="D412" s="18" t="s">
        <v>1666</v>
      </c>
      <c r="E412" s="454" t="s">
        <v>1666</v>
      </c>
      <c r="F412" s="454" t="s">
        <v>1666</v>
      </c>
      <c r="G412" s="454" t="s">
        <v>1666</v>
      </c>
      <c r="H412" s="454" t="s">
        <v>1666</v>
      </c>
    </row>
    <row r="413" spans="1:8" ht="12.75">
      <c r="A413" s="24" t="s">
        <v>2630</v>
      </c>
      <c r="B413" s="14" t="s">
        <v>2636</v>
      </c>
      <c r="C413" s="792" t="s">
        <v>1666</v>
      </c>
      <c r="D413" s="18" t="s">
        <v>1666</v>
      </c>
      <c r="E413" s="454" t="s">
        <v>1666</v>
      </c>
      <c r="F413" s="454" t="s">
        <v>1666</v>
      </c>
      <c r="G413" s="454" t="s">
        <v>1666</v>
      </c>
      <c r="H413" s="454" t="s">
        <v>1666</v>
      </c>
    </row>
    <row r="414" spans="1:8" ht="12.75">
      <c r="A414" s="24" t="s">
        <v>2630</v>
      </c>
      <c r="B414" s="14" t="s">
        <v>2636</v>
      </c>
      <c r="C414" s="792" t="s">
        <v>1666</v>
      </c>
      <c r="D414" s="18" t="s">
        <v>1666</v>
      </c>
      <c r="E414" s="454" t="s">
        <v>1666</v>
      </c>
      <c r="F414" s="454" t="s">
        <v>1666</v>
      </c>
      <c r="G414" s="454" t="s">
        <v>1666</v>
      </c>
      <c r="H414" s="454" t="s">
        <v>1666</v>
      </c>
    </row>
    <row r="415" spans="1:8" ht="12.75">
      <c r="A415" s="24" t="s">
        <v>2630</v>
      </c>
      <c r="B415" s="14" t="s">
        <v>2636</v>
      </c>
      <c r="C415" s="792" t="s">
        <v>1666</v>
      </c>
      <c r="D415" s="18" t="s">
        <v>1666</v>
      </c>
      <c r="E415" s="454" t="s">
        <v>1666</v>
      </c>
      <c r="F415" s="454" t="s">
        <v>1666</v>
      </c>
      <c r="G415" s="454" t="s">
        <v>1666</v>
      </c>
      <c r="H415" s="454" t="s">
        <v>1666</v>
      </c>
    </row>
    <row r="416" spans="1:8" ht="12.75">
      <c r="A416" s="24" t="s">
        <v>2630</v>
      </c>
      <c r="B416" s="14" t="s">
        <v>2636</v>
      </c>
      <c r="C416" s="792" t="s">
        <v>1666</v>
      </c>
      <c r="D416" s="18" t="s">
        <v>1666</v>
      </c>
      <c r="E416" s="454" t="s">
        <v>1666</v>
      </c>
      <c r="F416" s="454" t="s">
        <v>1666</v>
      </c>
      <c r="G416" s="454" t="s">
        <v>1666</v>
      </c>
      <c r="H416" s="454" t="s">
        <v>1666</v>
      </c>
    </row>
    <row r="417" spans="1:8" ht="12.75">
      <c r="A417" s="24" t="s">
        <v>2630</v>
      </c>
      <c r="B417" s="14" t="s">
        <v>2636</v>
      </c>
      <c r="C417" s="792" t="s">
        <v>1666</v>
      </c>
      <c r="D417" s="18" t="s">
        <v>1666</v>
      </c>
      <c r="E417" s="454" t="s">
        <v>1666</v>
      </c>
      <c r="F417" s="454" t="s">
        <v>1666</v>
      </c>
      <c r="G417" s="454" t="s">
        <v>1666</v>
      </c>
      <c r="H417" s="454" t="s">
        <v>1666</v>
      </c>
    </row>
    <row r="418" spans="1:8" ht="12.75">
      <c r="A418" s="24" t="s">
        <v>2630</v>
      </c>
      <c r="B418" s="14" t="s">
        <v>2636</v>
      </c>
      <c r="C418" s="792" t="s">
        <v>1666</v>
      </c>
      <c r="D418" s="18" t="s">
        <v>1666</v>
      </c>
      <c r="E418" s="454" t="s">
        <v>1666</v>
      </c>
      <c r="F418" s="454" t="s">
        <v>1666</v>
      </c>
      <c r="G418" s="454" t="s">
        <v>1666</v>
      </c>
      <c r="H418" s="454" t="s">
        <v>1666</v>
      </c>
    </row>
    <row r="419" spans="1:8" ht="12.75">
      <c r="A419" s="794" t="s">
        <v>2630</v>
      </c>
      <c r="B419" s="617" t="s">
        <v>2636</v>
      </c>
      <c r="C419" s="455" t="s">
        <v>1666</v>
      </c>
      <c r="D419" s="793" t="s">
        <v>1666</v>
      </c>
      <c r="E419" s="808" t="s">
        <v>1666</v>
      </c>
      <c r="F419" s="808" t="s">
        <v>1666</v>
      </c>
      <c r="G419" s="808" t="s">
        <v>1666</v>
      </c>
      <c r="H419" s="808" t="s">
        <v>1666</v>
      </c>
    </row>
    <row r="420" spans="1:8" ht="12.75">
      <c r="A420" s="24" t="s">
        <v>2630</v>
      </c>
      <c r="B420" s="14" t="s">
        <v>2638</v>
      </c>
      <c r="C420" s="792">
        <v>20.842105263157897</v>
      </c>
      <c r="D420" s="18" t="s">
        <v>2639</v>
      </c>
      <c r="E420" s="12">
        <v>1.2534820143884892E-2</v>
      </c>
      <c r="F420" s="12">
        <v>0.10214805755395684</v>
      </c>
      <c r="G420" s="12">
        <v>4.4435784172661873E-4</v>
      </c>
      <c r="H420" s="12">
        <v>5.3926064954135577E-3</v>
      </c>
    </row>
    <row r="421" spans="1:8" ht="12.75">
      <c r="A421" s="24" t="s">
        <v>2630</v>
      </c>
      <c r="B421" s="14" t="s">
        <v>2638</v>
      </c>
      <c r="C421" s="792">
        <v>0.75187969924812048</v>
      </c>
      <c r="D421" s="18" t="s">
        <v>1099</v>
      </c>
      <c r="E421" s="12">
        <v>2.5055367220000002E-3</v>
      </c>
      <c r="F421" s="12">
        <v>3.8459841414181101E-2</v>
      </c>
      <c r="G421" s="12">
        <v>1.1035422343324251E-4</v>
      </c>
      <c r="H421" s="12">
        <v>8.109653861711444E-4</v>
      </c>
    </row>
    <row r="422" spans="1:8" ht="12.75">
      <c r="A422" s="24" t="s">
        <v>2630</v>
      </c>
      <c r="B422" s="14" t="s">
        <v>2638</v>
      </c>
      <c r="C422" s="792">
        <v>0.406015037593985</v>
      </c>
      <c r="D422" s="18" t="s">
        <v>83</v>
      </c>
      <c r="E422" s="12">
        <v>0</v>
      </c>
      <c r="F422" s="12">
        <v>0</v>
      </c>
      <c r="G422" s="12">
        <v>0</v>
      </c>
      <c r="H422" s="12">
        <v>0</v>
      </c>
    </row>
    <row r="423" spans="1:8" ht="12.75">
      <c r="A423" s="24" t="s">
        <v>2630</v>
      </c>
      <c r="B423" s="14" t="s">
        <v>2638</v>
      </c>
      <c r="C423" s="792" t="s">
        <v>1666</v>
      </c>
      <c r="D423" s="18" t="s">
        <v>1666</v>
      </c>
      <c r="E423" s="454" t="s">
        <v>1666</v>
      </c>
      <c r="F423" s="454" t="s">
        <v>1666</v>
      </c>
      <c r="G423" s="454" t="s">
        <v>1666</v>
      </c>
      <c r="H423" s="454" t="s">
        <v>1666</v>
      </c>
    </row>
    <row r="424" spans="1:8" ht="12.75">
      <c r="A424" s="794" t="s">
        <v>2630</v>
      </c>
      <c r="B424" s="617" t="s">
        <v>2638</v>
      </c>
      <c r="C424" s="455">
        <v>78</v>
      </c>
      <c r="D424" s="793" t="s">
        <v>360</v>
      </c>
      <c r="E424" s="635">
        <v>1.284515625E-2</v>
      </c>
      <c r="F424" s="635">
        <v>0.10467703125</v>
      </c>
      <c r="G424" s="635">
        <v>4.5535921875000006E-4</v>
      </c>
      <c r="H424" s="635">
        <v>7.1653738381629306E-3</v>
      </c>
    </row>
    <row r="425" spans="1:8" ht="12.75">
      <c r="A425" s="13" t="s">
        <v>2630</v>
      </c>
      <c r="B425" s="14" t="s">
        <v>2640</v>
      </c>
      <c r="C425" s="792">
        <v>48</v>
      </c>
      <c r="D425" s="18" t="s">
        <v>2641</v>
      </c>
      <c r="E425" s="12">
        <v>1.2534820143884892E-2</v>
      </c>
      <c r="F425" s="12">
        <v>0.10214805755395684</v>
      </c>
      <c r="G425" s="12">
        <v>4.4435784172661873E-4</v>
      </c>
      <c r="H425" s="12">
        <v>5.3926064954135577E-3</v>
      </c>
    </row>
    <row r="426" spans="1:8" ht="12.75">
      <c r="A426" s="13" t="s">
        <v>2630</v>
      </c>
      <c r="B426" s="14" t="s">
        <v>2640</v>
      </c>
      <c r="C426" s="792">
        <v>52</v>
      </c>
      <c r="D426" s="18" t="s">
        <v>360</v>
      </c>
      <c r="E426" s="12">
        <v>1.284515625E-2</v>
      </c>
      <c r="F426" s="12">
        <v>0.10467703125</v>
      </c>
      <c r="G426" s="12">
        <v>4.5535921875000006E-4</v>
      </c>
      <c r="H426" s="12">
        <v>7.1653738381629306E-3</v>
      </c>
    </row>
    <row r="427" spans="1:8" ht="12.75">
      <c r="A427" s="799" t="s">
        <v>2630</v>
      </c>
      <c r="B427" s="617" t="s">
        <v>2640</v>
      </c>
      <c r="C427" s="455" t="s">
        <v>1666</v>
      </c>
      <c r="D427" s="793" t="s">
        <v>1666</v>
      </c>
      <c r="E427" s="808" t="s">
        <v>1666</v>
      </c>
      <c r="F427" s="808" t="s">
        <v>1666</v>
      </c>
      <c r="G427" s="808" t="s">
        <v>1666</v>
      </c>
      <c r="H427" s="808" t="s">
        <v>1666</v>
      </c>
    </row>
    <row r="428" spans="1:8" ht="12.75">
      <c r="A428" s="13" t="s">
        <v>2630</v>
      </c>
      <c r="B428" s="14" t="s">
        <v>2642</v>
      </c>
      <c r="C428" s="792">
        <v>73</v>
      </c>
      <c r="D428" s="18" t="s">
        <v>353</v>
      </c>
      <c r="E428" s="12">
        <v>1.2534820143884892E-2</v>
      </c>
      <c r="F428" s="12">
        <v>0.10214805755395684</v>
      </c>
      <c r="G428" s="12">
        <v>4.4435784172661873E-4</v>
      </c>
      <c r="H428" s="12">
        <v>5.3926064954135577E-3</v>
      </c>
    </row>
    <row r="429" spans="1:8" ht="12.75">
      <c r="A429" s="799" t="s">
        <v>2630</v>
      </c>
      <c r="B429" s="617" t="s">
        <v>2642</v>
      </c>
      <c r="C429" s="455">
        <v>27</v>
      </c>
      <c r="D429" s="793" t="s">
        <v>360</v>
      </c>
      <c r="E429" s="635">
        <v>1.284515625E-2</v>
      </c>
      <c r="F429" s="635">
        <v>0.10467703125</v>
      </c>
      <c r="G429" s="635">
        <v>4.5535921875000006E-4</v>
      </c>
      <c r="H429" s="635">
        <v>7.1653738381629306E-3</v>
      </c>
    </row>
    <row r="430" spans="1:8" ht="12.75">
      <c r="A430" s="799" t="s">
        <v>2630</v>
      </c>
      <c r="B430" s="617" t="s">
        <v>2643</v>
      </c>
      <c r="C430" s="455">
        <v>100</v>
      </c>
      <c r="D430" s="793" t="s">
        <v>379</v>
      </c>
      <c r="E430" s="635">
        <v>1.4413766233766232E-2</v>
      </c>
      <c r="F430" s="635">
        <v>0.11750233766233766</v>
      </c>
      <c r="G430" s="635">
        <v>5.1116805194805187E-4</v>
      </c>
      <c r="H430" s="635">
        <v>7.1006085221503486E-3</v>
      </c>
    </row>
    <row r="431" spans="1:8" ht="12.75">
      <c r="A431" s="799" t="s">
        <v>2644</v>
      </c>
      <c r="B431" s="617" t="s">
        <v>2645</v>
      </c>
      <c r="C431" s="455">
        <v>100</v>
      </c>
      <c r="D431" s="793" t="s">
        <v>2646</v>
      </c>
      <c r="E431" s="635">
        <v>0.35098207049486463</v>
      </c>
      <c r="F431" s="635">
        <v>0.49179687675070033</v>
      </c>
      <c r="G431" s="635">
        <v>4.1794555999066299E-3</v>
      </c>
      <c r="H431" s="635">
        <v>1.8017812838346036E-2</v>
      </c>
    </row>
    <row r="432" spans="1:8" ht="12.75">
      <c r="A432" s="794" t="s">
        <v>2644</v>
      </c>
      <c r="B432" s="617" t="s">
        <v>2647</v>
      </c>
      <c r="C432" s="455">
        <v>100</v>
      </c>
      <c r="D432" s="793" t="s">
        <v>2648</v>
      </c>
      <c r="E432" s="635">
        <v>0.35098207049486463</v>
      </c>
      <c r="F432" s="635">
        <v>0.49179687675070033</v>
      </c>
      <c r="G432" s="635">
        <v>4.1794555999066299E-3</v>
      </c>
      <c r="H432" s="635">
        <v>1.8017812838346036E-2</v>
      </c>
    </row>
    <row r="433" spans="1:8" ht="12.75">
      <c r="A433" s="13" t="s">
        <v>2644</v>
      </c>
      <c r="B433" s="14" t="s">
        <v>2649</v>
      </c>
      <c r="C433" s="792">
        <v>56.999999999999993</v>
      </c>
      <c r="D433" s="18" t="s">
        <v>2650</v>
      </c>
      <c r="E433" s="12">
        <v>0.53951072463768124</v>
      </c>
      <c r="F433" s="12">
        <v>0.64725826086956539</v>
      </c>
      <c r="G433" s="12">
        <v>6.0451263768115954E-3</v>
      </c>
      <c r="H433" s="12">
        <v>2.5560862842710468E-2</v>
      </c>
    </row>
    <row r="434" spans="1:8" ht="12.75">
      <c r="A434" s="799" t="s">
        <v>2644</v>
      </c>
      <c r="B434" s="617" t="s">
        <v>2649</v>
      </c>
      <c r="C434" s="455">
        <v>43</v>
      </c>
      <c r="D434" s="793" t="s">
        <v>2651</v>
      </c>
      <c r="E434" s="635">
        <v>0.68162031746031748</v>
      </c>
      <c r="F434" s="635">
        <v>0.81774904761904776</v>
      </c>
      <c r="G434" s="635">
        <v>7.6374403174603181E-3</v>
      </c>
      <c r="H434" s="635">
        <v>2.7995230732492413E-2</v>
      </c>
    </row>
    <row r="435" spans="1:8" ht="12.75">
      <c r="A435" s="13" t="s">
        <v>2644</v>
      </c>
      <c r="B435" s="14" t="s">
        <v>2652</v>
      </c>
      <c r="C435" s="792">
        <v>55</v>
      </c>
      <c r="D435" s="18" t="s">
        <v>376</v>
      </c>
      <c r="E435" s="12">
        <v>0.364568</v>
      </c>
      <c r="F435" s="12">
        <v>0.43737712500000003</v>
      </c>
      <c r="G435" s="12">
        <v>4.0849227500000009E-3</v>
      </c>
      <c r="H435" s="12">
        <v>2.2046244201837775E-2</v>
      </c>
    </row>
    <row r="436" spans="1:8" ht="12.75">
      <c r="A436" s="13" t="s">
        <v>2644</v>
      </c>
      <c r="B436" s="14" t="s">
        <v>2652</v>
      </c>
      <c r="C436" s="792" t="s">
        <v>1666</v>
      </c>
      <c r="D436" s="18" t="s">
        <v>1666</v>
      </c>
      <c r="E436" s="454" t="s">
        <v>1666</v>
      </c>
      <c r="F436" s="454" t="s">
        <v>1666</v>
      </c>
      <c r="G436" s="454" t="s">
        <v>1666</v>
      </c>
      <c r="H436" s="454" t="s">
        <v>1666</v>
      </c>
    </row>
    <row r="437" spans="1:8" ht="12.75">
      <c r="A437" s="799" t="s">
        <v>2644</v>
      </c>
      <c r="B437" s="617" t="s">
        <v>2652</v>
      </c>
      <c r="C437" s="455">
        <v>45</v>
      </c>
      <c r="D437" s="793" t="s">
        <v>379</v>
      </c>
      <c r="E437" s="635">
        <v>1.4413766233766232E-2</v>
      </c>
      <c r="F437" s="635">
        <v>0.11750233766233766</v>
      </c>
      <c r="G437" s="635">
        <v>5.1116805194805187E-4</v>
      </c>
      <c r="H437" s="635">
        <v>7.1006085221503486E-3</v>
      </c>
    </row>
    <row r="438" spans="1:8" ht="12.75">
      <c r="A438" s="13" t="s">
        <v>2644</v>
      </c>
      <c r="B438" s="14" t="s">
        <v>2653</v>
      </c>
      <c r="C438" s="792">
        <v>100</v>
      </c>
      <c r="D438" s="18" t="s">
        <v>379</v>
      </c>
      <c r="E438" s="12">
        <v>1.4413766233766232E-2</v>
      </c>
      <c r="F438" s="12">
        <v>0.11750233766233766</v>
      </c>
      <c r="G438" s="12">
        <v>5.1116805194805187E-4</v>
      </c>
      <c r="H438" s="12">
        <v>7.1006085221503486E-3</v>
      </c>
    </row>
    <row r="439" spans="1:8" ht="12.75">
      <c r="A439" s="799" t="s">
        <v>2644</v>
      </c>
      <c r="B439" s="617" t="s">
        <v>2653</v>
      </c>
      <c r="C439" s="455" t="s">
        <v>1666</v>
      </c>
      <c r="D439" s="793" t="s">
        <v>377</v>
      </c>
      <c r="E439" s="635">
        <v>2.0601666673259203E-2</v>
      </c>
      <c r="F439" s="635">
        <v>0.16794666672040964</v>
      </c>
      <c r="G439" s="635">
        <v>7.3061500023379692E-4</v>
      </c>
      <c r="H439" s="635">
        <v>5.6952797539639157E-3</v>
      </c>
    </row>
    <row r="440" spans="1:8" ht="12.75">
      <c r="A440" s="13" t="s">
        <v>2644</v>
      </c>
      <c r="B440" s="14" t="s">
        <v>2654</v>
      </c>
      <c r="C440" s="792">
        <v>100</v>
      </c>
      <c r="D440" s="18" t="s">
        <v>376</v>
      </c>
      <c r="E440" s="12">
        <v>0.364568</v>
      </c>
      <c r="F440" s="12">
        <v>0.43737712500000003</v>
      </c>
      <c r="G440" s="12">
        <v>4.0849227500000009E-3</v>
      </c>
      <c r="H440" s="12">
        <v>2.2046244201837775E-2</v>
      </c>
    </row>
    <row r="441" spans="1:8" ht="12.75">
      <c r="A441" s="799" t="s">
        <v>2644</v>
      </c>
      <c r="B441" s="617" t="s">
        <v>2654</v>
      </c>
      <c r="C441" s="455" t="s">
        <v>1666</v>
      </c>
      <c r="D441" s="793" t="s">
        <v>1666</v>
      </c>
      <c r="E441" s="808" t="s">
        <v>1666</v>
      </c>
      <c r="F441" s="808" t="s">
        <v>1666</v>
      </c>
      <c r="G441" s="808" t="s">
        <v>1666</v>
      </c>
      <c r="H441" s="808" t="s">
        <v>1666</v>
      </c>
    </row>
    <row r="442" spans="1:8" ht="12.75">
      <c r="A442" s="799" t="s">
        <v>2644</v>
      </c>
      <c r="B442" s="617" t="s">
        <v>2655</v>
      </c>
      <c r="C442" s="455">
        <v>100</v>
      </c>
      <c r="D442" s="793" t="s">
        <v>2656</v>
      </c>
      <c r="E442" s="635">
        <v>0</v>
      </c>
      <c r="F442" s="635">
        <v>0</v>
      </c>
      <c r="G442" s="635">
        <v>2.2323326446008546E-4</v>
      </c>
      <c r="H442" s="635">
        <v>4.0785551773399884E-3</v>
      </c>
    </row>
    <row r="443" spans="1:8" ht="12.75">
      <c r="A443" s="24" t="s">
        <v>2644</v>
      </c>
      <c r="B443" s="14" t="s">
        <v>2657</v>
      </c>
      <c r="C443" s="792">
        <v>44.814340588988486</v>
      </c>
      <c r="D443" s="18" t="s">
        <v>397</v>
      </c>
      <c r="E443" s="12">
        <v>0</v>
      </c>
      <c r="F443" s="12">
        <v>0</v>
      </c>
      <c r="G443" s="12">
        <v>0</v>
      </c>
      <c r="H443" s="12">
        <v>3.32666666666667E-3</v>
      </c>
    </row>
    <row r="444" spans="1:8" ht="12.75">
      <c r="A444" s="24" t="s">
        <v>2644</v>
      </c>
      <c r="B444" s="14" t="s">
        <v>2657</v>
      </c>
      <c r="C444" s="792">
        <v>17.925736235595394</v>
      </c>
      <c r="D444" s="18" t="s">
        <v>2658</v>
      </c>
      <c r="E444" s="12">
        <v>5.0851930036188197E-3</v>
      </c>
      <c r="F444" s="12">
        <v>5.9995417730640897E-2</v>
      </c>
      <c r="G444" s="12">
        <v>3.4699999999999998E-4</v>
      </c>
      <c r="H444" s="12">
        <v>2.9762429672480995E-4</v>
      </c>
    </row>
    <row r="445" spans="1:8" ht="12.75">
      <c r="A445" s="24" t="s">
        <v>2644</v>
      </c>
      <c r="B445" s="14" t="s">
        <v>2657</v>
      </c>
      <c r="C445" s="792">
        <v>6.0819462227912942</v>
      </c>
      <c r="D445" s="18" t="s">
        <v>324</v>
      </c>
      <c r="E445" s="12">
        <v>1.0652903141570055E-3</v>
      </c>
      <c r="F445" s="12">
        <v>1.7273631840796021E-2</v>
      </c>
      <c r="G445" s="12">
        <v>1.3582399999999999E-4</v>
      </c>
      <c r="H445" s="12">
        <v>2.14E-3</v>
      </c>
    </row>
    <row r="446" spans="1:8" ht="12.75">
      <c r="A446" s="24" t="s">
        <v>2644</v>
      </c>
      <c r="B446" s="14" t="s">
        <v>2657</v>
      </c>
      <c r="C446" s="792">
        <v>4.4814340588988486</v>
      </c>
      <c r="D446" s="18" t="s">
        <v>340</v>
      </c>
      <c r="E446" s="12">
        <v>2.1708241661196198E-2</v>
      </c>
      <c r="F446" s="12">
        <v>0.36572952458380198</v>
      </c>
      <c r="G446" s="12">
        <v>4.6350652173913045E-4</v>
      </c>
      <c r="H446" s="12">
        <v>1.6975608035415088E-3</v>
      </c>
    </row>
    <row r="447" spans="1:8" ht="12.75">
      <c r="A447" s="24" t="s">
        <v>2644</v>
      </c>
      <c r="B447" s="14" t="s">
        <v>2657</v>
      </c>
      <c r="C447" s="792">
        <v>4.4814340588988486</v>
      </c>
      <c r="D447" s="18" t="s">
        <v>2659</v>
      </c>
      <c r="E447" s="12">
        <v>2.9691872042618299E-2</v>
      </c>
      <c r="F447" s="12">
        <v>7.5368545517799299E-2</v>
      </c>
      <c r="G447" s="12">
        <v>2.9014018691588786E-4</v>
      </c>
      <c r="H447" s="12">
        <v>1.4770983615231311E-3</v>
      </c>
    </row>
    <row r="448" spans="1:8" ht="12.75">
      <c r="A448" s="24" t="s">
        <v>2644</v>
      </c>
      <c r="B448" s="14" t="s">
        <v>2657</v>
      </c>
      <c r="C448" s="792">
        <v>1.2804097311139566</v>
      </c>
      <c r="D448" s="18" t="s">
        <v>254</v>
      </c>
      <c r="E448" s="23">
        <v>8.3620838220657844E-5</v>
      </c>
      <c r="F448" s="23">
        <v>5.6674497841202156E-3</v>
      </c>
      <c r="G448" s="12">
        <v>1.7050000000000001E-5</v>
      </c>
      <c r="H448" s="23">
        <v>7.6059542496340328E-5</v>
      </c>
    </row>
    <row r="449" spans="1:8" ht="12.75">
      <c r="A449" s="24" t="s">
        <v>2644</v>
      </c>
      <c r="B449" s="14" t="s">
        <v>2657</v>
      </c>
      <c r="C449" s="810">
        <v>18.73048907388138</v>
      </c>
      <c r="D449" s="456" t="s">
        <v>72</v>
      </c>
      <c r="E449" s="457">
        <v>0</v>
      </c>
      <c r="F449" s="457">
        <v>0</v>
      </c>
      <c r="G449" s="457">
        <v>0</v>
      </c>
      <c r="H449" s="457">
        <v>0</v>
      </c>
    </row>
    <row r="450" spans="1:8" ht="12.75">
      <c r="A450" s="24" t="s">
        <v>2644</v>
      </c>
      <c r="B450" s="14" t="s">
        <v>2657</v>
      </c>
      <c r="C450" s="792">
        <v>14.21254801536492</v>
      </c>
      <c r="D450" s="18" t="s">
        <v>2660</v>
      </c>
      <c r="E450" s="12">
        <v>3.1468479298981202E-3</v>
      </c>
      <c r="F450" s="12">
        <v>0.16906375764329037</v>
      </c>
      <c r="G450" s="12">
        <v>9.759036144578314E-5</v>
      </c>
      <c r="H450" s="12">
        <v>7.171669800597832E-4</v>
      </c>
    </row>
    <row r="451" spans="1:8" ht="12.75">
      <c r="A451" s="24" t="s">
        <v>2644</v>
      </c>
      <c r="B451" s="14" t="s">
        <v>2657</v>
      </c>
      <c r="C451" s="792">
        <v>2.8809218950064022</v>
      </c>
      <c r="D451" s="18" t="s">
        <v>433</v>
      </c>
      <c r="E451" s="12">
        <v>3.0104466724907065E-4</v>
      </c>
      <c r="F451" s="12">
        <v>1.2500000000000001E-2</v>
      </c>
      <c r="G451" s="12">
        <v>5.1818181818181835E-4</v>
      </c>
      <c r="H451" s="12">
        <v>4.0084080366977777E-4</v>
      </c>
    </row>
    <row r="452" spans="1:8" ht="12.75">
      <c r="A452" s="24" t="s">
        <v>2644</v>
      </c>
      <c r="B452" s="14" t="s">
        <v>2657</v>
      </c>
      <c r="C452" s="792" t="s">
        <v>1666</v>
      </c>
      <c r="D452" s="18" t="s">
        <v>1666</v>
      </c>
      <c r="E452" s="454" t="s">
        <v>1666</v>
      </c>
      <c r="F452" s="454" t="s">
        <v>1666</v>
      </c>
      <c r="G452" s="454" t="s">
        <v>1666</v>
      </c>
      <c r="H452" s="454" t="s">
        <v>1666</v>
      </c>
    </row>
    <row r="453" spans="1:8" ht="12.75">
      <c r="A453" s="24" t="s">
        <v>2644</v>
      </c>
      <c r="B453" s="14" t="s">
        <v>2657</v>
      </c>
      <c r="C453" s="792">
        <v>1.2804097311139566</v>
      </c>
      <c r="D453" s="18" t="s">
        <v>83</v>
      </c>
      <c r="E453" s="12">
        <v>0</v>
      </c>
      <c r="F453" s="12">
        <v>0</v>
      </c>
      <c r="G453" s="12">
        <v>0</v>
      </c>
      <c r="H453" s="12">
        <v>0</v>
      </c>
    </row>
    <row r="454" spans="1:8" ht="12.75">
      <c r="A454" s="24" t="s">
        <v>2644</v>
      </c>
      <c r="B454" s="14" t="s">
        <v>2657</v>
      </c>
      <c r="C454" s="792">
        <v>1.2804097311139566</v>
      </c>
      <c r="D454" s="18" t="s">
        <v>2661</v>
      </c>
      <c r="E454" s="12">
        <v>3.0177940758293843E-3</v>
      </c>
      <c r="F454" s="12">
        <v>8.8728561611374421E-3</v>
      </c>
      <c r="G454" s="12">
        <v>5.9155383175355464E-5</v>
      </c>
      <c r="H454" s="12">
        <v>5.56622037914692E-4</v>
      </c>
    </row>
    <row r="455" spans="1:8" ht="12.75">
      <c r="A455" s="24" t="s">
        <v>2644</v>
      </c>
      <c r="B455" s="14" t="s">
        <v>2657</v>
      </c>
      <c r="C455" s="792" t="s">
        <v>1666</v>
      </c>
      <c r="D455" s="18" t="s">
        <v>1666</v>
      </c>
      <c r="E455" s="454" t="s">
        <v>1666</v>
      </c>
      <c r="F455" s="454" t="s">
        <v>1666</v>
      </c>
      <c r="G455" s="454" t="s">
        <v>1666</v>
      </c>
      <c r="H455" s="454" t="s">
        <v>1666</v>
      </c>
    </row>
    <row r="456" spans="1:8" ht="12.75">
      <c r="A456" s="24" t="s">
        <v>2644</v>
      </c>
      <c r="B456" s="14" t="s">
        <v>2657</v>
      </c>
      <c r="C456" s="792">
        <v>0.64020486555697831</v>
      </c>
      <c r="D456" s="18" t="s">
        <v>86</v>
      </c>
      <c r="E456" s="12">
        <v>0</v>
      </c>
      <c r="F456" s="12">
        <v>0</v>
      </c>
      <c r="G456" s="12">
        <v>0</v>
      </c>
      <c r="H456" s="12">
        <v>0</v>
      </c>
    </row>
    <row r="457" spans="1:8" ht="12.75">
      <c r="A457" s="24" t="s">
        <v>2644</v>
      </c>
      <c r="B457" s="14" t="s">
        <v>2657</v>
      </c>
      <c r="C457" s="792">
        <v>0.12804097311139567</v>
      </c>
      <c r="D457" s="18" t="s">
        <v>2662</v>
      </c>
      <c r="E457" s="12">
        <v>6.399192301960112E-3</v>
      </c>
      <c r="F457" s="12">
        <v>0.12411340117772937</v>
      </c>
      <c r="G457" s="12">
        <v>9.8749999999999988E-5</v>
      </c>
      <c r="H457" s="12">
        <v>3.8580927353216109E-4</v>
      </c>
    </row>
    <row r="458" spans="1:8" ht="12.75">
      <c r="A458" s="24" t="s">
        <v>2644</v>
      </c>
      <c r="B458" s="14" t="s">
        <v>2657</v>
      </c>
      <c r="C458" s="792">
        <v>0.12804097311139567</v>
      </c>
      <c r="D458" s="18" t="s">
        <v>2663</v>
      </c>
      <c r="E458" s="12">
        <v>3.1660297063617504E-2</v>
      </c>
      <c r="F458" s="12">
        <v>0.3735301190055475</v>
      </c>
      <c r="G458" s="12">
        <v>2.1604141815772032E-3</v>
      </c>
      <c r="H458" s="12">
        <v>1.8530021654934324E-3</v>
      </c>
    </row>
    <row r="459" spans="1:8" ht="12.75">
      <c r="A459" s="24" t="s">
        <v>2644</v>
      </c>
      <c r="B459" s="14" t="s">
        <v>2657</v>
      </c>
      <c r="C459" s="792" t="s">
        <v>1666</v>
      </c>
      <c r="D459" s="18" t="s">
        <v>1666</v>
      </c>
      <c r="E459" s="454" t="s">
        <v>1666</v>
      </c>
      <c r="F459" s="454" t="s">
        <v>1666</v>
      </c>
      <c r="G459" s="454" t="s">
        <v>1666</v>
      </c>
      <c r="H459" s="454" t="s">
        <v>1666</v>
      </c>
    </row>
    <row r="460" spans="1:8" ht="12.75">
      <c r="A460" s="24" t="s">
        <v>2644</v>
      </c>
      <c r="B460" s="14" t="s">
        <v>2657</v>
      </c>
      <c r="C460" s="792">
        <v>0.12804097311139567</v>
      </c>
      <c r="D460" s="18" t="s">
        <v>2584</v>
      </c>
      <c r="E460" s="12">
        <v>4.7754773653722405E-4</v>
      </c>
      <c r="F460" s="12">
        <v>9.9048845026103102E-3</v>
      </c>
      <c r="G460" s="12">
        <v>1.1598405219282348E-5</v>
      </c>
      <c r="H460" s="12">
        <v>9.908404494382022E-5</v>
      </c>
    </row>
    <row r="461" spans="1:8" ht="12.75">
      <c r="A461" s="24" t="s">
        <v>2644</v>
      </c>
      <c r="B461" s="14" t="s">
        <v>2657</v>
      </c>
      <c r="C461" s="792">
        <v>0.12804097311139567</v>
      </c>
      <c r="D461" s="809" t="s">
        <v>2664</v>
      </c>
      <c r="E461" s="461">
        <v>2.2073766211046637E-2</v>
      </c>
      <c r="F461" s="461">
        <v>8.7246004352723297E-2</v>
      </c>
      <c r="G461" s="461">
        <v>5.8202330775582959E-4</v>
      </c>
      <c r="H461" s="461">
        <v>2.670351142205461E-3</v>
      </c>
    </row>
    <row r="462" spans="1:8" ht="12.75">
      <c r="A462" s="794" t="s">
        <v>2644</v>
      </c>
      <c r="B462" s="617" t="s">
        <v>2657</v>
      </c>
      <c r="C462" s="455">
        <v>0.12804097311139567</v>
      </c>
      <c r="D462" s="793" t="s">
        <v>1124</v>
      </c>
      <c r="E462" s="635">
        <v>2.38916680630451E-3</v>
      </c>
      <c r="F462" s="635">
        <v>0.16192713668914901</v>
      </c>
      <c r="G462" s="635">
        <v>4.8714285714285716E-4</v>
      </c>
      <c r="H462" s="635">
        <v>2.358948129596642E-3</v>
      </c>
    </row>
    <row r="463" spans="1:8" ht="12.75">
      <c r="A463" s="13" t="s">
        <v>2644</v>
      </c>
      <c r="B463" s="14" t="s">
        <v>2665</v>
      </c>
      <c r="C463" s="792">
        <v>85</v>
      </c>
      <c r="D463" s="18" t="s">
        <v>402</v>
      </c>
      <c r="E463" s="12">
        <v>3.2015555555555601E-4</v>
      </c>
      <c r="F463" s="12">
        <v>4.9060800000000002E-4</v>
      </c>
      <c r="G463" s="12">
        <v>3.2872385079429705E-4</v>
      </c>
      <c r="H463" s="12">
        <v>1.0873333333333299E-2</v>
      </c>
    </row>
    <row r="464" spans="1:8" ht="12.75">
      <c r="A464" s="13" t="s">
        <v>2644</v>
      </c>
      <c r="B464" s="14" t="s">
        <v>2665</v>
      </c>
      <c r="C464" s="792">
        <v>6</v>
      </c>
      <c r="D464" s="18" t="s">
        <v>396</v>
      </c>
      <c r="E464" s="12">
        <v>0</v>
      </c>
      <c r="F464" s="12">
        <v>5.0583333333333307E-8</v>
      </c>
      <c r="G464" s="12">
        <v>0</v>
      </c>
      <c r="H464" s="12">
        <v>2.7715000000000001E-3</v>
      </c>
    </row>
    <row r="465" spans="1:8" ht="12.75">
      <c r="A465" s="799" t="s">
        <v>2644</v>
      </c>
      <c r="B465" s="617" t="s">
        <v>2665</v>
      </c>
      <c r="C465" s="455">
        <v>9</v>
      </c>
      <c r="D465" s="793" t="s">
        <v>388</v>
      </c>
      <c r="E465" s="635">
        <v>0</v>
      </c>
      <c r="F465" s="635">
        <v>0</v>
      </c>
      <c r="G465" s="635">
        <v>0</v>
      </c>
      <c r="H465" s="635">
        <v>2.7715000000000001E-3</v>
      </c>
    </row>
    <row r="466" spans="1:8" ht="12.75">
      <c r="A466" s="13" t="s">
        <v>2644</v>
      </c>
      <c r="B466" s="14" t="s">
        <v>2666</v>
      </c>
      <c r="C466" s="792">
        <v>3.9603960396039604</v>
      </c>
      <c r="D466" s="18" t="s">
        <v>403</v>
      </c>
      <c r="E466" s="12">
        <v>0</v>
      </c>
      <c r="F466" s="12">
        <v>0</v>
      </c>
      <c r="G466" s="12">
        <v>0</v>
      </c>
      <c r="H466" s="12">
        <v>1.4499999999999999E-2</v>
      </c>
    </row>
    <row r="467" spans="1:8" ht="12.75">
      <c r="A467" s="13" t="s">
        <v>2644</v>
      </c>
      <c r="B467" s="14" t="s">
        <v>2666</v>
      </c>
      <c r="C467" s="792">
        <v>2.9702970297029703</v>
      </c>
      <c r="D467" s="18" t="s">
        <v>393</v>
      </c>
      <c r="E467" s="12">
        <v>0</v>
      </c>
      <c r="F467" s="12">
        <v>0</v>
      </c>
      <c r="G467" s="12">
        <v>0</v>
      </c>
      <c r="H467" s="12">
        <v>5.2883477142857101E-3</v>
      </c>
    </row>
    <row r="468" spans="1:8" ht="12.75">
      <c r="A468" s="13" t="s">
        <v>2644</v>
      </c>
      <c r="B468" s="14" t="s">
        <v>2666</v>
      </c>
      <c r="C468" s="792">
        <v>68.316831683168317</v>
      </c>
      <c r="D468" s="18" t="s">
        <v>399</v>
      </c>
      <c r="E468" s="12">
        <v>3.0225999999999999E-3</v>
      </c>
      <c r="F468" s="12">
        <v>4.3179999999999997E-5</v>
      </c>
      <c r="G468" s="12">
        <v>2.5442078733963202E-4</v>
      </c>
      <c r="H468" s="12">
        <v>5.1247625279999993E-3</v>
      </c>
    </row>
    <row r="469" spans="1:8" ht="12.75">
      <c r="A469" s="13" t="s">
        <v>2644</v>
      </c>
      <c r="B469" s="14" t="s">
        <v>2666</v>
      </c>
      <c r="C469" s="792">
        <v>19.801980198019802</v>
      </c>
      <c r="D469" s="18" t="s">
        <v>406</v>
      </c>
      <c r="E469" s="12">
        <v>0</v>
      </c>
      <c r="F469" s="12">
        <v>0</v>
      </c>
      <c r="G469" s="12">
        <v>3.3744563232338502E-4</v>
      </c>
      <c r="H469" s="12">
        <v>4.1018149762685327E-3</v>
      </c>
    </row>
    <row r="470" spans="1:8" ht="12.75">
      <c r="A470" s="13" t="s">
        <v>2644</v>
      </c>
      <c r="B470" s="14" t="s">
        <v>2666</v>
      </c>
      <c r="C470" s="792" t="s">
        <v>1666</v>
      </c>
      <c r="D470" s="18" t="s">
        <v>1666</v>
      </c>
      <c r="E470" s="454" t="s">
        <v>1666</v>
      </c>
      <c r="F470" s="454" t="s">
        <v>1666</v>
      </c>
      <c r="G470" s="454" t="s">
        <v>1666</v>
      </c>
      <c r="H470" s="454" t="s">
        <v>1666</v>
      </c>
    </row>
    <row r="471" spans="1:8" ht="12.75">
      <c r="A471" s="13" t="s">
        <v>2644</v>
      </c>
      <c r="B471" s="14" t="s">
        <v>2666</v>
      </c>
      <c r="C471" s="792" t="s">
        <v>1666</v>
      </c>
      <c r="D471" s="18" t="s">
        <v>1666</v>
      </c>
      <c r="E471" s="454" t="s">
        <v>1666</v>
      </c>
      <c r="F471" s="454" t="s">
        <v>1666</v>
      </c>
      <c r="G471" s="454" t="s">
        <v>1666</v>
      </c>
      <c r="H471" s="454" t="s">
        <v>1666</v>
      </c>
    </row>
    <row r="472" spans="1:8" ht="12.75">
      <c r="A472" s="13" t="s">
        <v>2644</v>
      </c>
      <c r="B472" s="14" t="s">
        <v>2666</v>
      </c>
      <c r="C472" s="792" t="s">
        <v>1666</v>
      </c>
      <c r="D472" s="18" t="s">
        <v>1666</v>
      </c>
      <c r="E472" s="454" t="s">
        <v>1666</v>
      </c>
      <c r="F472" s="454" t="s">
        <v>1666</v>
      </c>
      <c r="G472" s="454" t="s">
        <v>1666</v>
      </c>
      <c r="H472" s="454" t="s">
        <v>1666</v>
      </c>
    </row>
    <row r="473" spans="1:8" ht="12.75">
      <c r="A473" s="13" t="s">
        <v>2644</v>
      </c>
      <c r="B473" s="14" t="s">
        <v>2666</v>
      </c>
      <c r="C473" s="792" t="s">
        <v>1666</v>
      </c>
      <c r="D473" s="18" t="s">
        <v>1666</v>
      </c>
      <c r="E473" s="454" t="s">
        <v>1666</v>
      </c>
      <c r="F473" s="454" t="s">
        <v>1666</v>
      </c>
      <c r="G473" s="454" t="s">
        <v>1666</v>
      </c>
      <c r="H473" s="454" t="s">
        <v>1666</v>
      </c>
    </row>
    <row r="474" spans="1:8" ht="12.75">
      <c r="A474" s="13" t="s">
        <v>2644</v>
      </c>
      <c r="B474" s="14" t="s">
        <v>2666</v>
      </c>
      <c r="C474" s="792">
        <v>0.99009900990099009</v>
      </c>
      <c r="D474" s="18" t="s">
        <v>381</v>
      </c>
      <c r="E474" s="12">
        <v>0</v>
      </c>
      <c r="F474" s="12">
        <v>0</v>
      </c>
      <c r="G474" s="12">
        <v>0</v>
      </c>
      <c r="H474" s="12">
        <v>4.4753931430000001E-3</v>
      </c>
    </row>
    <row r="475" spans="1:8" ht="12.75">
      <c r="A475" s="13" t="s">
        <v>2644</v>
      </c>
      <c r="B475" s="14" t="s">
        <v>2666</v>
      </c>
      <c r="C475" s="792">
        <v>3.564356435643564</v>
      </c>
      <c r="D475" s="18" t="s">
        <v>401</v>
      </c>
      <c r="E475" s="12">
        <v>0</v>
      </c>
      <c r="F475" s="12">
        <v>0</v>
      </c>
      <c r="G475" s="12">
        <v>0</v>
      </c>
      <c r="H475" s="12">
        <v>5.93392928571429E-3</v>
      </c>
    </row>
    <row r="476" spans="1:8" ht="12.75">
      <c r="A476" s="13" t="s">
        <v>2644</v>
      </c>
      <c r="B476" s="14" t="s">
        <v>2666</v>
      </c>
      <c r="C476" s="796">
        <v>0.17768476747973899</v>
      </c>
      <c r="D476" s="456" t="s">
        <v>72</v>
      </c>
      <c r="E476" s="464" t="s">
        <v>72</v>
      </c>
      <c r="F476" s="464" t="s">
        <v>72</v>
      </c>
      <c r="G476" s="464" t="s">
        <v>72</v>
      </c>
      <c r="H476" s="464" t="s">
        <v>72</v>
      </c>
    </row>
    <row r="477" spans="1:8" ht="12.75">
      <c r="A477" s="13" t="s">
        <v>2644</v>
      </c>
      <c r="B477" s="14" t="s">
        <v>2666</v>
      </c>
      <c r="C477" s="792">
        <v>0.2864662596458562</v>
      </c>
      <c r="D477" s="18" t="s">
        <v>506</v>
      </c>
      <c r="E477" s="12">
        <v>4.8057057617005398E-4</v>
      </c>
      <c r="F477" s="12">
        <v>9.8776215197699697E-3</v>
      </c>
      <c r="G477" s="12">
        <v>6.3E-5</v>
      </c>
      <c r="H477" s="12">
        <v>2.4250819999999999E-4</v>
      </c>
    </row>
    <row r="478" spans="1:8" ht="12.75">
      <c r="A478" s="13" t="s">
        <v>2644</v>
      </c>
      <c r="B478" s="14" t="s">
        <v>2666</v>
      </c>
      <c r="C478" s="792">
        <v>7.1616564911464148E-2</v>
      </c>
      <c r="D478" s="18" t="s">
        <v>2584</v>
      </c>
      <c r="E478" s="12">
        <v>4.7754773653722405E-4</v>
      </c>
      <c r="F478" s="12">
        <v>9.9048845026103102E-3</v>
      </c>
      <c r="G478" s="12">
        <v>1.1598405219282348E-5</v>
      </c>
      <c r="H478" s="12">
        <v>9.908404494382022E-5</v>
      </c>
    </row>
    <row r="479" spans="1:8" ht="12.75">
      <c r="A479" s="799" t="s">
        <v>2644</v>
      </c>
      <c r="B479" s="617" t="s">
        <v>2666</v>
      </c>
      <c r="C479" s="455">
        <v>3.7956779403075916E-2</v>
      </c>
      <c r="D479" s="797" t="s">
        <v>2594</v>
      </c>
      <c r="E479" s="803">
        <v>2.2073766211046637E-2</v>
      </c>
      <c r="F479" s="803">
        <v>8.7246004352723297E-2</v>
      </c>
      <c r="G479" s="803">
        <v>5.8202330775582959E-4</v>
      </c>
      <c r="H479" s="803">
        <v>2.670351142205461E-3</v>
      </c>
    </row>
    <row r="480" spans="1:8" ht="12.75">
      <c r="A480" s="13" t="s">
        <v>2644</v>
      </c>
      <c r="B480" s="14" t="s">
        <v>2667</v>
      </c>
      <c r="C480" s="792">
        <v>3</v>
      </c>
      <c r="D480" s="18" t="s">
        <v>397</v>
      </c>
      <c r="E480" s="12">
        <v>0</v>
      </c>
      <c r="F480" s="12">
        <v>0</v>
      </c>
      <c r="G480" s="12">
        <v>0</v>
      </c>
      <c r="H480" s="12">
        <v>3.32666666666667E-3</v>
      </c>
    </row>
    <row r="481" spans="1:8" ht="12.75">
      <c r="A481" s="13" t="s">
        <v>2644</v>
      </c>
      <c r="B481" s="14" t="s">
        <v>2667</v>
      </c>
      <c r="C481" s="792">
        <v>10</v>
      </c>
      <c r="D481" s="18" t="s">
        <v>386</v>
      </c>
      <c r="E481" s="12">
        <v>1.4205941722987801E-2</v>
      </c>
      <c r="F481" s="12">
        <v>2.3570399999999999E-4</v>
      </c>
      <c r="G481" s="12">
        <v>2.1285206449999999E-4</v>
      </c>
      <c r="H481" s="12">
        <v>8.081666666666671E-3</v>
      </c>
    </row>
    <row r="482" spans="1:8" ht="12.75">
      <c r="A482" s="13" t="s">
        <v>2644</v>
      </c>
      <c r="B482" s="14" t="s">
        <v>2667</v>
      </c>
      <c r="C482" s="792">
        <v>31</v>
      </c>
      <c r="D482" s="18" t="s">
        <v>405</v>
      </c>
      <c r="E482" s="12">
        <v>1.2876666666666701E-2</v>
      </c>
      <c r="F482" s="12">
        <v>3.6204E-4</v>
      </c>
      <c r="G482" s="12">
        <v>2.9941586091339101E-4</v>
      </c>
      <c r="H482" s="12">
        <v>1.907E-2</v>
      </c>
    </row>
    <row r="483" spans="1:8" ht="12.75">
      <c r="A483" s="13" t="s">
        <v>2644</v>
      </c>
      <c r="B483" s="14" t="s">
        <v>2667</v>
      </c>
      <c r="C483" s="792">
        <v>24</v>
      </c>
      <c r="D483" s="18" t="s">
        <v>389</v>
      </c>
      <c r="E483" s="12">
        <v>0</v>
      </c>
      <c r="F483" s="12">
        <v>0</v>
      </c>
      <c r="G483" s="12">
        <v>0</v>
      </c>
      <c r="H483" s="12">
        <v>4.18814893617021E-3</v>
      </c>
    </row>
    <row r="484" spans="1:8" ht="12.75">
      <c r="A484" s="13" t="s">
        <v>2644</v>
      </c>
      <c r="B484" s="14" t="s">
        <v>2667</v>
      </c>
      <c r="C484" s="792">
        <v>11</v>
      </c>
      <c r="D484" s="18" t="s">
        <v>390</v>
      </c>
      <c r="E484" s="12">
        <v>0</v>
      </c>
      <c r="F484" s="12">
        <v>0</v>
      </c>
      <c r="G484" s="12">
        <v>0</v>
      </c>
      <c r="H484" s="12">
        <v>1.6038461538461498E-2</v>
      </c>
    </row>
    <row r="485" spans="1:8" ht="12.75">
      <c r="A485" s="13" t="s">
        <v>2644</v>
      </c>
      <c r="B485" s="14" t="s">
        <v>2667</v>
      </c>
      <c r="C485" s="792">
        <v>7.0000000000000009</v>
      </c>
      <c r="D485" s="18" t="s">
        <v>392</v>
      </c>
      <c r="E485" s="12">
        <v>0</v>
      </c>
      <c r="F485" s="12">
        <v>0</v>
      </c>
      <c r="G485" s="12">
        <v>0</v>
      </c>
      <c r="H485" s="12">
        <v>3.6863489999999998E-3</v>
      </c>
    </row>
    <row r="486" spans="1:8" ht="12.75">
      <c r="A486" s="799" t="s">
        <v>2644</v>
      </c>
      <c r="B486" s="617" t="s">
        <v>2667</v>
      </c>
      <c r="C486" s="455">
        <v>14.000000000000002</v>
      </c>
      <c r="D486" s="793" t="s">
        <v>391</v>
      </c>
      <c r="E486" s="635">
        <v>0</v>
      </c>
      <c r="F486" s="635">
        <v>0</v>
      </c>
      <c r="G486" s="635">
        <v>0</v>
      </c>
      <c r="H486" s="635">
        <v>3.2798717142857097E-3</v>
      </c>
    </row>
    <row r="487" spans="1:8" ht="12.75">
      <c r="A487" s="13" t="s">
        <v>2668</v>
      </c>
      <c r="B487" s="14" t="s">
        <v>2669</v>
      </c>
      <c r="C487" s="792">
        <v>14.0030578937243</v>
      </c>
      <c r="D487" s="18" t="s">
        <v>1112</v>
      </c>
      <c r="E487" s="12">
        <v>7.6594132480302998E-3</v>
      </c>
      <c r="F487" s="12">
        <v>0.25452159072024799</v>
      </c>
      <c r="G487" s="12">
        <v>2.4499999999999999E-4</v>
      </c>
      <c r="H487" s="12">
        <v>3.0864741882572887E-4</v>
      </c>
    </row>
    <row r="488" spans="1:8" ht="12.75">
      <c r="A488" s="13" t="s">
        <v>2668</v>
      </c>
      <c r="B488" s="14" t="s">
        <v>2669</v>
      </c>
      <c r="C488" s="792">
        <v>15.015744260624786</v>
      </c>
      <c r="D488" s="18" t="s">
        <v>433</v>
      </c>
      <c r="E488" s="12">
        <v>3.0104466724907065E-4</v>
      </c>
      <c r="F488" s="12">
        <v>1.2500000000000001E-2</v>
      </c>
      <c r="G488" s="12">
        <v>5.1818181818181835E-4</v>
      </c>
      <c r="H488" s="12">
        <v>4.0084080366977777E-4</v>
      </c>
    </row>
    <row r="489" spans="1:8" ht="12.75">
      <c r="A489" s="13" t="s">
        <v>2668</v>
      </c>
      <c r="B489" s="14" t="s">
        <v>2669</v>
      </c>
      <c r="C489" s="792">
        <v>6.3954389381938359</v>
      </c>
      <c r="D489" s="18" t="s">
        <v>2670</v>
      </c>
      <c r="E489" s="12">
        <v>2.5055367220000002E-3</v>
      </c>
      <c r="F489" s="12">
        <v>3.8459841414181101E-2</v>
      </c>
      <c r="G489" s="12">
        <v>1.1035422343324251E-4</v>
      </c>
      <c r="H489" s="12">
        <v>8.109653861711444E-4</v>
      </c>
    </row>
    <row r="490" spans="1:8" ht="12.75">
      <c r="A490" s="13" t="s">
        <v>2668</v>
      </c>
      <c r="B490" s="14" t="s">
        <v>2669</v>
      </c>
      <c r="C490" s="792">
        <v>32.867923872670183</v>
      </c>
      <c r="D490" s="18" t="s">
        <v>2658</v>
      </c>
      <c r="E490" s="12">
        <v>5.0851930036188197E-3</v>
      </c>
      <c r="F490" s="12">
        <v>5.9995417730640897E-2</v>
      </c>
      <c r="G490" s="12">
        <v>3.4699999999999998E-4</v>
      </c>
      <c r="H490" s="12">
        <v>2.9762429672480995E-4</v>
      </c>
    </row>
    <row r="491" spans="1:8" ht="12.75">
      <c r="A491" s="13" t="s">
        <v>2668</v>
      </c>
      <c r="B491" s="14" t="s">
        <v>2669</v>
      </c>
      <c r="C491" s="792">
        <v>3.9972489972489971</v>
      </c>
      <c r="D491" s="18" t="s">
        <v>2671</v>
      </c>
      <c r="E491" s="12">
        <v>2.5425965018094099E-4</v>
      </c>
      <c r="F491" s="12">
        <v>2.999770886532045E-3</v>
      </c>
      <c r="G491" s="12">
        <v>1.7349999999999998E-5</v>
      </c>
      <c r="H491" s="12">
        <v>1.4881214836240498E-5</v>
      </c>
    </row>
    <row r="492" spans="1:8" ht="12.75">
      <c r="A492" s="13" t="s">
        <v>2668</v>
      </c>
      <c r="B492" s="14" t="s">
        <v>2669</v>
      </c>
      <c r="C492" s="792" t="s">
        <v>1666</v>
      </c>
      <c r="D492" s="18" t="s">
        <v>1666</v>
      </c>
      <c r="E492" s="454" t="s">
        <v>1666</v>
      </c>
      <c r="F492" s="454" t="s">
        <v>1666</v>
      </c>
      <c r="G492" s="454" t="s">
        <v>1666</v>
      </c>
      <c r="H492" s="454" t="s">
        <v>1666</v>
      </c>
    </row>
    <row r="493" spans="1:8" ht="12.75">
      <c r="A493" s="13" t="s">
        <v>2668</v>
      </c>
      <c r="B493" s="14" t="s">
        <v>2669</v>
      </c>
      <c r="C493" s="792" t="s">
        <v>1666</v>
      </c>
      <c r="D493" s="18" t="s">
        <v>1666</v>
      </c>
      <c r="E493" s="454" t="s">
        <v>1666</v>
      </c>
      <c r="F493" s="454" t="s">
        <v>1666</v>
      </c>
      <c r="G493" s="454" t="s">
        <v>1666</v>
      </c>
      <c r="H493" s="454" t="s">
        <v>1666</v>
      </c>
    </row>
    <row r="494" spans="1:8" ht="12.75">
      <c r="A494" s="13" t="s">
        <v>2668</v>
      </c>
      <c r="B494" s="14" t="s">
        <v>2669</v>
      </c>
      <c r="C494" s="792" t="s">
        <v>1666</v>
      </c>
      <c r="D494" s="18" t="s">
        <v>1666</v>
      </c>
      <c r="E494" s="454" t="s">
        <v>1666</v>
      </c>
      <c r="F494" s="454" t="s">
        <v>1666</v>
      </c>
      <c r="G494" s="454" t="s">
        <v>1666</v>
      </c>
      <c r="H494" s="454" t="s">
        <v>1666</v>
      </c>
    </row>
    <row r="495" spans="1:8" ht="12.75">
      <c r="A495" s="13" t="s">
        <v>2668</v>
      </c>
      <c r="B495" s="14" t="s">
        <v>2669</v>
      </c>
      <c r="C495" s="792">
        <v>0.63744238501520056</v>
      </c>
      <c r="D495" s="18" t="s">
        <v>2525</v>
      </c>
      <c r="E495" s="12">
        <v>3.8102374934982654E-3</v>
      </c>
      <c r="F495" s="12">
        <v>0.20470422547079484</v>
      </c>
      <c r="G495" s="12">
        <v>1.210810810810811E-4</v>
      </c>
      <c r="H495" s="12">
        <v>1.0002400855855065E-3</v>
      </c>
    </row>
    <row r="496" spans="1:8" ht="12.75">
      <c r="A496" s="13" t="s">
        <v>2668</v>
      </c>
      <c r="B496" s="14" t="s">
        <v>2669</v>
      </c>
      <c r="C496" s="792" t="s">
        <v>1666</v>
      </c>
      <c r="D496" s="18" t="s">
        <v>1666</v>
      </c>
      <c r="E496" s="454" t="s">
        <v>1666</v>
      </c>
      <c r="F496" s="454" t="s">
        <v>1666</v>
      </c>
      <c r="G496" s="454" t="s">
        <v>1666</v>
      </c>
      <c r="H496" s="454" t="s">
        <v>1666</v>
      </c>
    </row>
    <row r="497" spans="1:8" ht="12.75">
      <c r="A497" s="13" t="s">
        <v>2668</v>
      </c>
      <c r="B497" s="14" t="s">
        <v>2669</v>
      </c>
      <c r="C497" s="792">
        <v>4.329004329004329</v>
      </c>
      <c r="D497" s="18" t="s">
        <v>2672</v>
      </c>
      <c r="E497" s="12">
        <v>1.30594189090772E-4</v>
      </c>
      <c r="F497" s="12">
        <v>7.0161459421965505E-3</v>
      </c>
      <c r="G497" s="12">
        <v>4.0500000000000002E-6</v>
      </c>
      <c r="H497" s="12">
        <v>2.9762429672481003E-5</v>
      </c>
    </row>
    <row r="498" spans="1:8" ht="12.75">
      <c r="A498" s="13" t="s">
        <v>2668</v>
      </c>
      <c r="B498" s="14" t="s">
        <v>2669</v>
      </c>
      <c r="C498" s="792" t="s">
        <v>1666</v>
      </c>
      <c r="D498" s="18" t="s">
        <v>1666</v>
      </c>
      <c r="E498" s="454" t="s">
        <v>1666</v>
      </c>
      <c r="F498" s="454" t="s">
        <v>1666</v>
      </c>
      <c r="G498" s="454" t="s">
        <v>1666</v>
      </c>
      <c r="H498" s="454" t="s">
        <v>1666</v>
      </c>
    </row>
    <row r="499" spans="1:8" ht="12.75">
      <c r="A499" s="13" t="s">
        <v>2668</v>
      </c>
      <c r="B499" s="14" t="s">
        <v>2669</v>
      </c>
      <c r="C499" s="792">
        <v>0.48100048100048098</v>
      </c>
      <c r="D499" s="18" t="s">
        <v>81</v>
      </c>
      <c r="E499" s="12">
        <v>1.9912385503783353E-2</v>
      </c>
      <c r="F499" s="12">
        <v>5.6949422540820388E-2</v>
      </c>
      <c r="G499" s="12">
        <v>3.8829151732377542E-3</v>
      </c>
      <c r="H499" s="12">
        <v>5.6321186778176026E-3</v>
      </c>
    </row>
    <row r="500" spans="1:8" ht="12.75">
      <c r="A500" s="13" t="s">
        <v>2668</v>
      </c>
      <c r="B500" s="14" t="s">
        <v>2669</v>
      </c>
      <c r="C500" s="792">
        <v>10.127649651574156</v>
      </c>
      <c r="D500" s="18" t="s">
        <v>2673</v>
      </c>
      <c r="E500" s="12">
        <v>2.38916680630451E-3</v>
      </c>
      <c r="F500" s="12">
        <v>0.16192713668914901</v>
      </c>
      <c r="G500" s="12">
        <v>4.8714285714285716E-4</v>
      </c>
      <c r="H500" s="12">
        <v>2.358948129596642E-3</v>
      </c>
    </row>
    <row r="501" spans="1:8" ht="12.75">
      <c r="A501" s="13" t="s">
        <v>2668</v>
      </c>
      <c r="B501" s="14" t="s">
        <v>2669</v>
      </c>
      <c r="C501" s="792" t="s">
        <v>1666</v>
      </c>
      <c r="D501" s="18" t="s">
        <v>1666</v>
      </c>
      <c r="E501" s="454" t="s">
        <v>1666</v>
      </c>
      <c r="F501" s="454" t="s">
        <v>1666</v>
      </c>
      <c r="G501" s="454" t="s">
        <v>1666</v>
      </c>
      <c r="H501" s="454" t="s">
        <v>1666</v>
      </c>
    </row>
    <row r="502" spans="1:8" ht="12.75">
      <c r="A502" s="13" t="s">
        <v>2668</v>
      </c>
      <c r="B502" s="14" t="s">
        <v>2669</v>
      </c>
      <c r="C502" s="792" t="s">
        <v>1666</v>
      </c>
      <c r="D502" s="18" t="s">
        <v>1666</v>
      </c>
      <c r="E502" s="454" t="s">
        <v>1666</v>
      </c>
      <c r="F502" s="454" t="s">
        <v>1666</v>
      </c>
      <c r="G502" s="454" t="s">
        <v>1666</v>
      </c>
      <c r="H502" s="454" t="s">
        <v>1666</v>
      </c>
    </row>
    <row r="503" spans="1:8" ht="12.75">
      <c r="A503" s="13" t="s">
        <v>2668</v>
      </c>
      <c r="B503" s="14" t="s">
        <v>2669</v>
      </c>
      <c r="C503" s="792" t="s">
        <v>1666</v>
      </c>
      <c r="D503" s="18" t="s">
        <v>1666</v>
      </c>
      <c r="E503" s="454" t="s">
        <v>1666</v>
      </c>
      <c r="F503" s="454" t="s">
        <v>1666</v>
      </c>
      <c r="G503" s="454" t="s">
        <v>1666</v>
      </c>
      <c r="H503" s="454" t="s">
        <v>1666</v>
      </c>
    </row>
    <row r="504" spans="1:8" ht="12.75">
      <c r="A504" s="13" t="s">
        <v>2668</v>
      </c>
      <c r="B504" s="14" t="s">
        <v>2669</v>
      </c>
      <c r="C504" s="792">
        <v>0.43706293706293703</v>
      </c>
      <c r="D504" s="18" t="s">
        <v>201</v>
      </c>
      <c r="E504" s="12">
        <v>4.18475450981867E-4</v>
      </c>
      <c r="F504" s="12">
        <v>8.6483234472969298E-3</v>
      </c>
      <c r="G504" s="12">
        <v>1.2528735632183908E-4</v>
      </c>
      <c r="H504" s="12">
        <v>3.0408612692190031E-4</v>
      </c>
    </row>
    <row r="505" spans="1:8" ht="12.75">
      <c r="A505" s="13" t="s">
        <v>2668</v>
      </c>
      <c r="B505" s="14" t="s">
        <v>2669</v>
      </c>
      <c r="C505" s="792" t="s">
        <v>1666</v>
      </c>
      <c r="D505" s="18" t="s">
        <v>1666</v>
      </c>
      <c r="E505" s="454" t="s">
        <v>1666</v>
      </c>
      <c r="F505" s="454" t="s">
        <v>1666</v>
      </c>
      <c r="G505" s="454" t="s">
        <v>1666</v>
      </c>
      <c r="H505" s="454" t="s">
        <v>1666</v>
      </c>
    </row>
    <row r="506" spans="1:8" ht="12.75">
      <c r="A506" s="13" t="s">
        <v>2668</v>
      </c>
      <c r="B506" s="14" t="s">
        <v>2669</v>
      </c>
      <c r="C506" s="792" t="s">
        <v>1666</v>
      </c>
      <c r="D506" s="18" t="s">
        <v>1666</v>
      </c>
      <c r="E506" s="454" t="s">
        <v>1666</v>
      </c>
      <c r="F506" s="454" t="s">
        <v>1666</v>
      </c>
      <c r="G506" s="454" t="s">
        <v>1666</v>
      </c>
      <c r="H506" s="454" t="s">
        <v>1666</v>
      </c>
    </row>
    <row r="507" spans="1:8" ht="12.75">
      <c r="A507" s="13" t="s">
        <v>2668</v>
      </c>
      <c r="B507" s="14" t="s">
        <v>2669</v>
      </c>
      <c r="C507" s="792" t="s">
        <v>1666</v>
      </c>
      <c r="D507" s="18" t="s">
        <v>1666</v>
      </c>
      <c r="E507" s="454" t="s">
        <v>1666</v>
      </c>
      <c r="F507" s="454" t="s">
        <v>1666</v>
      </c>
      <c r="G507" s="454" t="s">
        <v>1666</v>
      </c>
      <c r="H507" s="454" t="s">
        <v>1666</v>
      </c>
    </row>
    <row r="508" spans="1:8" ht="12.75">
      <c r="A508" s="13" t="s">
        <v>2668</v>
      </c>
      <c r="B508" s="14" t="s">
        <v>2669</v>
      </c>
      <c r="C508" s="792" t="s">
        <v>1666</v>
      </c>
      <c r="D508" s="18" t="s">
        <v>1666</v>
      </c>
      <c r="E508" s="454" t="s">
        <v>1666</v>
      </c>
      <c r="F508" s="454" t="s">
        <v>1666</v>
      </c>
      <c r="G508" s="454" t="s">
        <v>1666</v>
      </c>
      <c r="H508" s="454" t="s">
        <v>1666</v>
      </c>
    </row>
    <row r="509" spans="1:8" ht="12.75">
      <c r="A509" s="13" t="s">
        <v>2668</v>
      </c>
      <c r="B509" s="14" t="s">
        <v>2669</v>
      </c>
      <c r="C509" s="792" t="s">
        <v>1666</v>
      </c>
      <c r="D509" s="18" t="s">
        <v>1666</v>
      </c>
      <c r="E509" s="454" t="s">
        <v>1666</v>
      </c>
      <c r="F509" s="454" t="s">
        <v>1666</v>
      </c>
      <c r="G509" s="454" t="s">
        <v>1666</v>
      </c>
      <c r="H509" s="454" t="s">
        <v>1666</v>
      </c>
    </row>
    <row r="510" spans="1:8" ht="12.75">
      <c r="A510" s="13" t="s">
        <v>2668</v>
      </c>
      <c r="B510" s="14" t="s">
        <v>2669</v>
      </c>
      <c r="C510" s="792" t="s">
        <v>1666</v>
      </c>
      <c r="D510" s="18" t="s">
        <v>1666</v>
      </c>
      <c r="E510" s="454" t="s">
        <v>1666</v>
      </c>
      <c r="F510" s="454" t="s">
        <v>1666</v>
      </c>
      <c r="G510" s="454" t="s">
        <v>1666</v>
      </c>
      <c r="H510" s="454" t="s">
        <v>1666</v>
      </c>
    </row>
    <row r="511" spans="1:8" ht="12.75">
      <c r="A511" s="13" t="s">
        <v>2668</v>
      </c>
      <c r="B511" s="14" t="s">
        <v>2669</v>
      </c>
      <c r="C511" s="792" t="s">
        <v>1666</v>
      </c>
      <c r="D511" s="18" t="s">
        <v>1666</v>
      </c>
      <c r="E511" s="454" t="s">
        <v>1666</v>
      </c>
      <c r="F511" s="454" t="s">
        <v>1666</v>
      </c>
      <c r="G511" s="454" t="s">
        <v>1666</v>
      </c>
      <c r="H511" s="454" t="s">
        <v>1666</v>
      </c>
    </row>
    <row r="512" spans="1:8" ht="12.75">
      <c r="A512" s="13" t="s">
        <v>2668</v>
      </c>
      <c r="B512" s="14" t="s">
        <v>2669</v>
      </c>
      <c r="C512" s="792" t="s">
        <v>1666</v>
      </c>
      <c r="D512" s="18" t="s">
        <v>1666</v>
      </c>
      <c r="E512" s="454" t="s">
        <v>1666</v>
      </c>
      <c r="F512" s="454" t="s">
        <v>1666</v>
      </c>
      <c r="G512" s="454" t="s">
        <v>1666</v>
      </c>
      <c r="H512" s="454" t="s">
        <v>1666</v>
      </c>
    </row>
    <row r="513" spans="1:8" ht="12.75">
      <c r="A513" s="13" t="s">
        <v>2668</v>
      </c>
      <c r="B513" s="14" t="s">
        <v>2669</v>
      </c>
      <c r="C513" s="792" t="s">
        <v>1666</v>
      </c>
      <c r="D513" s="18" t="s">
        <v>1666</v>
      </c>
      <c r="E513" s="454" t="s">
        <v>1666</v>
      </c>
      <c r="F513" s="454" t="s">
        <v>1666</v>
      </c>
      <c r="G513" s="454" t="s">
        <v>1666</v>
      </c>
      <c r="H513" s="454" t="s">
        <v>1666</v>
      </c>
    </row>
    <row r="514" spans="1:8" ht="12.75">
      <c r="A514" s="13" t="s">
        <v>2668</v>
      </c>
      <c r="B514" s="14" t="s">
        <v>2669</v>
      </c>
      <c r="C514" s="792" t="s">
        <v>1666</v>
      </c>
      <c r="D514" s="18" t="s">
        <v>1666</v>
      </c>
      <c r="E514" s="454" t="s">
        <v>1666</v>
      </c>
      <c r="F514" s="454" t="s">
        <v>1666</v>
      </c>
      <c r="G514" s="454" t="s">
        <v>1666</v>
      </c>
      <c r="H514" s="454" t="s">
        <v>1666</v>
      </c>
    </row>
    <row r="515" spans="1:8" ht="12.75">
      <c r="A515" s="13" t="s">
        <v>2668</v>
      </c>
      <c r="B515" s="14" t="s">
        <v>2669</v>
      </c>
      <c r="C515" s="792" t="s">
        <v>1666</v>
      </c>
      <c r="D515" s="18" t="s">
        <v>1666</v>
      </c>
      <c r="E515" s="454" t="s">
        <v>1666</v>
      </c>
      <c r="F515" s="454" t="s">
        <v>1666</v>
      </c>
      <c r="G515" s="454" t="s">
        <v>1666</v>
      </c>
      <c r="H515" s="454" t="s">
        <v>1666</v>
      </c>
    </row>
    <row r="516" spans="1:8" ht="12.75">
      <c r="A516" s="13" t="s">
        <v>2668</v>
      </c>
      <c r="B516" s="14" t="s">
        <v>2669</v>
      </c>
      <c r="C516" s="792">
        <v>0.90909090909090917</v>
      </c>
      <c r="D516" s="18" t="s">
        <v>990</v>
      </c>
      <c r="E516" s="12">
        <v>4.8065157443333336E-3</v>
      </c>
      <c r="F516" s="12">
        <v>2.3753475394999998E-2</v>
      </c>
      <c r="G516" s="12">
        <v>4.4716312056737589E-4</v>
      </c>
      <c r="H516" s="12">
        <v>1.378834501718213E-3</v>
      </c>
    </row>
    <row r="517" spans="1:8" ht="12.75">
      <c r="A517" s="13" t="s">
        <v>2668</v>
      </c>
      <c r="B517" s="14" t="s">
        <v>2669</v>
      </c>
      <c r="C517" s="792" t="s">
        <v>1666</v>
      </c>
      <c r="D517" s="18" t="s">
        <v>1666</v>
      </c>
      <c r="E517" s="454" t="s">
        <v>1666</v>
      </c>
      <c r="F517" s="454" t="s">
        <v>1666</v>
      </c>
      <c r="G517" s="454" t="s">
        <v>1666</v>
      </c>
      <c r="H517" s="454" t="s">
        <v>1666</v>
      </c>
    </row>
    <row r="518" spans="1:8" ht="12.75">
      <c r="A518" s="13" t="s">
        <v>2668</v>
      </c>
      <c r="B518" s="14" t="s">
        <v>2669</v>
      </c>
      <c r="C518" s="792" t="s">
        <v>1666</v>
      </c>
      <c r="D518" s="18" t="s">
        <v>1666</v>
      </c>
      <c r="E518" s="454" t="s">
        <v>1666</v>
      </c>
      <c r="F518" s="454" t="s">
        <v>1666</v>
      </c>
      <c r="G518" s="454" t="s">
        <v>1666</v>
      </c>
      <c r="H518" s="454" t="s">
        <v>1666</v>
      </c>
    </row>
    <row r="519" spans="1:8" ht="12.75">
      <c r="A519" s="13" t="s">
        <v>2668</v>
      </c>
      <c r="B519" s="14" t="s">
        <v>2669</v>
      </c>
      <c r="C519" s="792" t="s">
        <v>1666</v>
      </c>
      <c r="D519" s="18" t="s">
        <v>1666</v>
      </c>
      <c r="E519" s="454" t="s">
        <v>1666</v>
      </c>
      <c r="F519" s="454" t="s">
        <v>1666</v>
      </c>
      <c r="G519" s="454" t="s">
        <v>1666</v>
      </c>
      <c r="H519" s="454" t="s">
        <v>1666</v>
      </c>
    </row>
    <row r="520" spans="1:8" ht="12.75">
      <c r="A520" s="13" t="s">
        <v>2668</v>
      </c>
      <c r="B520" s="14" t="s">
        <v>2669</v>
      </c>
      <c r="C520" s="792">
        <v>0.37037037037037035</v>
      </c>
      <c r="D520" s="18" t="s">
        <v>1125</v>
      </c>
      <c r="E520" s="12">
        <v>2.6313563181764739E-3</v>
      </c>
      <c r="F520" s="12">
        <v>0.17834166835352852</v>
      </c>
      <c r="G520" s="12">
        <v>5.365244618395303E-4</v>
      </c>
      <c r="H520" s="12">
        <v>2.5980743783502744E-3</v>
      </c>
    </row>
    <row r="521" spans="1:8" ht="12.75">
      <c r="A521" s="13" t="s">
        <v>2668</v>
      </c>
      <c r="B521" s="14" t="s">
        <v>2669</v>
      </c>
      <c r="C521" s="792">
        <v>5.9031877213695392</v>
      </c>
      <c r="D521" s="18" t="s">
        <v>305</v>
      </c>
      <c r="E521" s="12">
        <v>4.7062756261925113E-3</v>
      </c>
      <c r="F521" s="12">
        <v>3.8210906557435767E-2</v>
      </c>
      <c r="G521" s="12">
        <v>8.2999999999999998E-5</v>
      </c>
      <c r="H521" s="12">
        <v>5.9908272287602653E-4</v>
      </c>
    </row>
    <row r="522" spans="1:8" ht="12.75">
      <c r="A522" s="13" t="s">
        <v>2668</v>
      </c>
      <c r="B522" s="14" t="s">
        <v>2669</v>
      </c>
      <c r="C522" s="792" t="s">
        <v>1666</v>
      </c>
      <c r="D522" s="18" t="s">
        <v>1666</v>
      </c>
      <c r="E522" s="454" t="s">
        <v>1666</v>
      </c>
      <c r="F522" s="454" t="s">
        <v>1666</v>
      </c>
      <c r="G522" s="454" t="s">
        <v>1666</v>
      </c>
      <c r="H522" s="454" t="s">
        <v>1666</v>
      </c>
    </row>
    <row r="523" spans="1:8" ht="12.75">
      <c r="A523" s="13" t="s">
        <v>2668</v>
      </c>
      <c r="B523" s="14" t="s">
        <v>2669</v>
      </c>
      <c r="C523" s="792">
        <v>1.5741833923652107</v>
      </c>
      <c r="D523" s="18" t="s">
        <v>2674</v>
      </c>
      <c r="E523" s="23">
        <v>7.0063781342921748E-4</v>
      </c>
      <c r="F523" s="23">
        <v>4.7486125575394174E-2</v>
      </c>
      <c r="G523" s="12">
        <v>1.428576294277929E-4</v>
      </c>
      <c r="H523" s="23">
        <v>7.2410198258570182E-4</v>
      </c>
    </row>
    <row r="524" spans="1:8" ht="12.75">
      <c r="A524" s="13" t="s">
        <v>2668</v>
      </c>
      <c r="B524" s="14" t="s">
        <v>2669</v>
      </c>
      <c r="C524" s="792" t="s">
        <v>1666</v>
      </c>
      <c r="D524" s="18" t="s">
        <v>1666</v>
      </c>
      <c r="E524" s="454" t="s">
        <v>1666</v>
      </c>
      <c r="F524" s="454" t="s">
        <v>1666</v>
      </c>
      <c r="G524" s="454" t="s">
        <v>1666</v>
      </c>
      <c r="H524" s="454" t="s">
        <v>1666</v>
      </c>
    </row>
    <row r="525" spans="1:8" ht="12.75">
      <c r="A525" s="13" t="s">
        <v>2668</v>
      </c>
      <c r="B525" s="14" t="s">
        <v>2669</v>
      </c>
      <c r="C525" s="792" t="s">
        <v>1666</v>
      </c>
      <c r="D525" s="18" t="s">
        <v>1666</v>
      </c>
      <c r="E525" s="454" t="s">
        <v>1666</v>
      </c>
      <c r="F525" s="454" t="s">
        <v>1666</v>
      </c>
      <c r="G525" s="454" t="s">
        <v>1666</v>
      </c>
      <c r="H525" s="454" t="s">
        <v>1666</v>
      </c>
    </row>
    <row r="526" spans="1:8" ht="12.75">
      <c r="A526" s="13" t="s">
        <v>2668</v>
      </c>
      <c r="B526" s="14" t="s">
        <v>2669</v>
      </c>
      <c r="C526" s="792">
        <v>0.9838646202282566</v>
      </c>
      <c r="D526" s="18" t="s">
        <v>206</v>
      </c>
      <c r="E526" s="12">
        <v>5.1193538415680896E-3</v>
      </c>
      <c r="F526" s="12">
        <v>9.9290720942183497E-2</v>
      </c>
      <c r="G526" s="12">
        <v>7.8999999999999996E-5</v>
      </c>
      <c r="H526" s="12">
        <v>3.0864741882572887E-4</v>
      </c>
    </row>
    <row r="527" spans="1:8" ht="12.75">
      <c r="A527" s="13" t="s">
        <v>2668</v>
      </c>
      <c r="B527" s="14" t="s">
        <v>2669</v>
      </c>
      <c r="C527" s="792">
        <v>0.9838646202282566</v>
      </c>
      <c r="D527" s="18" t="s">
        <v>271</v>
      </c>
      <c r="E527" s="12">
        <v>8.4188576965875186E-3</v>
      </c>
      <c r="F527" s="12">
        <v>3.7019919874172996E-2</v>
      </c>
      <c r="G527" s="12">
        <v>2.5000000000000001E-5</v>
      </c>
      <c r="H527" s="12">
        <v>2.4250868622021553E-4</v>
      </c>
    </row>
    <row r="528" spans="1:8" ht="12.75">
      <c r="A528" s="13" t="s">
        <v>2668</v>
      </c>
      <c r="B528" s="14" t="s">
        <v>2669</v>
      </c>
      <c r="C528" s="792">
        <v>0.9838646202282566</v>
      </c>
      <c r="D528" s="809" t="s">
        <v>2675</v>
      </c>
      <c r="E528" s="461">
        <v>2.2073766211046637E-2</v>
      </c>
      <c r="F528" s="461">
        <v>8.7246004352723297E-2</v>
      </c>
      <c r="G528" s="461">
        <v>5.8202330775582959E-4</v>
      </c>
      <c r="H528" s="461">
        <v>2.670351142205461E-3</v>
      </c>
    </row>
    <row r="529" spans="1:8" ht="12.75">
      <c r="A529" s="13" t="s">
        <v>2668</v>
      </c>
      <c r="B529" s="14" t="s">
        <v>2669</v>
      </c>
      <c r="C529" s="792" t="s">
        <v>1666</v>
      </c>
      <c r="D529" s="18" t="s">
        <v>1666</v>
      </c>
      <c r="E529" s="454" t="s">
        <v>1666</v>
      </c>
      <c r="F529" s="454" t="s">
        <v>1666</v>
      </c>
      <c r="G529" s="454" t="s">
        <v>1666</v>
      </c>
      <c r="H529" s="454" t="s">
        <v>1666</v>
      </c>
    </row>
    <row r="530" spans="1:8" ht="12.75">
      <c r="A530" s="13" t="s">
        <v>2668</v>
      </c>
      <c r="B530" s="14" t="s">
        <v>2669</v>
      </c>
      <c r="C530" s="792" t="s">
        <v>1666</v>
      </c>
      <c r="D530" s="18" t="s">
        <v>1666</v>
      </c>
      <c r="E530" s="454" t="s">
        <v>1666</v>
      </c>
      <c r="F530" s="454" t="s">
        <v>1666</v>
      </c>
      <c r="G530" s="454" t="s">
        <v>1666</v>
      </c>
      <c r="H530" s="454" t="s">
        <v>1666</v>
      </c>
    </row>
    <row r="531" spans="1:8" ht="12.75">
      <c r="A531" s="13" t="s">
        <v>2668</v>
      </c>
      <c r="B531" s="14" t="s">
        <v>2669</v>
      </c>
      <c r="C531" s="792" t="s">
        <v>1666</v>
      </c>
      <c r="D531" s="18" t="s">
        <v>1666</v>
      </c>
      <c r="E531" s="454" t="s">
        <v>1666</v>
      </c>
      <c r="F531" s="454" t="s">
        <v>1666</v>
      </c>
      <c r="G531" s="454" t="s">
        <v>1666</v>
      </c>
      <c r="H531" s="454" t="s">
        <v>1666</v>
      </c>
    </row>
    <row r="532" spans="1:8" ht="12.75">
      <c r="A532" s="13" t="s">
        <v>2668</v>
      </c>
      <c r="B532" s="14" t="s">
        <v>2669</v>
      </c>
      <c r="C532" s="792" t="s">
        <v>1666</v>
      </c>
      <c r="D532" s="18" t="s">
        <v>1666</v>
      </c>
      <c r="E532" s="454" t="s">
        <v>1666</v>
      </c>
      <c r="F532" s="454" t="s">
        <v>1666</v>
      </c>
      <c r="G532" s="454" t="s">
        <v>1666</v>
      </c>
      <c r="H532" s="454" t="s">
        <v>1666</v>
      </c>
    </row>
    <row r="533" spans="1:8" ht="12.75">
      <c r="A533" s="13" t="s">
        <v>2668</v>
      </c>
      <c r="B533" s="14" t="s">
        <v>2669</v>
      </c>
      <c r="C533" s="792" t="s">
        <v>1666</v>
      </c>
      <c r="D533" s="18" t="s">
        <v>1666</v>
      </c>
      <c r="E533" s="454" t="s">
        <v>1666</v>
      </c>
      <c r="F533" s="454" t="s">
        <v>1666</v>
      </c>
      <c r="G533" s="454" t="s">
        <v>1666</v>
      </c>
      <c r="H533" s="454" t="s">
        <v>1666</v>
      </c>
    </row>
    <row r="534" spans="1:8" ht="12.75">
      <c r="A534" s="13" t="s">
        <v>2668</v>
      </c>
      <c r="B534" s="14" t="s">
        <v>2669</v>
      </c>
      <c r="C534" s="792" t="s">
        <v>1666</v>
      </c>
      <c r="D534" s="18" t="s">
        <v>1666</v>
      </c>
      <c r="E534" s="454" t="s">
        <v>1666</v>
      </c>
      <c r="F534" s="454" t="s">
        <v>1666</v>
      </c>
      <c r="G534" s="454" t="s">
        <v>1666</v>
      </c>
      <c r="H534" s="454" t="s">
        <v>1666</v>
      </c>
    </row>
    <row r="535" spans="1:8" ht="12.75">
      <c r="A535" s="13" t="s">
        <v>2668</v>
      </c>
      <c r="B535" s="14" t="s">
        <v>2669</v>
      </c>
      <c r="C535" s="792" t="s">
        <v>1666</v>
      </c>
      <c r="D535" s="18" t="s">
        <v>1666</v>
      </c>
      <c r="E535" s="454" t="s">
        <v>1666</v>
      </c>
      <c r="F535" s="454" t="s">
        <v>1666</v>
      </c>
      <c r="G535" s="454" t="s">
        <v>1666</v>
      </c>
      <c r="H535" s="454" t="s">
        <v>1666</v>
      </c>
    </row>
    <row r="536" spans="1:8" ht="12.75">
      <c r="A536" s="13" t="s">
        <v>2668</v>
      </c>
      <c r="B536" s="14" t="s">
        <v>2669</v>
      </c>
      <c r="C536" s="792" t="s">
        <v>1666</v>
      </c>
      <c r="D536" s="18" t="s">
        <v>1666</v>
      </c>
      <c r="E536" s="454" t="s">
        <v>1666</v>
      </c>
      <c r="F536" s="454" t="s">
        <v>1666</v>
      </c>
      <c r="G536" s="454" t="s">
        <v>1666</v>
      </c>
      <c r="H536" s="454" t="s">
        <v>1666</v>
      </c>
    </row>
    <row r="537" spans="1:8" ht="12.75">
      <c r="A537" s="13" t="s">
        <v>2668</v>
      </c>
      <c r="B537" s="14" t="s">
        <v>2669</v>
      </c>
      <c r="C537" s="792" t="s">
        <v>1666</v>
      </c>
      <c r="D537" s="18" t="s">
        <v>1666</v>
      </c>
      <c r="E537" s="454" t="s">
        <v>1666</v>
      </c>
      <c r="F537" s="454" t="s">
        <v>1666</v>
      </c>
      <c r="G537" s="454" t="s">
        <v>1666</v>
      </c>
      <c r="H537" s="454" t="s">
        <v>1666</v>
      </c>
    </row>
    <row r="538" spans="1:8" ht="12.75">
      <c r="A538" s="13" t="s">
        <v>2668</v>
      </c>
      <c r="B538" s="14" t="s">
        <v>2669</v>
      </c>
      <c r="C538" s="792" t="s">
        <v>1666</v>
      </c>
      <c r="D538" s="18" t="s">
        <v>1666</v>
      </c>
      <c r="E538" s="454" t="s">
        <v>1666</v>
      </c>
      <c r="F538" s="454" t="s">
        <v>1666</v>
      </c>
      <c r="G538" s="454" t="s">
        <v>1666</v>
      </c>
      <c r="H538" s="454" t="s">
        <v>1666</v>
      </c>
    </row>
    <row r="539" spans="1:8" ht="12.75">
      <c r="A539" s="13" t="s">
        <v>2668</v>
      </c>
      <c r="B539" s="14" t="s">
        <v>2669</v>
      </c>
      <c r="C539" s="792" t="s">
        <v>1666</v>
      </c>
      <c r="D539" s="18" t="s">
        <v>1666</v>
      </c>
      <c r="E539" s="454" t="s">
        <v>1666</v>
      </c>
      <c r="F539" s="454" t="s">
        <v>1666</v>
      </c>
      <c r="G539" s="454" t="s">
        <v>1666</v>
      </c>
      <c r="H539" s="454" t="s">
        <v>1666</v>
      </c>
    </row>
    <row r="540" spans="1:8" ht="12.75">
      <c r="A540" s="13" t="s">
        <v>2668</v>
      </c>
      <c r="B540" s="14" t="s">
        <v>2669</v>
      </c>
      <c r="C540" s="792" t="s">
        <v>1666</v>
      </c>
      <c r="D540" s="18" t="s">
        <v>1666</v>
      </c>
      <c r="E540" s="454" t="s">
        <v>1666</v>
      </c>
      <c r="F540" s="454" t="s">
        <v>1666</v>
      </c>
      <c r="G540" s="454" t="s">
        <v>1666</v>
      </c>
      <c r="H540" s="454" t="s">
        <v>1666</v>
      </c>
    </row>
    <row r="541" spans="1:8" ht="12.75">
      <c r="A541" s="799" t="s">
        <v>2668</v>
      </c>
      <c r="B541" s="617" t="s">
        <v>2669</v>
      </c>
      <c r="C541" s="455" t="s">
        <v>1666</v>
      </c>
      <c r="D541" s="793" t="s">
        <v>1666</v>
      </c>
      <c r="E541" s="808" t="s">
        <v>1666</v>
      </c>
      <c r="F541" s="808" t="s">
        <v>1666</v>
      </c>
      <c r="G541" s="808" t="s">
        <v>1666</v>
      </c>
      <c r="H541" s="808" t="s">
        <v>1666</v>
      </c>
    </row>
    <row r="542" spans="1:8" ht="12.75">
      <c r="A542" s="13" t="s">
        <v>2668</v>
      </c>
      <c r="B542" s="14" t="s">
        <v>2676</v>
      </c>
      <c r="C542" s="792">
        <v>12.935323383084578</v>
      </c>
      <c r="D542" s="18" t="s">
        <v>2677</v>
      </c>
      <c r="E542" s="12">
        <v>7.6594132480302998E-3</v>
      </c>
      <c r="F542" s="12">
        <v>0.25452159072024799</v>
      </c>
      <c r="G542" s="12">
        <v>2.4499999999999999E-4</v>
      </c>
      <c r="H542" s="12">
        <v>3.0864741882572887E-4</v>
      </c>
    </row>
    <row r="543" spans="1:8" ht="12.75">
      <c r="A543" s="13" t="s">
        <v>2668</v>
      </c>
      <c r="B543" s="14" t="s">
        <v>2676</v>
      </c>
      <c r="C543" s="792">
        <v>85.572139303482587</v>
      </c>
      <c r="D543" s="18" t="s">
        <v>250</v>
      </c>
      <c r="E543" s="12">
        <v>1.4348768881534335E-3</v>
      </c>
      <c r="F543" s="12">
        <v>4.768082570221005E-2</v>
      </c>
      <c r="G543" s="12">
        <v>4.5897097625329815E-5</v>
      </c>
      <c r="H543" s="12">
        <v>5.7820492708777707E-5</v>
      </c>
    </row>
    <row r="544" spans="1:8" ht="12.75">
      <c r="A544" s="13" t="s">
        <v>2668</v>
      </c>
      <c r="B544" s="14" t="s">
        <v>2676</v>
      </c>
      <c r="C544" s="796">
        <v>8.2191780821917799</v>
      </c>
      <c r="D544" s="456" t="s">
        <v>72</v>
      </c>
      <c r="E544" s="457">
        <v>0</v>
      </c>
      <c r="F544" s="457">
        <v>0</v>
      </c>
      <c r="G544" s="457">
        <v>0</v>
      </c>
      <c r="H544" s="457">
        <v>0</v>
      </c>
    </row>
    <row r="545" spans="1:8" ht="12.75">
      <c r="A545" s="13" t="s">
        <v>2668</v>
      </c>
      <c r="B545" s="14" t="s">
        <v>2676</v>
      </c>
      <c r="C545" s="792" t="s">
        <v>1666</v>
      </c>
      <c r="D545" s="18" t="s">
        <v>1666</v>
      </c>
      <c r="E545" s="454" t="s">
        <v>1666</v>
      </c>
      <c r="F545" s="454" t="s">
        <v>1666</v>
      </c>
      <c r="G545" s="454" t="s">
        <v>1666</v>
      </c>
      <c r="H545" s="454" t="s">
        <v>1666</v>
      </c>
    </row>
    <row r="546" spans="1:8" ht="12.75">
      <c r="A546" s="13" t="s">
        <v>2668</v>
      </c>
      <c r="B546" s="14" t="s">
        <v>2676</v>
      </c>
      <c r="C546" s="792">
        <v>1.4925373134328359</v>
      </c>
      <c r="D546" s="18" t="s">
        <v>433</v>
      </c>
      <c r="E546" s="12">
        <v>3.0104466724907065E-4</v>
      </c>
      <c r="F546" s="12">
        <v>1.2500000000000001E-2</v>
      </c>
      <c r="G546" s="12">
        <v>5.1818181818181835E-4</v>
      </c>
      <c r="H546" s="12">
        <v>4.0084080366977777E-4</v>
      </c>
    </row>
    <row r="547" spans="1:8" ht="12.75">
      <c r="A547" s="13" t="s">
        <v>2668</v>
      </c>
      <c r="B547" s="14" t="s">
        <v>2676</v>
      </c>
      <c r="C547" s="792" t="s">
        <v>1666</v>
      </c>
      <c r="D547" s="18" t="s">
        <v>1666</v>
      </c>
      <c r="E547" s="454" t="s">
        <v>1666</v>
      </c>
      <c r="F547" s="454" t="s">
        <v>1666</v>
      </c>
      <c r="G547" s="454" t="s">
        <v>1666</v>
      </c>
      <c r="H547" s="454" t="s">
        <v>1666</v>
      </c>
    </row>
    <row r="548" spans="1:8" ht="12.75">
      <c r="A548" s="799" t="s">
        <v>2668</v>
      </c>
      <c r="B548" s="617" t="s">
        <v>2676</v>
      </c>
      <c r="C548" s="455" t="s">
        <v>1666</v>
      </c>
      <c r="D548" s="793" t="s">
        <v>1666</v>
      </c>
      <c r="E548" s="808" t="s">
        <v>1666</v>
      </c>
      <c r="F548" s="808" t="s">
        <v>1666</v>
      </c>
      <c r="G548" s="808" t="s">
        <v>1666</v>
      </c>
      <c r="H548" s="808" t="s">
        <v>1666</v>
      </c>
    </row>
    <row r="549" spans="1:8" ht="12.75">
      <c r="A549" s="24" t="s">
        <v>2668</v>
      </c>
      <c r="B549" s="14" t="s">
        <v>2678</v>
      </c>
      <c r="C549" s="792">
        <v>3.7433628318584069</v>
      </c>
      <c r="D549" s="18" t="s">
        <v>271</v>
      </c>
      <c r="E549" s="12">
        <v>8.4188576965875186E-3</v>
      </c>
      <c r="F549" s="12">
        <v>3.7019919874172996E-2</v>
      </c>
      <c r="G549" s="12">
        <v>2.5000000000000001E-5</v>
      </c>
      <c r="H549" s="12">
        <v>2.4250868622021553E-4</v>
      </c>
    </row>
    <row r="550" spans="1:8" ht="12.75">
      <c r="A550" s="24" t="s">
        <v>2668</v>
      </c>
      <c r="B550" s="14" t="s">
        <v>2678</v>
      </c>
      <c r="C550" s="792">
        <v>14.973451327433628</v>
      </c>
      <c r="D550" s="18" t="s">
        <v>2679</v>
      </c>
      <c r="E550" s="12">
        <v>1.7787585381719634E-3</v>
      </c>
      <c r="F550" s="12">
        <v>3.4499318293470541E-2</v>
      </c>
      <c r="G550" s="12">
        <v>2.7449152542372882E-5</v>
      </c>
      <c r="H550" s="12">
        <v>1.0724189976148208E-4</v>
      </c>
    </row>
    <row r="551" spans="1:8" ht="12.75">
      <c r="A551" s="24" t="s">
        <v>2668</v>
      </c>
      <c r="B551" s="14" t="s">
        <v>2678</v>
      </c>
      <c r="C551" s="792">
        <v>14.973451327433628</v>
      </c>
      <c r="D551" s="18" t="s">
        <v>250</v>
      </c>
      <c r="E551" s="12">
        <v>1.4348768881534335E-3</v>
      </c>
      <c r="F551" s="12">
        <v>4.768082570221005E-2</v>
      </c>
      <c r="G551" s="12">
        <v>4.5897097625329815E-5</v>
      </c>
      <c r="H551" s="12">
        <v>5.7820492708777707E-5</v>
      </c>
    </row>
    <row r="552" spans="1:8" ht="12.75">
      <c r="A552" s="24" t="s">
        <v>2668</v>
      </c>
      <c r="B552" s="14" t="s">
        <v>2678</v>
      </c>
      <c r="C552" s="792">
        <v>13.309734513274334</v>
      </c>
      <c r="D552" s="18" t="s">
        <v>217</v>
      </c>
      <c r="E552" s="12">
        <v>5.0851930036188197E-3</v>
      </c>
      <c r="F552" s="12">
        <v>5.9995417730640897E-2</v>
      </c>
      <c r="G552" s="12">
        <v>3.4699999999999998E-4</v>
      </c>
      <c r="H552" s="12">
        <v>2.9762429672480995E-4</v>
      </c>
    </row>
    <row r="553" spans="1:8" ht="12.75">
      <c r="A553" s="24" t="s">
        <v>2668</v>
      </c>
      <c r="B553" s="14" t="s">
        <v>2678</v>
      </c>
      <c r="C553" s="796">
        <v>63.838865056036362</v>
      </c>
      <c r="D553" s="456" t="s">
        <v>72</v>
      </c>
      <c r="E553" s="457">
        <v>0</v>
      </c>
      <c r="F553" s="457">
        <v>0</v>
      </c>
      <c r="G553" s="457">
        <v>0</v>
      </c>
      <c r="H553" s="457">
        <v>0</v>
      </c>
    </row>
    <row r="554" spans="1:8" ht="12.75">
      <c r="A554" s="24" t="s">
        <v>2668</v>
      </c>
      <c r="B554" s="14" t="s">
        <v>2678</v>
      </c>
      <c r="C554" s="792">
        <v>25.94142259414226</v>
      </c>
      <c r="D554" s="18" t="s">
        <v>2658</v>
      </c>
      <c r="E554" s="12">
        <v>5.0851930036188197E-3</v>
      </c>
      <c r="F554" s="12">
        <v>5.9995417730640897E-2</v>
      </c>
      <c r="G554" s="12">
        <v>3.4699999999999998E-4</v>
      </c>
      <c r="H554" s="12">
        <v>2.9762429672480995E-4</v>
      </c>
    </row>
    <row r="555" spans="1:8" ht="12.75">
      <c r="A555" s="24" t="s">
        <v>2668</v>
      </c>
      <c r="B555" s="14" t="s">
        <v>2678</v>
      </c>
      <c r="C555" s="792">
        <v>0.51882845188284521</v>
      </c>
      <c r="D555" s="18" t="s">
        <v>83</v>
      </c>
      <c r="E555" s="12">
        <v>0</v>
      </c>
      <c r="F555" s="12">
        <v>0</v>
      </c>
      <c r="G555" s="12">
        <v>0</v>
      </c>
      <c r="H555" s="12">
        <v>0</v>
      </c>
    </row>
    <row r="556" spans="1:8" ht="12.75">
      <c r="A556" s="24" t="s">
        <v>2668</v>
      </c>
      <c r="B556" s="14" t="s">
        <v>2678</v>
      </c>
      <c r="C556" s="792">
        <v>4.3235704323570436</v>
      </c>
      <c r="D556" s="18" t="s">
        <v>2680</v>
      </c>
      <c r="E556" s="12">
        <v>2.5425965018094099E-4</v>
      </c>
      <c r="F556" s="12">
        <v>2.999770886532045E-3</v>
      </c>
      <c r="G556" s="12">
        <v>1.7349999999999998E-5</v>
      </c>
      <c r="H556" s="12">
        <v>1.4881214836240498E-5</v>
      </c>
    </row>
    <row r="557" spans="1:8" ht="12.75">
      <c r="A557" s="24" t="s">
        <v>2668</v>
      </c>
      <c r="B557" s="14" t="s">
        <v>2678</v>
      </c>
      <c r="C557" s="792">
        <v>0.21617852161785217</v>
      </c>
      <c r="D557" s="18" t="s">
        <v>81</v>
      </c>
      <c r="E557" s="12">
        <v>1.9912385503783353E-2</v>
      </c>
      <c r="F557" s="12">
        <v>5.6949422540820388E-2</v>
      </c>
      <c r="G557" s="12">
        <v>3.8829151732377542E-3</v>
      </c>
      <c r="H557" s="12">
        <v>5.6321186778176026E-3</v>
      </c>
    </row>
    <row r="558" spans="1:8" ht="12.75">
      <c r="A558" s="24" t="s">
        <v>2668</v>
      </c>
      <c r="B558" s="14" t="s">
        <v>2678</v>
      </c>
      <c r="C558" s="792" t="s">
        <v>1666</v>
      </c>
      <c r="D558" s="18" t="s">
        <v>1666</v>
      </c>
      <c r="E558" s="454" t="s">
        <v>1666</v>
      </c>
      <c r="F558" s="454" t="s">
        <v>1666</v>
      </c>
      <c r="G558" s="454" t="s">
        <v>1666</v>
      </c>
      <c r="H558" s="454" t="s">
        <v>1666</v>
      </c>
    </row>
    <row r="559" spans="1:8" ht="12.75">
      <c r="A559" s="24" t="s">
        <v>2668</v>
      </c>
      <c r="B559" s="14" t="s">
        <v>2678</v>
      </c>
      <c r="C559" s="792">
        <v>22</v>
      </c>
      <c r="D559" s="18" t="s">
        <v>232</v>
      </c>
      <c r="E559" s="12">
        <v>3.1468479298981202E-3</v>
      </c>
      <c r="F559" s="12">
        <v>0.16906375764329037</v>
      </c>
      <c r="G559" s="12">
        <v>9.759036144578314E-5</v>
      </c>
      <c r="H559" s="12">
        <v>7.171669800597832E-4</v>
      </c>
    </row>
    <row r="560" spans="1:8" ht="12.75">
      <c r="A560" s="794" t="s">
        <v>2668</v>
      </c>
      <c r="B560" s="617" t="s">
        <v>2678</v>
      </c>
      <c r="C560" s="455" t="s">
        <v>1666</v>
      </c>
      <c r="D560" s="793" t="s">
        <v>1666</v>
      </c>
      <c r="E560" s="808" t="s">
        <v>1666</v>
      </c>
      <c r="F560" s="808" t="s">
        <v>1666</v>
      </c>
      <c r="G560" s="808" t="s">
        <v>1666</v>
      </c>
      <c r="H560" s="808" t="s">
        <v>1666</v>
      </c>
    </row>
    <row r="561" spans="1:8" ht="12.75">
      <c r="A561" s="24" t="s">
        <v>2668</v>
      </c>
      <c r="B561" t="s">
        <v>2681</v>
      </c>
      <c r="C561" s="792">
        <v>67.613252197430711</v>
      </c>
      <c r="D561" s="18" t="s">
        <v>2658</v>
      </c>
      <c r="E561" s="12">
        <v>5.0851930036188197E-3</v>
      </c>
      <c r="F561" s="12">
        <v>5.9995417730640897E-2</v>
      </c>
      <c r="G561" s="12">
        <v>3.4699999999999998E-4</v>
      </c>
      <c r="H561" s="12">
        <v>2.9762429672480995E-4</v>
      </c>
    </row>
    <row r="562" spans="1:8" ht="12.75">
      <c r="A562" s="24" t="s">
        <v>2668</v>
      </c>
      <c r="B562" t="s">
        <v>2681</v>
      </c>
      <c r="C562" s="792">
        <v>6.7613252197430702</v>
      </c>
      <c r="D562" s="18" t="s">
        <v>2662</v>
      </c>
      <c r="E562" s="12">
        <v>6.399192301960112E-3</v>
      </c>
      <c r="F562" s="12">
        <v>0.12411340117772937</v>
      </c>
      <c r="G562" s="12">
        <v>9.8749999999999988E-5</v>
      </c>
      <c r="H562" s="12">
        <v>3.8580927353216109E-4</v>
      </c>
    </row>
    <row r="563" spans="1:8" ht="12.75">
      <c r="A563" s="24" t="s">
        <v>2668</v>
      </c>
      <c r="B563" t="s">
        <v>2681</v>
      </c>
      <c r="C563" s="810">
        <v>25.265285497726122</v>
      </c>
      <c r="D563" s="456" t="s">
        <v>72</v>
      </c>
      <c r="E563" s="457">
        <v>0</v>
      </c>
      <c r="F563" s="457">
        <v>0</v>
      </c>
      <c r="G563" s="457">
        <v>0</v>
      </c>
      <c r="H563" s="457">
        <v>0</v>
      </c>
    </row>
    <row r="564" spans="1:8" ht="12.75">
      <c r="A564" s="24" t="s">
        <v>2668</v>
      </c>
      <c r="B564" t="s">
        <v>2681</v>
      </c>
      <c r="C564" s="792">
        <v>5.67951318458418</v>
      </c>
      <c r="D564" s="18" t="s">
        <v>425</v>
      </c>
      <c r="E564" s="12">
        <v>3.8102374934982654E-3</v>
      </c>
      <c r="F564" s="12">
        <v>0.20470422547079484</v>
      </c>
      <c r="G564" s="12">
        <v>1.210810810810811E-4</v>
      </c>
      <c r="H564" s="12">
        <v>1.0002400855855065E-3</v>
      </c>
    </row>
    <row r="565" spans="1:8" ht="12.75">
      <c r="A565" s="24" t="s">
        <v>2668</v>
      </c>
      <c r="B565" t="s">
        <v>2681</v>
      </c>
      <c r="C565" s="792">
        <v>5.4090601757944574</v>
      </c>
      <c r="D565" s="18" t="s">
        <v>124</v>
      </c>
      <c r="E565" s="12">
        <v>3.9416473933649287E-3</v>
      </c>
      <c r="F565" s="12">
        <v>1.1589150710900475E-2</v>
      </c>
      <c r="G565" s="12">
        <v>7.7264934597156404E-5</v>
      </c>
      <c r="H565" s="12">
        <v>7.2702369668246447E-4</v>
      </c>
    </row>
    <row r="566" spans="1:8" ht="12.75">
      <c r="A566" s="24" t="s">
        <v>2668</v>
      </c>
      <c r="B566" t="s">
        <v>2681</v>
      </c>
      <c r="C566" s="792">
        <v>4.0567951318458428</v>
      </c>
      <c r="D566" s="18" t="s">
        <v>86</v>
      </c>
      <c r="E566" s="12">
        <v>0</v>
      </c>
      <c r="F566" s="12">
        <v>0</v>
      </c>
      <c r="G566" s="12">
        <v>0</v>
      </c>
      <c r="H566" s="12">
        <v>0</v>
      </c>
    </row>
    <row r="567" spans="1:8" ht="12.75">
      <c r="A567" s="24" t="s">
        <v>2668</v>
      </c>
      <c r="B567" t="s">
        <v>2681</v>
      </c>
      <c r="C567" s="792">
        <v>3.110209601081813</v>
      </c>
      <c r="D567" s="18" t="s">
        <v>346</v>
      </c>
      <c r="E567" s="12">
        <v>2.9691872042618299E-2</v>
      </c>
      <c r="F567" s="12">
        <v>7.5368545517799299E-2</v>
      </c>
      <c r="G567" s="12">
        <v>2.9014018691588786E-4</v>
      </c>
      <c r="H567" s="12">
        <v>1.4770983615231311E-3</v>
      </c>
    </row>
    <row r="568" spans="1:8" ht="12.75">
      <c r="A568" s="24" t="s">
        <v>2668</v>
      </c>
      <c r="B568" t="s">
        <v>2681</v>
      </c>
      <c r="C568" s="792">
        <v>0.40567951318458423</v>
      </c>
      <c r="D568" s="18" t="s">
        <v>340</v>
      </c>
      <c r="E568" s="12">
        <v>2.1708241661196198E-2</v>
      </c>
      <c r="F568" s="12">
        <v>0.36572952458380198</v>
      </c>
      <c r="G568" s="12">
        <v>4.6350652173913045E-4</v>
      </c>
      <c r="H568" s="12">
        <v>1.6975608035415088E-3</v>
      </c>
    </row>
    <row r="569" spans="1:8" ht="12.75">
      <c r="A569" s="24" t="s">
        <v>2668</v>
      </c>
      <c r="B569" t="s">
        <v>2681</v>
      </c>
      <c r="C569" s="792">
        <v>1.3522650439486144</v>
      </c>
      <c r="D569" s="18" t="s">
        <v>83</v>
      </c>
      <c r="E569" s="12">
        <v>0</v>
      </c>
      <c r="F569" s="12">
        <v>0</v>
      </c>
      <c r="G569" s="12">
        <v>0</v>
      </c>
      <c r="H569" s="12">
        <v>0</v>
      </c>
    </row>
    <row r="570" spans="1:8" ht="12.75">
      <c r="A570" s="24" t="s">
        <v>2668</v>
      </c>
      <c r="B570" t="s">
        <v>2681</v>
      </c>
      <c r="C570" s="792">
        <v>1.3522650439486144</v>
      </c>
      <c r="D570" s="18" t="s">
        <v>217</v>
      </c>
      <c r="E570" s="12">
        <v>5.0851930036188197E-3</v>
      </c>
      <c r="F570" s="12">
        <v>5.9995417730640897E-2</v>
      </c>
      <c r="G570" s="12">
        <v>3.4699999999999998E-4</v>
      </c>
      <c r="H570" s="12">
        <v>2.9762429672480995E-4</v>
      </c>
    </row>
    <row r="571" spans="1:8" ht="12.75">
      <c r="A571" s="24" t="s">
        <v>2668</v>
      </c>
      <c r="B571" t="s">
        <v>2681</v>
      </c>
      <c r="C571" s="792">
        <v>1.3522650439486144</v>
      </c>
      <c r="D571" s="18" t="s">
        <v>430</v>
      </c>
      <c r="E571" s="12">
        <v>0</v>
      </c>
      <c r="F571" s="12">
        <v>0</v>
      </c>
      <c r="G571" s="12">
        <v>0</v>
      </c>
      <c r="H571" s="12">
        <v>0</v>
      </c>
    </row>
    <row r="572" spans="1:8" ht="12.75">
      <c r="A572" s="24" t="s">
        <v>2668</v>
      </c>
      <c r="B572" t="s">
        <v>2681</v>
      </c>
      <c r="C572" s="792" t="s">
        <v>1666</v>
      </c>
      <c r="D572" s="18" t="s">
        <v>1666</v>
      </c>
      <c r="E572" s="454" t="s">
        <v>1666</v>
      </c>
      <c r="F572" s="454" t="s">
        <v>1666</v>
      </c>
      <c r="G572" s="454" t="s">
        <v>1666</v>
      </c>
      <c r="H572" s="454" t="s">
        <v>1666</v>
      </c>
    </row>
    <row r="573" spans="1:8" ht="12.75">
      <c r="A573" s="24" t="s">
        <v>2668</v>
      </c>
      <c r="B573" t="s">
        <v>2681</v>
      </c>
      <c r="C573" s="792">
        <v>0.94658553076403007</v>
      </c>
      <c r="D573" s="18" t="s">
        <v>2530</v>
      </c>
      <c r="E573" s="12">
        <v>2.5055367220000002E-3</v>
      </c>
      <c r="F573" s="12">
        <v>3.8459841414181101E-2</v>
      </c>
      <c r="G573" s="12">
        <v>1.1035422343324251E-4</v>
      </c>
      <c r="H573" s="12">
        <v>8.109653861711444E-4</v>
      </c>
    </row>
    <row r="574" spans="1:8" ht="12.75">
      <c r="A574" s="24" t="s">
        <v>2668</v>
      </c>
      <c r="B574" t="s">
        <v>2681</v>
      </c>
      <c r="C574" s="792">
        <v>0.67613252197430718</v>
      </c>
      <c r="D574" s="18" t="s">
        <v>2661</v>
      </c>
      <c r="E574" s="12">
        <v>3.0177940758293843E-3</v>
      </c>
      <c r="F574" s="12">
        <v>8.8728561611374421E-3</v>
      </c>
      <c r="G574" s="12">
        <v>5.9155383175355464E-5</v>
      </c>
      <c r="H574" s="12">
        <v>5.56622037914692E-4</v>
      </c>
    </row>
    <row r="575" spans="1:8" ht="12.75">
      <c r="A575" s="24" t="s">
        <v>2668</v>
      </c>
      <c r="B575" t="s">
        <v>2681</v>
      </c>
      <c r="C575" s="792" t="s">
        <v>1666</v>
      </c>
      <c r="D575" s="18" t="s">
        <v>1666</v>
      </c>
      <c r="E575" s="454" t="s">
        <v>1666</v>
      </c>
      <c r="F575" s="454" t="s">
        <v>1666</v>
      </c>
      <c r="G575" s="454" t="s">
        <v>1666</v>
      </c>
      <c r="H575" s="454" t="s">
        <v>1666</v>
      </c>
    </row>
    <row r="576" spans="1:8" ht="12.75">
      <c r="A576" s="24" t="s">
        <v>2668</v>
      </c>
      <c r="B576" t="s">
        <v>2681</v>
      </c>
      <c r="C576" s="792">
        <v>0.67613252197430718</v>
      </c>
      <c r="D576" s="18" t="s">
        <v>85</v>
      </c>
      <c r="E576" s="12">
        <v>2.0262392565709405E-4</v>
      </c>
      <c r="F576" s="12">
        <v>1.0885928720785719E-2</v>
      </c>
      <c r="G576" s="12">
        <v>6.2837933649623454E-6</v>
      </c>
      <c r="H576" s="12">
        <v>4.6142098112569087E-5</v>
      </c>
    </row>
    <row r="577" spans="1:8" ht="12.75">
      <c r="A577" s="24" t="s">
        <v>2668</v>
      </c>
      <c r="B577" t="s">
        <v>2681</v>
      </c>
      <c r="C577" s="792">
        <v>0.60851926977687643</v>
      </c>
      <c r="D577" s="18" t="s">
        <v>433</v>
      </c>
      <c r="E577" s="12">
        <v>3.0104466724907065E-4</v>
      </c>
      <c r="F577" s="12">
        <v>1.2500000000000001E-2</v>
      </c>
      <c r="G577" s="12">
        <v>5.1818181818181835E-4</v>
      </c>
      <c r="H577" s="12">
        <v>4.0084080366977777E-4</v>
      </c>
    </row>
    <row r="578" spans="1:8" ht="12.75">
      <c r="A578" s="24" t="s">
        <v>2668</v>
      </c>
      <c r="B578" t="s">
        <v>2681</v>
      </c>
      <c r="C578" s="792" t="s">
        <v>1666</v>
      </c>
      <c r="D578" s="18" t="s">
        <v>1666</v>
      </c>
      <c r="E578" s="454" t="s">
        <v>1666</v>
      </c>
      <c r="F578" s="454" t="s">
        <v>1666</v>
      </c>
      <c r="G578" s="454" t="s">
        <v>1666</v>
      </c>
      <c r="H578" s="454" t="s">
        <v>1666</v>
      </c>
    </row>
    <row r="579" spans="1:8" ht="12.75">
      <c r="A579" s="24" t="s">
        <v>2668</v>
      </c>
      <c r="B579" t="s">
        <v>2681</v>
      </c>
      <c r="C579" s="792" t="s">
        <v>1666</v>
      </c>
      <c r="D579" s="18" t="s">
        <v>1666</v>
      </c>
      <c r="E579" s="454" t="s">
        <v>1666</v>
      </c>
      <c r="F579" s="454" t="s">
        <v>1666</v>
      </c>
      <c r="G579" s="454" t="s">
        <v>1666</v>
      </c>
      <c r="H579" s="454" t="s">
        <v>1666</v>
      </c>
    </row>
    <row r="580" spans="1:8" ht="12.75">
      <c r="A580" s="794" t="s">
        <v>2668</v>
      </c>
      <c r="B580" s="812" t="s">
        <v>2681</v>
      </c>
      <c r="C580" s="455" t="s">
        <v>1666</v>
      </c>
      <c r="D580" s="793" t="s">
        <v>1666</v>
      </c>
      <c r="E580" s="808" t="s">
        <v>1666</v>
      </c>
      <c r="F580" s="808" t="s">
        <v>1666</v>
      </c>
      <c r="G580" s="808" t="s">
        <v>1666</v>
      </c>
      <c r="H580" s="808" t="s">
        <v>1666</v>
      </c>
    </row>
    <row r="581" spans="1:8" ht="12.75">
      <c r="A581" s="24" t="s">
        <v>2668</v>
      </c>
      <c r="B581" s="14" t="s">
        <v>2682</v>
      </c>
      <c r="C581" s="792">
        <v>58.394160583941613</v>
      </c>
      <c r="D581" s="18" t="s">
        <v>2658</v>
      </c>
      <c r="E581" s="12">
        <v>5.0851930036188197E-3</v>
      </c>
      <c r="F581" s="12">
        <v>5.9995417730640897E-2</v>
      </c>
      <c r="G581" s="12">
        <v>3.4699999999999998E-4</v>
      </c>
      <c r="H581" s="12">
        <v>2.9762429672480995E-4</v>
      </c>
    </row>
    <row r="582" spans="1:8" ht="12.75">
      <c r="A582" s="24" t="s">
        <v>2668</v>
      </c>
      <c r="B582" s="14" t="s">
        <v>2682</v>
      </c>
      <c r="C582" s="792">
        <v>4.3795620437956204</v>
      </c>
      <c r="D582" s="18" t="s">
        <v>2662</v>
      </c>
      <c r="E582" s="12">
        <v>6.399192301960112E-3</v>
      </c>
      <c r="F582" s="12">
        <v>0.12411340117772937</v>
      </c>
      <c r="G582" s="12">
        <v>9.8749999999999988E-5</v>
      </c>
      <c r="H582" s="12">
        <v>3.8580927353216109E-4</v>
      </c>
    </row>
    <row r="583" spans="1:8" ht="12.75">
      <c r="A583" s="24" t="s">
        <v>2668</v>
      </c>
      <c r="B583" s="14" t="s">
        <v>2682</v>
      </c>
      <c r="C583" s="810">
        <v>30.456852791878173</v>
      </c>
      <c r="D583" s="456" t="s">
        <v>72</v>
      </c>
      <c r="E583" s="457">
        <v>0</v>
      </c>
      <c r="F583" s="457">
        <v>0</v>
      </c>
      <c r="G583" s="457">
        <v>0</v>
      </c>
      <c r="H583" s="457">
        <v>0</v>
      </c>
    </row>
    <row r="584" spans="1:8" ht="12.75">
      <c r="A584" s="24" t="s">
        <v>2668</v>
      </c>
      <c r="B584" s="14" t="s">
        <v>2682</v>
      </c>
      <c r="C584" s="792">
        <v>18.978102189781023</v>
      </c>
      <c r="D584" s="18" t="s">
        <v>271</v>
      </c>
      <c r="E584" s="12">
        <v>8.4188576965875186E-3</v>
      </c>
      <c r="F584" s="12">
        <v>3.7019919874172996E-2</v>
      </c>
      <c r="G584" s="12">
        <v>2.5000000000000001E-5</v>
      </c>
      <c r="H584" s="12">
        <v>2.4250868622021553E-4</v>
      </c>
    </row>
    <row r="585" spans="1:8" ht="12.75">
      <c r="A585" s="24" t="s">
        <v>2668</v>
      </c>
      <c r="B585" s="14" t="s">
        <v>2682</v>
      </c>
      <c r="C585" s="792">
        <v>2.9197080291970803</v>
      </c>
      <c r="D585" s="18" t="s">
        <v>433</v>
      </c>
      <c r="E585" s="12">
        <v>3.0104466724907065E-4</v>
      </c>
      <c r="F585" s="12">
        <v>1.2500000000000001E-2</v>
      </c>
      <c r="G585" s="12">
        <v>5.1818181818181835E-4</v>
      </c>
      <c r="H585" s="12">
        <v>4.0084080366977777E-4</v>
      </c>
    </row>
    <row r="586" spans="1:8" ht="12.75">
      <c r="A586" s="24" t="s">
        <v>2668</v>
      </c>
      <c r="B586" s="14" t="s">
        <v>2682</v>
      </c>
      <c r="C586" s="792">
        <v>2.9197080291970803</v>
      </c>
      <c r="D586" s="18" t="s">
        <v>425</v>
      </c>
      <c r="E586" s="12">
        <v>3.8102374934982654E-3</v>
      </c>
      <c r="F586" s="12">
        <v>0.20470422547079484</v>
      </c>
      <c r="G586" s="12">
        <v>1.210810810810811E-4</v>
      </c>
      <c r="H586" s="12">
        <v>1.0002400855855065E-3</v>
      </c>
    </row>
    <row r="587" spans="1:8" ht="12.75">
      <c r="A587" s="24" t="s">
        <v>2668</v>
      </c>
      <c r="B587" s="14" t="s">
        <v>2682</v>
      </c>
      <c r="C587" s="792">
        <v>2.9197080291970803</v>
      </c>
      <c r="D587" s="18" t="s">
        <v>2663</v>
      </c>
      <c r="E587" s="12">
        <v>3.1660297063617504E-2</v>
      </c>
      <c r="F587" s="12">
        <v>0.3735301190055475</v>
      </c>
      <c r="G587" s="12">
        <v>2.1604141815772032E-3</v>
      </c>
      <c r="H587" s="12">
        <v>1.8530021654934324E-3</v>
      </c>
    </row>
    <row r="588" spans="1:8" ht="12.75">
      <c r="A588" s="24" t="s">
        <v>2668</v>
      </c>
      <c r="B588" s="14" t="s">
        <v>2682</v>
      </c>
      <c r="C588" s="792">
        <v>3.6496350364963503</v>
      </c>
      <c r="D588" s="18" t="s">
        <v>2683</v>
      </c>
      <c r="E588" s="12">
        <v>2.9691872042618299E-2</v>
      </c>
      <c r="F588" s="12">
        <v>7.5368545517799299E-2</v>
      </c>
      <c r="G588" s="12">
        <v>2.9014018691588786E-4</v>
      </c>
      <c r="H588" s="12">
        <v>1.4770983615231311E-3</v>
      </c>
    </row>
    <row r="589" spans="1:8" ht="12.75">
      <c r="A589" s="24" t="s">
        <v>2668</v>
      </c>
      <c r="B589" s="14" t="s">
        <v>2682</v>
      </c>
      <c r="C589" s="792">
        <v>1.4598540145985401</v>
      </c>
      <c r="D589" s="18" t="s">
        <v>2684</v>
      </c>
      <c r="E589" s="12">
        <v>4.7062756261925113E-3</v>
      </c>
      <c r="F589" s="12">
        <v>3.8210906557435767E-2</v>
      </c>
      <c r="G589" s="12">
        <v>8.2999999999999998E-5</v>
      </c>
      <c r="H589" s="12">
        <v>5.9908272287602653E-4</v>
      </c>
    </row>
    <row r="590" spans="1:8" ht="12.75">
      <c r="A590" s="24" t="s">
        <v>2668</v>
      </c>
      <c r="B590" s="14" t="s">
        <v>2682</v>
      </c>
      <c r="C590" s="792" t="s">
        <v>1666</v>
      </c>
      <c r="D590" s="18" t="s">
        <v>1666</v>
      </c>
      <c r="E590" s="454" t="s">
        <v>1666</v>
      </c>
      <c r="F590" s="454" t="s">
        <v>1666</v>
      </c>
      <c r="G590" s="454" t="s">
        <v>1666</v>
      </c>
      <c r="H590" s="454" t="s">
        <v>1666</v>
      </c>
    </row>
    <row r="591" spans="1:8" ht="12.75">
      <c r="A591" s="24" t="s">
        <v>2668</v>
      </c>
      <c r="B591" s="14" t="s">
        <v>2682</v>
      </c>
      <c r="C591" s="792">
        <v>1.4598540145985401</v>
      </c>
      <c r="D591" s="18" t="s">
        <v>222</v>
      </c>
      <c r="E591" s="12">
        <v>3.1468479298981202E-3</v>
      </c>
      <c r="F591" s="12">
        <v>0.16906375764329037</v>
      </c>
      <c r="G591" s="12">
        <v>9.759036144578314E-5</v>
      </c>
      <c r="H591" s="12">
        <v>7.171669800597832E-4</v>
      </c>
    </row>
    <row r="592" spans="1:8" ht="12.75">
      <c r="A592" s="24" t="s">
        <v>2668</v>
      </c>
      <c r="B592" s="14" t="s">
        <v>2682</v>
      </c>
      <c r="C592" s="792">
        <v>1.4598540145985401</v>
      </c>
      <c r="D592" s="18" t="s">
        <v>86</v>
      </c>
      <c r="E592" s="12">
        <v>0</v>
      </c>
      <c r="F592" s="12">
        <v>0</v>
      </c>
      <c r="G592" s="12">
        <v>0</v>
      </c>
      <c r="H592" s="12">
        <v>0</v>
      </c>
    </row>
    <row r="593" spans="1:8" ht="12.75">
      <c r="A593" s="24" t="s">
        <v>2668</v>
      </c>
      <c r="B593" s="14" t="s">
        <v>2682</v>
      </c>
      <c r="C593" s="792">
        <v>1.4598540145985401</v>
      </c>
      <c r="D593" s="18" t="s">
        <v>85</v>
      </c>
      <c r="E593" s="12">
        <v>2.0262392565709405E-4</v>
      </c>
      <c r="F593" s="12">
        <v>1.0885928720785719E-2</v>
      </c>
      <c r="G593" s="12">
        <v>6.2837933649623454E-6</v>
      </c>
      <c r="H593" s="12">
        <v>4.6142098112569087E-5</v>
      </c>
    </row>
    <row r="594" spans="1:8" ht="12.75">
      <c r="A594" s="794" t="s">
        <v>2668</v>
      </c>
      <c r="B594" s="617" t="s">
        <v>2682</v>
      </c>
      <c r="C594" s="455" t="s">
        <v>1666</v>
      </c>
      <c r="D594" s="793" t="s">
        <v>1666</v>
      </c>
      <c r="E594" s="808" t="s">
        <v>1666</v>
      </c>
      <c r="F594" s="808" t="s">
        <v>1666</v>
      </c>
      <c r="G594" s="808" t="s">
        <v>1666</v>
      </c>
      <c r="H594" s="808" t="s">
        <v>1666</v>
      </c>
    </row>
    <row r="595" spans="1:8" ht="12.75">
      <c r="A595" s="24" t="s">
        <v>2668</v>
      </c>
      <c r="B595" s="14" t="s">
        <v>2685</v>
      </c>
      <c r="C595" s="792">
        <v>69.503072304743483</v>
      </c>
      <c r="D595" s="18" t="s">
        <v>2686</v>
      </c>
      <c r="E595" s="12">
        <v>5.0851930036188197E-3</v>
      </c>
      <c r="F595" s="12">
        <v>5.9995417730640897E-2</v>
      </c>
      <c r="G595" s="12">
        <v>3.4699999999999998E-4</v>
      </c>
      <c r="H595" s="12">
        <v>2.9762429672480995E-4</v>
      </c>
    </row>
    <row r="596" spans="1:8" ht="12.75">
      <c r="A596" s="24" t="s">
        <v>2668</v>
      </c>
      <c r="B596" s="14" t="s">
        <v>2685</v>
      </c>
      <c r="C596" s="792">
        <v>2.6599965699756734</v>
      </c>
      <c r="D596" s="18" t="s">
        <v>2662</v>
      </c>
      <c r="E596" s="12">
        <v>6.399192301960112E-3</v>
      </c>
      <c r="F596" s="12">
        <v>0.12411340117772937</v>
      </c>
      <c r="G596" s="12">
        <v>9.8749999999999988E-5</v>
      </c>
      <c r="H596" s="12">
        <v>3.8580927353216109E-4</v>
      </c>
    </row>
    <row r="597" spans="1:8" ht="12.75">
      <c r="A597" s="24" t="s">
        <v>2668</v>
      </c>
      <c r="B597" s="14" t="s">
        <v>2685</v>
      </c>
      <c r="C597" s="796">
        <v>27.990338031586671</v>
      </c>
      <c r="D597" s="456" t="s">
        <v>72</v>
      </c>
      <c r="E597" s="457">
        <v>0</v>
      </c>
      <c r="F597" s="457">
        <v>0</v>
      </c>
      <c r="G597" s="457">
        <v>0</v>
      </c>
      <c r="H597" s="457">
        <v>0</v>
      </c>
    </row>
    <row r="598" spans="1:8" ht="12.75">
      <c r="A598" s="24" t="s">
        <v>2668</v>
      </c>
      <c r="B598" s="14" t="s">
        <v>2685</v>
      </c>
      <c r="C598" s="792">
        <v>1.8945376280650348</v>
      </c>
      <c r="D598" s="18" t="s">
        <v>2671</v>
      </c>
      <c r="E598" s="12">
        <v>2.5425965018094099E-4</v>
      </c>
      <c r="F598" s="12">
        <v>2.999770886532045E-3</v>
      </c>
      <c r="G598" s="12">
        <v>1.7349999999999998E-5</v>
      </c>
      <c r="H598" s="12">
        <v>1.4881214836240498E-5</v>
      </c>
    </row>
    <row r="599" spans="1:8" ht="12.75">
      <c r="A599" s="24" t="s">
        <v>2668</v>
      </c>
      <c r="B599" s="14" t="s">
        <v>2685</v>
      </c>
      <c r="C599" s="792" t="s">
        <v>1666</v>
      </c>
      <c r="D599" s="18" t="s">
        <v>1666</v>
      </c>
      <c r="E599" s="454" t="s">
        <v>1666</v>
      </c>
      <c r="F599" s="454" t="s">
        <v>1666</v>
      </c>
      <c r="G599" s="454" t="s">
        <v>1666</v>
      </c>
      <c r="H599" s="454" t="s">
        <v>1666</v>
      </c>
    </row>
    <row r="600" spans="1:8" ht="12.75">
      <c r="A600" s="24" t="s">
        <v>2668</v>
      </c>
      <c r="B600" s="14" t="s">
        <v>2685</v>
      </c>
      <c r="C600" s="792">
        <v>3.8643913451665197</v>
      </c>
      <c r="D600" s="18" t="s">
        <v>425</v>
      </c>
      <c r="E600" s="12">
        <v>3.8102374934982654E-3</v>
      </c>
      <c r="F600" s="12">
        <v>0.20470422547079484</v>
      </c>
      <c r="G600" s="12">
        <v>1.210810810810811E-4</v>
      </c>
      <c r="H600" s="12">
        <v>1.0002400855855065E-3</v>
      </c>
    </row>
    <row r="601" spans="1:8" ht="12.75">
      <c r="A601" s="24" t="s">
        <v>2668</v>
      </c>
      <c r="B601" s="14" t="s">
        <v>2685</v>
      </c>
      <c r="C601" s="792">
        <v>5.5440824668296838</v>
      </c>
      <c r="D601" s="18" t="s">
        <v>1165</v>
      </c>
      <c r="E601" s="12">
        <v>3.1660297063617504E-2</v>
      </c>
      <c r="F601" s="12">
        <v>0.3735301190055475</v>
      </c>
      <c r="G601" s="12">
        <v>2.1604141815772032E-3</v>
      </c>
      <c r="H601" s="12">
        <v>1.8530021654934324E-3</v>
      </c>
    </row>
    <row r="602" spans="1:8" ht="12.75">
      <c r="A602" s="24" t="s">
        <v>2668</v>
      </c>
      <c r="B602" s="14" t="s">
        <v>2685</v>
      </c>
      <c r="C602" s="792">
        <v>2.0693387869888622</v>
      </c>
      <c r="D602" s="18" t="s">
        <v>86</v>
      </c>
      <c r="E602" s="12">
        <v>0</v>
      </c>
      <c r="F602" s="12">
        <v>0</v>
      </c>
      <c r="G602" s="12">
        <v>0</v>
      </c>
      <c r="H602" s="12">
        <v>0</v>
      </c>
    </row>
    <row r="603" spans="1:8" ht="12.75">
      <c r="A603" s="24" t="s">
        <v>2668</v>
      </c>
      <c r="B603" s="14" t="s">
        <v>2685</v>
      </c>
      <c r="C603" s="792">
        <v>0.67352528573599424</v>
      </c>
      <c r="D603" s="18" t="s">
        <v>432</v>
      </c>
      <c r="E603" s="12">
        <v>2.2558902713754649E-4</v>
      </c>
      <c r="F603" s="12">
        <v>9.3669250645994837E-3</v>
      </c>
      <c r="G603" s="12">
        <v>3.8830162085976054E-4</v>
      </c>
      <c r="H603" s="12">
        <v>3.0037166166469137E-4</v>
      </c>
    </row>
    <row r="604" spans="1:8" ht="12.75">
      <c r="A604" s="24" t="s">
        <v>2668</v>
      </c>
      <c r="B604" s="14" t="s">
        <v>2685</v>
      </c>
      <c r="C604" s="792">
        <v>0.75595871978248652</v>
      </c>
      <c r="D604" s="18" t="s">
        <v>430</v>
      </c>
      <c r="E604" s="12">
        <v>0</v>
      </c>
      <c r="F604" s="12">
        <v>0</v>
      </c>
      <c r="G604" s="12">
        <v>0</v>
      </c>
      <c r="H604" s="12">
        <v>0</v>
      </c>
    </row>
    <row r="605" spans="1:8" ht="12.75">
      <c r="A605" s="24" t="s">
        <v>2668</v>
      </c>
      <c r="B605" s="14" t="s">
        <v>2685</v>
      </c>
      <c r="C605" s="792">
        <v>2.3992475791208498</v>
      </c>
      <c r="D605" s="18" t="s">
        <v>2687</v>
      </c>
      <c r="E605" s="12">
        <v>2.9691872042618299E-2</v>
      </c>
      <c r="F605" s="12">
        <v>7.5368545517799299E-2</v>
      </c>
      <c r="G605" s="12">
        <v>2.9014018691588786E-4</v>
      </c>
      <c r="H605" s="12">
        <v>1.4770983615231311E-3</v>
      </c>
    </row>
    <row r="606" spans="1:8" ht="12.75">
      <c r="A606" s="24" t="s">
        <v>2668</v>
      </c>
      <c r="B606" s="14" t="s">
        <v>2685</v>
      </c>
      <c r="C606" s="792" t="s">
        <v>1666</v>
      </c>
      <c r="D606" s="18" t="s">
        <v>1666</v>
      </c>
      <c r="E606" s="454" t="s">
        <v>1666</v>
      </c>
      <c r="F606" s="454" t="s">
        <v>1666</v>
      </c>
      <c r="G606" s="454" t="s">
        <v>1666</v>
      </c>
      <c r="H606" s="454" t="s">
        <v>1666</v>
      </c>
    </row>
    <row r="607" spans="1:8" ht="12.75">
      <c r="A607" s="24" t="s">
        <v>2668</v>
      </c>
      <c r="B607" s="14" t="s">
        <v>2685</v>
      </c>
      <c r="C607" s="792">
        <v>3.0558051772737742</v>
      </c>
      <c r="D607" s="18" t="s">
        <v>433</v>
      </c>
      <c r="E607" s="12">
        <v>3.0104466724907065E-4</v>
      </c>
      <c r="F607" s="12">
        <v>1.2500000000000001E-2</v>
      </c>
      <c r="G607" s="12">
        <v>5.1818181818181835E-4</v>
      </c>
      <c r="H607" s="12">
        <v>4.0084080366977777E-4</v>
      </c>
    </row>
    <row r="608" spans="1:8" ht="12.75">
      <c r="A608" s="24" t="s">
        <v>2668</v>
      </c>
      <c r="B608" s="14" t="s">
        <v>2685</v>
      </c>
      <c r="C608" s="792" t="s">
        <v>1666</v>
      </c>
      <c r="D608" s="18" t="s">
        <v>1666</v>
      </c>
      <c r="E608" s="454" t="s">
        <v>1666</v>
      </c>
      <c r="F608" s="454" t="s">
        <v>1666</v>
      </c>
      <c r="G608" s="454" t="s">
        <v>1666</v>
      </c>
      <c r="H608" s="454" t="s">
        <v>1666</v>
      </c>
    </row>
    <row r="609" spans="1:8" ht="12.75">
      <c r="A609" s="24" t="s">
        <v>2668</v>
      </c>
      <c r="B609" s="14" t="s">
        <v>2685</v>
      </c>
      <c r="C609" s="792" t="s">
        <v>1666</v>
      </c>
      <c r="D609" s="18" t="s">
        <v>1666</v>
      </c>
      <c r="E609" s="454" t="s">
        <v>1666</v>
      </c>
      <c r="F609" s="454" t="s">
        <v>1666</v>
      </c>
      <c r="G609" s="454" t="s">
        <v>1666</v>
      </c>
      <c r="H609" s="454" t="s">
        <v>1666</v>
      </c>
    </row>
    <row r="610" spans="1:8" ht="12.75">
      <c r="A610" s="24" t="s">
        <v>2668</v>
      </c>
      <c r="B610" s="14" t="s">
        <v>2685</v>
      </c>
      <c r="C610" s="792" t="s">
        <v>1666</v>
      </c>
      <c r="D610" s="18" t="s">
        <v>1666</v>
      </c>
      <c r="E610" s="454" t="s">
        <v>1666</v>
      </c>
      <c r="F610" s="454" t="s">
        <v>1666</v>
      </c>
      <c r="G610" s="454" t="s">
        <v>1666</v>
      </c>
      <c r="H610" s="454" t="s">
        <v>1666</v>
      </c>
    </row>
    <row r="611" spans="1:8" ht="12.75">
      <c r="A611" s="24" t="s">
        <v>2668</v>
      </c>
      <c r="B611" s="14" t="s">
        <v>2685</v>
      </c>
      <c r="C611" s="792" t="s">
        <v>1666</v>
      </c>
      <c r="D611" s="18" t="s">
        <v>1666</v>
      </c>
      <c r="E611" s="454" t="s">
        <v>1666</v>
      </c>
      <c r="F611" s="454" t="s">
        <v>1666</v>
      </c>
      <c r="G611" s="454" t="s">
        <v>1666</v>
      </c>
      <c r="H611" s="454" t="s">
        <v>1666</v>
      </c>
    </row>
    <row r="612" spans="1:8" ht="12.75">
      <c r="A612" s="24" t="s">
        <v>2668</v>
      </c>
      <c r="B612" s="14" t="s">
        <v>2685</v>
      </c>
      <c r="C612" s="792">
        <v>0.52290205779804222</v>
      </c>
      <c r="D612" s="18" t="s">
        <v>305</v>
      </c>
      <c r="E612" s="12">
        <v>4.7062756261925113E-3</v>
      </c>
      <c r="F612" s="12">
        <v>3.8210906557435767E-2</v>
      </c>
      <c r="G612" s="12">
        <v>8.2999999999999998E-5</v>
      </c>
      <c r="H612" s="12">
        <v>5.9908272287602653E-4</v>
      </c>
    </row>
    <row r="613" spans="1:8" ht="12.75">
      <c r="A613" s="24" t="s">
        <v>2668</v>
      </c>
      <c r="B613" s="14" t="s">
        <v>2685</v>
      </c>
      <c r="C613" s="792" t="s">
        <v>1666</v>
      </c>
      <c r="D613" s="18" t="s">
        <v>1666</v>
      </c>
      <c r="E613" s="454" t="s">
        <v>1666</v>
      </c>
      <c r="F613" s="454" t="s">
        <v>1666</v>
      </c>
      <c r="G613" s="454" t="s">
        <v>1666</v>
      </c>
      <c r="H613" s="454" t="s">
        <v>1666</v>
      </c>
    </row>
    <row r="614" spans="1:8" ht="12.75">
      <c r="A614" s="24" t="s">
        <v>2668</v>
      </c>
      <c r="B614" s="14" t="s">
        <v>2685</v>
      </c>
      <c r="C614" s="792" t="s">
        <v>1666</v>
      </c>
      <c r="D614" s="18" t="s">
        <v>1666</v>
      </c>
      <c r="E614" s="454" t="s">
        <v>1666</v>
      </c>
      <c r="F614" s="454" t="s">
        <v>1666</v>
      </c>
      <c r="G614" s="454" t="s">
        <v>1666</v>
      </c>
      <c r="H614" s="454" t="s">
        <v>1666</v>
      </c>
    </row>
    <row r="615" spans="1:8" ht="12.75">
      <c r="A615" s="24" t="s">
        <v>2668</v>
      </c>
      <c r="B615" s="14" t="s">
        <v>2685</v>
      </c>
      <c r="C615" s="792" t="s">
        <v>1666</v>
      </c>
      <c r="D615" s="18" t="s">
        <v>1666</v>
      </c>
      <c r="E615" s="454" t="s">
        <v>1666</v>
      </c>
      <c r="F615" s="454" t="s">
        <v>1666</v>
      </c>
      <c r="G615" s="454" t="s">
        <v>1666</v>
      </c>
      <c r="H615" s="454" t="s">
        <v>1666</v>
      </c>
    </row>
    <row r="616" spans="1:8" ht="12.75">
      <c r="A616" s="24" t="s">
        <v>2668</v>
      </c>
      <c r="B616" s="14" t="s">
        <v>2685</v>
      </c>
      <c r="C616" s="792" t="s">
        <v>1666</v>
      </c>
      <c r="D616" s="18" t="s">
        <v>1666</v>
      </c>
      <c r="E616" s="454" t="s">
        <v>1666</v>
      </c>
      <c r="F616" s="454" t="s">
        <v>1666</v>
      </c>
      <c r="G616" s="454" t="s">
        <v>1666</v>
      </c>
      <c r="H616" s="454" t="s">
        <v>1666</v>
      </c>
    </row>
    <row r="617" spans="1:8" ht="12.75">
      <c r="A617" s="24" t="s">
        <v>2668</v>
      </c>
      <c r="B617" s="14" t="s">
        <v>2685</v>
      </c>
      <c r="C617" s="792" t="s">
        <v>1666</v>
      </c>
      <c r="D617" s="18" t="s">
        <v>1666</v>
      </c>
      <c r="E617" s="454" t="s">
        <v>1666</v>
      </c>
      <c r="F617" s="454" t="s">
        <v>1666</v>
      </c>
      <c r="G617" s="454" t="s">
        <v>1666</v>
      </c>
      <c r="H617" s="454" t="s">
        <v>1666</v>
      </c>
    </row>
    <row r="618" spans="1:8" ht="12.75">
      <c r="A618" s="24" t="s">
        <v>2668</v>
      </c>
      <c r="B618" s="14" t="s">
        <v>2685</v>
      </c>
      <c r="C618" s="792">
        <v>0.38801920910133025</v>
      </c>
      <c r="D618" s="18" t="s">
        <v>227</v>
      </c>
      <c r="E618" s="12">
        <v>2.5055367220000002E-3</v>
      </c>
      <c r="F618" s="12">
        <v>3.8459841414181101E-2</v>
      </c>
      <c r="G618" s="12">
        <v>1.1035422343324251E-4</v>
      </c>
      <c r="H618" s="12">
        <v>8.109653861711444E-4</v>
      </c>
    </row>
    <row r="619" spans="1:8" ht="12.75">
      <c r="A619" s="24" t="s">
        <v>2668</v>
      </c>
      <c r="B619" s="14" t="s">
        <v>2685</v>
      </c>
      <c r="C619" s="792">
        <v>0.19362129960243923</v>
      </c>
      <c r="D619" s="18" t="s">
        <v>81</v>
      </c>
      <c r="E619" s="12">
        <v>1.9912385503783353E-2</v>
      </c>
      <c r="F619" s="12">
        <v>5.6949422540820388E-2</v>
      </c>
      <c r="G619" s="12">
        <v>3.8829151732377542E-3</v>
      </c>
      <c r="H619" s="12">
        <v>5.6321186778176026E-3</v>
      </c>
    </row>
    <row r="620" spans="1:8" ht="12.75">
      <c r="A620" s="24" t="s">
        <v>2668</v>
      </c>
      <c r="B620" s="14" t="s">
        <v>2685</v>
      </c>
      <c r="C620" s="792" t="s">
        <v>1666</v>
      </c>
      <c r="D620" s="18" t="s">
        <v>1666</v>
      </c>
      <c r="E620" s="454" t="s">
        <v>1666</v>
      </c>
      <c r="F620" s="454" t="s">
        <v>1666</v>
      </c>
      <c r="G620" s="454" t="s">
        <v>1666</v>
      </c>
      <c r="H620" s="454" t="s">
        <v>1666</v>
      </c>
    </row>
    <row r="621" spans="1:8" ht="12.75">
      <c r="A621" s="24" t="s">
        <v>2668</v>
      </c>
      <c r="B621" s="14" t="s">
        <v>2685</v>
      </c>
      <c r="C621" s="792" t="s">
        <v>1666</v>
      </c>
      <c r="D621" s="18" t="s">
        <v>1666</v>
      </c>
      <c r="E621" s="454" t="s">
        <v>1666</v>
      </c>
      <c r="F621" s="454" t="s">
        <v>1666</v>
      </c>
      <c r="G621" s="454" t="s">
        <v>1666</v>
      </c>
      <c r="H621" s="454" t="s">
        <v>1666</v>
      </c>
    </row>
    <row r="622" spans="1:8" ht="12.75">
      <c r="A622" s="24" t="s">
        <v>2668</v>
      </c>
      <c r="B622" s="14" t="s">
        <v>2685</v>
      </c>
      <c r="C622" s="792" t="s">
        <v>1666</v>
      </c>
      <c r="D622" s="18" t="s">
        <v>1666</v>
      </c>
      <c r="E622" s="454" t="s">
        <v>1666</v>
      </c>
      <c r="F622" s="454" t="s">
        <v>1666</v>
      </c>
      <c r="G622" s="454" t="s">
        <v>1666</v>
      </c>
      <c r="H622" s="454" t="s">
        <v>1666</v>
      </c>
    </row>
    <row r="623" spans="1:8" ht="12.75">
      <c r="A623" s="24" t="s">
        <v>2668</v>
      </c>
      <c r="B623" s="14" t="s">
        <v>2685</v>
      </c>
      <c r="C623" s="792" t="s">
        <v>1666</v>
      </c>
      <c r="D623" s="18" t="s">
        <v>1666</v>
      </c>
      <c r="E623" s="454" t="s">
        <v>1666</v>
      </c>
      <c r="F623" s="454" t="s">
        <v>1666</v>
      </c>
      <c r="G623" s="454" t="s">
        <v>1666</v>
      </c>
      <c r="H623" s="454" t="s">
        <v>1666</v>
      </c>
    </row>
    <row r="624" spans="1:8" ht="12.75">
      <c r="A624" s="24" t="s">
        <v>2668</v>
      </c>
      <c r="B624" s="14" t="s">
        <v>2685</v>
      </c>
      <c r="C624" s="792" t="s">
        <v>1666</v>
      </c>
      <c r="D624" s="18" t="s">
        <v>1624</v>
      </c>
      <c r="E624" s="454" t="s">
        <v>1624</v>
      </c>
      <c r="F624" s="454" t="s">
        <v>1624</v>
      </c>
      <c r="G624" s="454" t="s">
        <v>1624</v>
      </c>
      <c r="H624" s="454" t="s">
        <v>1624</v>
      </c>
    </row>
    <row r="625" spans="1:8" ht="12.75">
      <c r="A625" s="24" t="s">
        <v>2668</v>
      </c>
      <c r="B625" s="14" t="s">
        <v>2685</v>
      </c>
      <c r="C625" s="792">
        <v>2.2497984617852849</v>
      </c>
      <c r="D625" s="18" t="s">
        <v>2677</v>
      </c>
      <c r="E625" s="12">
        <v>7.6594132480302998E-3</v>
      </c>
      <c r="F625" s="12">
        <v>0.25452159072024799</v>
      </c>
      <c r="G625" s="12">
        <v>2.4499999999999999E-4</v>
      </c>
      <c r="H625" s="12">
        <v>3.0864741882572887E-4</v>
      </c>
    </row>
    <row r="626" spans="1:8" ht="12.75">
      <c r="A626" s="24" t="s">
        <v>2668</v>
      </c>
      <c r="B626" s="14" t="s">
        <v>2685</v>
      </c>
      <c r="C626" s="792" t="s">
        <v>1666</v>
      </c>
      <c r="D626" s="18" t="s">
        <v>1624</v>
      </c>
      <c r="E626" s="454" t="s">
        <v>1624</v>
      </c>
      <c r="F626" s="454" t="s">
        <v>1624</v>
      </c>
      <c r="G626" s="454" t="s">
        <v>1624</v>
      </c>
      <c r="H626" s="454" t="s">
        <v>1624</v>
      </c>
    </row>
    <row r="627" spans="1:8" ht="12.75">
      <c r="A627" s="24" t="s">
        <v>2668</v>
      </c>
      <c r="B627" s="14" t="s">
        <v>2685</v>
      </c>
      <c r="C627" s="792" t="s">
        <v>1666</v>
      </c>
      <c r="D627" s="18" t="s">
        <v>1666</v>
      </c>
      <c r="E627" s="454" t="s">
        <v>1666</v>
      </c>
      <c r="F627" s="454" t="s">
        <v>1666</v>
      </c>
      <c r="G627" s="454" t="s">
        <v>1666</v>
      </c>
      <c r="H627" s="454" t="s">
        <v>1666</v>
      </c>
    </row>
    <row r="628" spans="1:8" ht="12.75">
      <c r="A628" s="24" t="s">
        <v>2668</v>
      </c>
      <c r="B628" s="14" t="s">
        <v>2685</v>
      </c>
      <c r="C628" s="792" t="s">
        <v>1666</v>
      </c>
      <c r="D628" s="18" t="s">
        <v>1666</v>
      </c>
      <c r="E628" s="454" t="s">
        <v>1666</v>
      </c>
      <c r="F628" s="454" t="s">
        <v>1666</v>
      </c>
      <c r="G628" s="454" t="s">
        <v>1666</v>
      </c>
      <c r="H628" s="454" t="s">
        <v>1666</v>
      </c>
    </row>
    <row r="629" spans="1:8" ht="12.75">
      <c r="A629" s="24" t="s">
        <v>2668</v>
      </c>
      <c r="B629" s="14" t="s">
        <v>2685</v>
      </c>
      <c r="C629" s="792" t="s">
        <v>1666</v>
      </c>
      <c r="D629" s="18" t="s">
        <v>1666</v>
      </c>
      <c r="E629" s="454" t="s">
        <v>1666</v>
      </c>
      <c r="F629" s="454" t="s">
        <v>1666</v>
      </c>
      <c r="G629" s="454" t="s">
        <v>1666</v>
      </c>
      <c r="H629" s="454" t="s">
        <v>1666</v>
      </c>
    </row>
    <row r="630" spans="1:8" ht="12.75">
      <c r="A630" s="24" t="s">
        <v>2668</v>
      </c>
      <c r="B630" s="14" t="s">
        <v>2685</v>
      </c>
      <c r="C630" s="792" t="s">
        <v>1666</v>
      </c>
      <c r="D630" s="18" t="s">
        <v>1666</v>
      </c>
      <c r="E630" s="454" t="s">
        <v>1666</v>
      </c>
      <c r="F630" s="454" t="s">
        <v>1666</v>
      </c>
      <c r="G630" s="454" t="s">
        <v>1666</v>
      </c>
      <c r="H630" s="454" t="s">
        <v>1666</v>
      </c>
    </row>
    <row r="631" spans="1:8" ht="12.75">
      <c r="A631" s="24" t="s">
        <v>2668</v>
      </c>
      <c r="B631" s="14" t="s">
        <v>2685</v>
      </c>
      <c r="C631" s="792" t="s">
        <v>1666</v>
      </c>
      <c r="D631" s="18" t="s">
        <v>1666</v>
      </c>
      <c r="E631" s="454" t="s">
        <v>1666</v>
      </c>
      <c r="F631" s="454" t="s">
        <v>1666</v>
      </c>
      <c r="G631" s="454" t="s">
        <v>1666</v>
      </c>
      <c r="H631" s="454" t="s">
        <v>1666</v>
      </c>
    </row>
    <row r="632" spans="1:8" ht="12.75">
      <c r="A632" s="24" t="s">
        <v>2668</v>
      </c>
      <c r="B632" s="14" t="s">
        <v>2685</v>
      </c>
      <c r="C632" s="792" t="s">
        <v>1666</v>
      </c>
      <c r="D632" s="18" t="s">
        <v>1666</v>
      </c>
      <c r="E632" s="454" t="s">
        <v>1666</v>
      </c>
      <c r="F632" s="454" t="s">
        <v>1666</v>
      </c>
      <c r="G632" s="454" t="s">
        <v>1666</v>
      </c>
      <c r="H632" s="454" t="s">
        <v>1666</v>
      </c>
    </row>
    <row r="633" spans="1:8" ht="12.75">
      <c r="A633" s="24" t="s">
        <v>2668</v>
      </c>
      <c r="B633" s="14" t="s">
        <v>2685</v>
      </c>
      <c r="C633" s="792">
        <v>0.3197069639217156</v>
      </c>
      <c r="D633" s="18" t="s">
        <v>85</v>
      </c>
      <c r="E633" s="12">
        <v>2.0262392565709405E-4</v>
      </c>
      <c r="F633" s="12">
        <v>1.0885928720785719E-2</v>
      </c>
      <c r="G633" s="12">
        <v>6.2837933649623454E-6</v>
      </c>
      <c r="H633" s="12">
        <v>4.6142098112569087E-5</v>
      </c>
    </row>
    <row r="634" spans="1:8" ht="12.75">
      <c r="A634" s="24" t="s">
        <v>2668</v>
      </c>
      <c r="B634" s="14" t="s">
        <v>2685</v>
      </c>
      <c r="C634" s="792" t="s">
        <v>1666</v>
      </c>
      <c r="D634" s="18" t="s">
        <v>1666</v>
      </c>
      <c r="E634" s="454" t="s">
        <v>1666</v>
      </c>
      <c r="F634" s="454" t="s">
        <v>1666</v>
      </c>
      <c r="G634" s="454" t="s">
        <v>1666</v>
      </c>
      <c r="H634" s="454" t="s">
        <v>1666</v>
      </c>
    </row>
    <row r="635" spans="1:8" ht="12.75">
      <c r="A635" s="24" t="s">
        <v>2668</v>
      </c>
      <c r="B635" s="14" t="s">
        <v>2685</v>
      </c>
      <c r="C635" s="792">
        <v>7.8863787899427176E-2</v>
      </c>
      <c r="D635" s="18" t="s">
        <v>2688</v>
      </c>
      <c r="E635" s="12">
        <v>3.2210986719999998E-3</v>
      </c>
      <c r="F635" s="12">
        <v>3.9434345900000001E-2</v>
      </c>
      <c r="G635" s="12">
        <v>2.4510000000000001E-3</v>
      </c>
      <c r="H635" s="12">
        <v>9.0389601229999995E-4</v>
      </c>
    </row>
    <row r="636" spans="1:8" ht="12.75">
      <c r="A636" s="24" t="s">
        <v>2668</v>
      </c>
      <c r="B636" s="14" t="s">
        <v>2685</v>
      </c>
      <c r="C636" s="792" t="s">
        <v>1666</v>
      </c>
      <c r="D636" s="18" t="s">
        <v>1666</v>
      </c>
      <c r="E636" s="454" t="s">
        <v>1666</v>
      </c>
      <c r="F636" s="454" t="s">
        <v>1666</v>
      </c>
      <c r="G636" s="454" t="s">
        <v>1666</v>
      </c>
      <c r="H636" s="454" t="s">
        <v>1666</v>
      </c>
    </row>
    <row r="637" spans="1:8" ht="12.75">
      <c r="A637" s="24" t="s">
        <v>2668</v>
      </c>
      <c r="B637" s="14" t="s">
        <v>2685</v>
      </c>
      <c r="C637" s="792">
        <v>0.14365554314857168</v>
      </c>
      <c r="D637" s="18" t="s">
        <v>2661</v>
      </c>
      <c r="E637" s="12">
        <v>3.0177940758293843E-3</v>
      </c>
      <c r="F637" s="12">
        <v>8.8728561611374421E-3</v>
      </c>
      <c r="G637" s="12">
        <v>5.9155383175355464E-5</v>
      </c>
      <c r="H637" s="12">
        <v>5.56622037914692E-4</v>
      </c>
    </row>
    <row r="638" spans="1:8" ht="12.75">
      <c r="A638" s="24" t="s">
        <v>2668</v>
      </c>
      <c r="B638" s="14" t="s">
        <v>2685</v>
      </c>
      <c r="C638" s="792">
        <v>0.22183716487105698</v>
      </c>
      <c r="D638" s="18" t="s">
        <v>121</v>
      </c>
      <c r="E638" s="12">
        <v>4.1127278199052132E-2</v>
      </c>
      <c r="F638" s="12">
        <v>0.12092157867298578</v>
      </c>
      <c r="G638" s="12">
        <v>8.0618486208530824E-4</v>
      </c>
      <c r="H638" s="12">
        <v>7.5857890995260661E-3</v>
      </c>
    </row>
    <row r="639" spans="1:8" ht="12.75">
      <c r="A639" s="24" t="s">
        <v>2668</v>
      </c>
      <c r="B639" s="14" t="s">
        <v>2685</v>
      </c>
      <c r="C639" s="792" t="s">
        <v>1666</v>
      </c>
      <c r="D639" s="18" t="s">
        <v>1666</v>
      </c>
      <c r="E639" s="454" t="s">
        <v>1666</v>
      </c>
      <c r="F639" s="454" t="s">
        <v>1666</v>
      </c>
      <c r="G639" s="454" t="s">
        <v>1666</v>
      </c>
      <c r="H639" s="454" t="s">
        <v>1666</v>
      </c>
    </row>
    <row r="640" spans="1:8" ht="12.75">
      <c r="A640" s="24" t="s">
        <v>2668</v>
      </c>
      <c r="B640" s="14" t="s">
        <v>2685</v>
      </c>
      <c r="C640" s="792" t="s">
        <v>1666</v>
      </c>
      <c r="D640" s="18" t="s">
        <v>1666</v>
      </c>
      <c r="E640" s="454" t="s">
        <v>1666</v>
      </c>
      <c r="F640" s="454" t="s">
        <v>1666</v>
      </c>
      <c r="G640" s="454" t="s">
        <v>1666</v>
      </c>
      <c r="H640" s="454" t="s">
        <v>1666</v>
      </c>
    </row>
    <row r="641" spans="1:8" ht="12.75">
      <c r="A641" s="24" t="s">
        <v>2668</v>
      </c>
      <c r="B641" s="14" t="s">
        <v>2685</v>
      </c>
      <c r="C641" s="792" t="s">
        <v>1666</v>
      </c>
      <c r="D641" s="18" t="s">
        <v>1666</v>
      </c>
      <c r="E641" s="454" t="s">
        <v>1666</v>
      </c>
      <c r="F641" s="454" t="s">
        <v>1666</v>
      </c>
      <c r="G641" s="454" t="s">
        <v>1666</v>
      </c>
      <c r="H641" s="454" t="s">
        <v>1666</v>
      </c>
    </row>
    <row r="642" spans="1:8" ht="12.75">
      <c r="A642" s="24" t="s">
        <v>2668</v>
      </c>
      <c r="B642" s="14" t="s">
        <v>2685</v>
      </c>
      <c r="C642" s="792" t="s">
        <v>1666</v>
      </c>
      <c r="D642" s="18" t="s">
        <v>1666</v>
      </c>
      <c r="E642" s="454" t="s">
        <v>1666</v>
      </c>
      <c r="F642" s="454" t="s">
        <v>1666</v>
      </c>
      <c r="G642" s="454" t="s">
        <v>1666</v>
      </c>
      <c r="H642" s="454" t="s">
        <v>1666</v>
      </c>
    </row>
    <row r="643" spans="1:8" ht="12.75">
      <c r="A643" s="24" t="s">
        <v>2668</v>
      </c>
      <c r="B643" s="14" t="s">
        <v>2685</v>
      </c>
      <c r="C643" s="792" t="s">
        <v>1666</v>
      </c>
      <c r="D643" s="18" t="s">
        <v>1666</v>
      </c>
      <c r="E643" s="454" t="s">
        <v>1666</v>
      </c>
      <c r="F643" s="454" t="s">
        <v>1666</v>
      </c>
      <c r="G643" s="454" t="s">
        <v>1666</v>
      </c>
      <c r="H643" s="454" t="s">
        <v>1666</v>
      </c>
    </row>
    <row r="644" spans="1:8" ht="12.75">
      <c r="A644" s="24" t="s">
        <v>2668</v>
      </c>
      <c r="B644" s="14" t="s">
        <v>2685</v>
      </c>
      <c r="C644" s="792" t="s">
        <v>1666</v>
      </c>
      <c r="D644" s="18" t="s">
        <v>1666</v>
      </c>
      <c r="E644" s="454" t="s">
        <v>1666</v>
      </c>
      <c r="F644" s="454" t="s">
        <v>1666</v>
      </c>
      <c r="G644" s="454" t="s">
        <v>1666</v>
      </c>
      <c r="H644" s="454" t="s">
        <v>1666</v>
      </c>
    </row>
    <row r="645" spans="1:8" ht="12.75">
      <c r="A645" s="24" t="s">
        <v>2668</v>
      </c>
      <c r="B645" s="14" t="s">
        <v>2685</v>
      </c>
      <c r="C645" s="792" t="s">
        <v>1666</v>
      </c>
      <c r="D645" s="18" t="s">
        <v>1666</v>
      </c>
      <c r="E645" s="454" t="s">
        <v>1666</v>
      </c>
      <c r="F645" s="454" t="s">
        <v>1666</v>
      </c>
      <c r="G645" s="454" t="s">
        <v>1666</v>
      </c>
      <c r="H645" s="454" t="s">
        <v>1666</v>
      </c>
    </row>
    <row r="646" spans="1:8" ht="12.75">
      <c r="A646" s="24" t="s">
        <v>2668</v>
      </c>
      <c r="B646" s="14" t="s">
        <v>2685</v>
      </c>
      <c r="C646" s="792" t="s">
        <v>1666</v>
      </c>
      <c r="D646" s="18" t="s">
        <v>1666</v>
      </c>
      <c r="E646" s="454" t="s">
        <v>1666</v>
      </c>
      <c r="F646" s="454" t="s">
        <v>1666</v>
      </c>
      <c r="G646" s="454" t="s">
        <v>1666</v>
      </c>
      <c r="H646" s="454" t="s">
        <v>1666</v>
      </c>
    </row>
    <row r="647" spans="1:8" ht="12.75">
      <c r="A647" s="24" t="s">
        <v>2668</v>
      </c>
      <c r="B647" s="14" t="s">
        <v>2685</v>
      </c>
      <c r="C647" s="792">
        <v>2.0409402903480516E-2</v>
      </c>
      <c r="D647" s="18" t="s">
        <v>332</v>
      </c>
      <c r="E647" s="12">
        <v>2.3E-3</v>
      </c>
      <c r="F647" s="12">
        <v>4.7879999999999999E-2</v>
      </c>
      <c r="G647" s="12">
        <v>9.9999999999999995E-7</v>
      </c>
      <c r="H647" s="12">
        <v>4.4092488403675551E-4</v>
      </c>
    </row>
    <row r="648" spans="1:8" ht="12.75">
      <c r="A648" s="24" t="s">
        <v>2668</v>
      </c>
      <c r="B648" s="14" t="s">
        <v>2685</v>
      </c>
      <c r="C648" s="792">
        <v>0.1002652412480511</v>
      </c>
      <c r="D648" s="18" t="s">
        <v>324</v>
      </c>
      <c r="E648" s="12">
        <v>1.0652903141570055E-3</v>
      </c>
      <c r="F648" s="12">
        <v>1.7273631840796021E-2</v>
      </c>
      <c r="G648" s="12">
        <v>1.3582399999999999E-4</v>
      </c>
      <c r="H648" s="12">
        <v>2.14E-3</v>
      </c>
    </row>
    <row r="649" spans="1:8" ht="12.75">
      <c r="A649" s="24" t="s">
        <v>2668</v>
      </c>
      <c r="B649" s="14" t="s">
        <v>2685</v>
      </c>
      <c r="C649" s="792" t="s">
        <v>1666</v>
      </c>
      <c r="D649" s="18" t="s">
        <v>1666</v>
      </c>
      <c r="E649" s="454" t="s">
        <v>1666</v>
      </c>
      <c r="F649" s="454" t="s">
        <v>1666</v>
      </c>
      <c r="G649" s="454" t="s">
        <v>1666</v>
      </c>
      <c r="H649" s="454" t="s">
        <v>1666</v>
      </c>
    </row>
    <row r="650" spans="1:8" ht="12.75">
      <c r="A650" s="24" t="s">
        <v>2668</v>
      </c>
      <c r="B650" s="14" t="s">
        <v>2685</v>
      </c>
      <c r="C650" s="792" t="s">
        <v>1666</v>
      </c>
      <c r="D650" s="18" t="s">
        <v>1666</v>
      </c>
      <c r="E650" s="454" t="s">
        <v>1666</v>
      </c>
      <c r="F650" s="454" t="s">
        <v>1666</v>
      </c>
      <c r="G650" s="454" t="s">
        <v>1666</v>
      </c>
      <c r="H650" s="454" t="s">
        <v>1666</v>
      </c>
    </row>
    <row r="651" spans="1:8" ht="12.75">
      <c r="A651" s="24" t="s">
        <v>2668</v>
      </c>
      <c r="B651" s="14" t="s">
        <v>2685</v>
      </c>
      <c r="C651" s="792" t="s">
        <v>1666</v>
      </c>
      <c r="D651" s="18" t="s">
        <v>1666</v>
      </c>
      <c r="E651" s="454" t="s">
        <v>1666</v>
      </c>
      <c r="F651" s="454" t="s">
        <v>1666</v>
      </c>
      <c r="G651" s="454" t="s">
        <v>1666</v>
      </c>
      <c r="H651" s="454" t="s">
        <v>1666</v>
      </c>
    </row>
    <row r="652" spans="1:8" ht="12.75">
      <c r="A652" s="24" t="s">
        <v>2668</v>
      </c>
      <c r="B652" s="14" t="s">
        <v>2685</v>
      </c>
      <c r="C652" s="792">
        <v>0.16197938812286122</v>
      </c>
      <c r="D652" s="18" t="s">
        <v>340</v>
      </c>
      <c r="E652" s="12">
        <v>2.1708241661196198E-2</v>
      </c>
      <c r="F652" s="12">
        <v>0.36572952458380198</v>
      </c>
      <c r="G652" s="12">
        <v>4.6350652173913045E-4</v>
      </c>
      <c r="H652" s="12">
        <v>1.6975608035415088E-3</v>
      </c>
    </row>
    <row r="653" spans="1:8" ht="12.75">
      <c r="A653" s="24" t="s">
        <v>2668</v>
      </c>
      <c r="B653" s="14" t="s">
        <v>2685</v>
      </c>
      <c r="C653" s="792">
        <v>0.16197938812286122</v>
      </c>
      <c r="D653" s="18" t="s">
        <v>2689</v>
      </c>
      <c r="E653" s="12">
        <v>5.2419900086202897E-2</v>
      </c>
      <c r="F653" s="12">
        <v>2.8162483479607547</v>
      </c>
      <c r="G653" s="12">
        <v>1.6256511627906977E-3</v>
      </c>
      <c r="H653" s="12">
        <v>1.194650084062842E-2</v>
      </c>
    </row>
    <row r="654" spans="1:8" ht="12.75">
      <c r="A654" s="24" t="s">
        <v>2668</v>
      </c>
      <c r="B654" s="14" t="s">
        <v>2685</v>
      </c>
      <c r="C654" s="792" t="s">
        <v>1666</v>
      </c>
      <c r="D654" s="18" t="s">
        <v>1666</v>
      </c>
      <c r="E654" s="454" t="s">
        <v>1666</v>
      </c>
      <c r="F654" s="454" t="s">
        <v>1666</v>
      </c>
      <c r="G654" s="454" t="s">
        <v>1666</v>
      </c>
      <c r="H654" s="454" t="s">
        <v>1666</v>
      </c>
    </row>
    <row r="655" spans="1:8" ht="12.75">
      <c r="A655" s="24" t="s">
        <v>2668</v>
      </c>
      <c r="B655" s="14" t="s">
        <v>2685</v>
      </c>
      <c r="C655" s="792" t="s">
        <v>1666</v>
      </c>
      <c r="D655" s="18" t="s">
        <v>1666</v>
      </c>
      <c r="E655" s="454" t="s">
        <v>1666</v>
      </c>
      <c r="F655" s="454" t="s">
        <v>1666</v>
      </c>
      <c r="G655" s="454" t="s">
        <v>1666</v>
      </c>
      <c r="H655" s="454" t="s">
        <v>1666</v>
      </c>
    </row>
    <row r="656" spans="1:8" ht="12.75">
      <c r="A656" s="24" t="s">
        <v>2668</v>
      </c>
      <c r="B656" s="14" t="s">
        <v>2685</v>
      </c>
      <c r="C656" s="792" t="s">
        <v>1666</v>
      </c>
      <c r="D656" s="18" t="s">
        <v>1666</v>
      </c>
      <c r="E656" s="454" t="s">
        <v>1666</v>
      </c>
      <c r="F656" s="454" t="s">
        <v>1666</v>
      </c>
      <c r="G656" s="454" t="s">
        <v>1666</v>
      </c>
      <c r="H656" s="454" t="s">
        <v>1666</v>
      </c>
    </row>
    <row r="657" spans="1:8" ht="12.75">
      <c r="A657" s="24" t="s">
        <v>2668</v>
      </c>
      <c r="B657" s="14" t="s">
        <v>2685</v>
      </c>
      <c r="C657" s="792" t="s">
        <v>1666</v>
      </c>
      <c r="D657" s="18" t="s">
        <v>1666</v>
      </c>
      <c r="E657" s="454" t="s">
        <v>1666</v>
      </c>
      <c r="F657" s="454" t="s">
        <v>1666</v>
      </c>
      <c r="G657" s="454" t="s">
        <v>1666</v>
      </c>
      <c r="H657" s="454" t="s">
        <v>1666</v>
      </c>
    </row>
    <row r="658" spans="1:8" ht="12.75">
      <c r="A658" s="24" t="s">
        <v>2668</v>
      </c>
      <c r="B658" s="14" t="s">
        <v>2685</v>
      </c>
      <c r="C658" s="792" t="s">
        <v>1666</v>
      </c>
      <c r="D658" s="18" t="s">
        <v>1666</v>
      </c>
      <c r="E658" s="454" t="s">
        <v>1666</v>
      </c>
      <c r="F658" s="454" t="s">
        <v>1666</v>
      </c>
      <c r="G658" s="454" t="s">
        <v>1666</v>
      </c>
      <c r="H658" s="454" t="s">
        <v>1666</v>
      </c>
    </row>
    <row r="659" spans="1:8" ht="12.75">
      <c r="A659" s="24" t="s">
        <v>2668</v>
      </c>
      <c r="B659" s="14" t="s">
        <v>2685</v>
      </c>
      <c r="C659" s="792" t="s">
        <v>1666</v>
      </c>
      <c r="D659" s="18" t="s">
        <v>1666</v>
      </c>
      <c r="E659" s="454" t="s">
        <v>1666</v>
      </c>
      <c r="F659" s="454" t="s">
        <v>1666</v>
      </c>
      <c r="G659" s="454" t="s">
        <v>1666</v>
      </c>
      <c r="H659" s="454" t="s">
        <v>1666</v>
      </c>
    </row>
    <row r="660" spans="1:8" ht="12.75">
      <c r="A660" s="24" t="s">
        <v>2668</v>
      </c>
      <c r="B660" s="14" t="s">
        <v>2685</v>
      </c>
      <c r="C660" s="792">
        <v>6.4791755249144503E-2</v>
      </c>
      <c r="D660" s="18" t="s">
        <v>282</v>
      </c>
      <c r="E660" s="12">
        <v>5.0851930036188197E-3</v>
      </c>
      <c r="F660" s="12">
        <v>5.9995417730640897E-2</v>
      </c>
      <c r="G660" s="12">
        <v>3.4699999999999998E-4</v>
      </c>
      <c r="H660" s="12">
        <v>2.9762429672480995E-4</v>
      </c>
    </row>
    <row r="661" spans="1:8" ht="12.75">
      <c r="A661" s="24" t="s">
        <v>2668</v>
      </c>
      <c r="B661" s="14" t="s">
        <v>2685</v>
      </c>
      <c r="C661" s="792" t="s">
        <v>1666</v>
      </c>
      <c r="D661" s="18" t="s">
        <v>1666</v>
      </c>
      <c r="E661" s="454" t="s">
        <v>1666</v>
      </c>
      <c r="F661" s="454" t="s">
        <v>1666</v>
      </c>
      <c r="G661" s="454" t="s">
        <v>1666</v>
      </c>
      <c r="H661" s="454" t="s">
        <v>1666</v>
      </c>
    </row>
    <row r="662" spans="1:8" ht="12.75">
      <c r="A662" s="24" t="s">
        <v>2668</v>
      </c>
      <c r="B662" s="14" t="s">
        <v>2685</v>
      </c>
      <c r="C662" s="792">
        <v>6.4791755249144503E-2</v>
      </c>
      <c r="D662" s="18" t="s">
        <v>990</v>
      </c>
      <c r="E662" s="12">
        <v>4.8065157443333336E-3</v>
      </c>
      <c r="F662" s="12">
        <v>2.3753475394999998E-2</v>
      </c>
      <c r="G662" s="12">
        <v>4.4716312056737589E-4</v>
      </c>
      <c r="H662" s="12">
        <v>1.378834501718213E-3</v>
      </c>
    </row>
    <row r="663" spans="1:8" ht="12.75">
      <c r="A663" s="24" t="s">
        <v>2668</v>
      </c>
      <c r="B663" s="14" t="s">
        <v>2685</v>
      </c>
      <c r="C663" s="792" t="s">
        <v>1666</v>
      </c>
      <c r="D663" s="18" t="s">
        <v>1666</v>
      </c>
      <c r="E663" s="454" t="s">
        <v>1666</v>
      </c>
      <c r="F663" s="454" t="s">
        <v>1666</v>
      </c>
      <c r="G663" s="454" t="s">
        <v>1666</v>
      </c>
      <c r="H663" s="454" t="s">
        <v>1666</v>
      </c>
    </row>
    <row r="664" spans="1:8" ht="12.75">
      <c r="A664" s="24" t="s">
        <v>2668</v>
      </c>
      <c r="B664" s="14" t="s">
        <v>2685</v>
      </c>
      <c r="C664" s="792" t="s">
        <v>1666</v>
      </c>
      <c r="D664" s="18" t="s">
        <v>1666</v>
      </c>
      <c r="E664" s="454" t="s">
        <v>1666</v>
      </c>
      <c r="F664" s="454" t="s">
        <v>1666</v>
      </c>
      <c r="G664" s="454" t="s">
        <v>1666</v>
      </c>
      <c r="H664" s="454" t="s">
        <v>1666</v>
      </c>
    </row>
    <row r="665" spans="1:8" ht="12.75">
      <c r="A665" s="24" t="s">
        <v>2668</v>
      </c>
      <c r="B665" s="14" t="s">
        <v>2685</v>
      </c>
      <c r="C665" s="792" t="s">
        <v>1666</v>
      </c>
      <c r="D665" s="18" t="s">
        <v>1666</v>
      </c>
      <c r="E665" s="454" t="s">
        <v>1666</v>
      </c>
      <c r="F665" s="454" t="s">
        <v>1666</v>
      </c>
      <c r="G665" s="454" t="s">
        <v>1666</v>
      </c>
      <c r="H665" s="454" t="s">
        <v>1666</v>
      </c>
    </row>
    <row r="666" spans="1:8" ht="12.75">
      <c r="A666" s="24" t="s">
        <v>2668</v>
      </c>
      <c r="B666" s="14" t="s">
        <v>2685</v>
      </c>
      <c r="C666" s="792">
        <v>2.6519962684405378</v>
      </c>
      <c r="D666" s="18" t="s">
        <v>2690</v>
      </c>
      <c r="E666" s="12">
        <v>1.4348768881534335E-3</v>
      </c>
      <c r="F666" s="12">
        <v>4.768082570221005E-2</v>
      </c>
      <c r="G666" s="12">
        <v>4.5897097625329815E-5</v>
      </c>
      <c r="H666" s="12">
        <v>5.7820492708777707E-5</v>
      </c>
    </row>
    <row r="667" spans="1:8" ht="12.75">
      <c r="A667" s="24" t="s">
        <v>2668</v>
      </c>
      <c r="B667" s="14" t="s">
        <v>2685</v>
      </c>
      <c r="C667" s="792" t="s">
        <v>1666</v>
      </c>
      <c r="D667" s="18" t="s">
        <v>1666</v>
      </c>
      <c r="E667" s="454" t="s">
        <v>1666</v>
      </c>
      <c r="F667" s="454" t="s">
        <v>1666</v>
      </c>
      <c r="G667" s="454" t="s">
        <v>1666</v>
      </c>
      <c r="H667" s="454" t="s">
        <v>1666</v>
      </c>
    </row>
    <row r="668" spans="1:8" ht="12.75">
      <c r="A668" s="24" t="s">
        <v>2668</v>
      </c>
      <c r="B668" s="14" t="s">
        <v>2685</v>
      </c>
      <c r="C668" s="792" t="s">
        <v>1666</v>
      </c>
      <c r="D668" s="18" t="s">
        <v>1666</v>
      </c>
      <c r="E668" s="454" t="s">
        <v>1666</v>
      </c>
      <c r="F668" s="454" t="s">
        <v>1666</v>
      </c>
      <c r="G668" s="454" t="s">
        <v>1666</v>
      </c>
      <c r="H668" s="454" t="s">
        <v>1666</v>
      </c>
    </row>
    <row r="669" spans="1:8" ht="12.75">
      <c r="A669" s="24" t="s">
        <v>2668</v>
      </c>
      <c r="B669" s="14" t="s">
        <v>2685</v>
      </c>
      <c r="C669" s="792" t="s">
        <v>1624</v>
      </c>
      <c r="D669" s="18" t="s">
        <v>1624</v>
      </c>
      <c r="E669" s="454" t="s">
        <v>1624</v>
      </c>
      <c r="F669" s="454" t="s">
        <v>1624</v>
      </c>
      <c r="G669" s="454" t="s">
        <v>1624</v>
      </c>
      <c r="H669" s="454" t="s">
        <v>1624</v>
      </c>
    </row>
    <row r="670" spans="1:8" ht="12.75">
      <c r="A670" s="24" t="s">
        <v>2668</v>
      </c>
      <c r="B670" s="14" t="s">
        <v>2685</v>
      </c>
      <c r="C670" s="792" t="s">
        <v>1666</v>
      </c>
      <c r="D670" s="18" t="s">
        <v>1666</v>
      </c>
      <c r="E670" s="454" t="s">
        <v>1666</v>
      </c>
      <c r="F670" s="454" t="s">
        <v>1666</v>
      </c>
      <c r="G670" s="454" t="s">
        <v>1666</v>
      </c>
      <c r="H670" s="454" t="s">
        <v>1666</v>
      </c>
    </row>
    <row r="671" spans="1:8" ht="12.75">
      <c r="A671" s="24" t="s">
        <v>2668</v>
      </c>
      <c r="B671" s="14" t="s">
        <v>2685</v>
      </c>
      <c r="C671" s="792" t="s">
        <v>1666</v>
      </c>
      <c r="D671" s="18" t="s">
        <v>1666</v>
      </c>
      <c r="E671" s="454" t="s">
        <v>1666</v>
      </c>
      <c r="F671" s="454" t="s">
        <v>1666</v>
      </c>
      <c r="G671" s="454" t="s">
        <v>1666</v>
      </c>
      <c r="H671" s="454" t="s">
        <v>1666</v>
      </c>
    </row>
    <row r="672" spans="1:8" ht="12.75">
      <c r="A672" s="24" t="s">
        <v>2668</v>
      </c>
      <c r="B672" s="14" t="s">
        <v>2685</v>
      </c>
      <c r="C672" s="792" t="s">
        <v>1666</v>
      </c>
      <c r="D672" s="18" t="s">
        <v>1666</v>
      </c>
      <c r="E672" s="454" t="s">
        <v>1666</v>
      </c>
      <c r="F672" s="454" t="s">
        <v>1666</v>
      </c>
      <c r="G672" s="454" t="s">
        <v>1666</v>
      </c>
      <c r="H672" s="454" t="s">
        <v>1666</v>
      </c>
    </row>
    <row r="673" spans="1:8" ht="12.75">
      <c r="A673" s="24" t="s">
        <v>2668</v>
      </c>
      <c r="B673" s="14" t="s">
        <v>2685</v>
      </c>
      <c r="C673" s="792" t="s">
        <v>1666</v>
      </c>
      <c r="D673" s="18" t="s">
        <v>1666</v>
      </c>
      <c r="E673" s="454" t="s">
        <v>1666</v>
      </c>
      <c r="F673" s="454" t="s">
        <v>1666</v>
      </c>
      <c r="G673" s="454" t="s">
        <v>1666</v>
      </c>
      <c r="H673" s="454" t="s">
        <v>1666</v>
      </c>
    </row>
    <row r="674" spans="1:8" ht="12.75">
      <c r="A674" s="24" t="s">
        <v>2668</v>
      </c>
      <c r="B674" s="14" t="s">
        <v>2685</v>
      </c>
      <c r="C674" s="792" t="s">
        <v>1666</v>
      </c>
      <c r="D674" s="18" t="s">
        <v>1666</v>
      </c>
      <c r="E674" s="454" t="s">
        <v>1666</v>
      </c>
      <c r="F674" s="454" t="s">
        <v>1666</v>
      </c>
      <c r="G674" s="454" t="s">
        <v>1666</v>
      </c>
      <c r="H674" s="454" t="s">
        <v>1666</v>
      </c>
    </row>
    <row r="675" spans="1:8" ht="12.75">
      <c r="A675" s="24" t="s">
        <v>2668</v>
      </c>
      <c r="B675" s="14" t="s">
        <v>2685</v>
      </c>
      <c r="C675" s="792" t="s">
        <v>1666</v>
      </c>
      <c r="D675" s="18" t="s">
        <v>1666</v>
      </c>
      <c r="E675" s="454" t="s">
        <v>1666</v>
      </c>
      <c r="F675" s="454" t="s">
        <v>1666</v>
      </c>
      <c r="G675" s="454" t="s">
        <v>1666</v>
      </c>
      <c r="H675" s="454" t="s">
        <v>1666</v>
      </c>
    </row>
    <row r="676" spans="1:8" ht="12.75">
      <c r="A676" s="24" t="s">
        <v>2668</v>
      </c>
      <c r="B676" s="14" t="s">
        <v>2685</v>
      </c>
      <c r="C676" s="792" t="s">
        <v>1666</v>
      </c>
      <c r="D676" s="18" t="s">
        <v>1666</v>
      </c>
      <c r="E676" s="454" t="s">
        <v>1666</v>
      </c>
      <c r="F676" s="454" t="s">
        <v>1666</v>
      </c>
      <c r="G676" s="454" t="s">
        <v>1666</v>
      </c>
      <c r="H676" s="454" t="s">
        <v>1666</v>
      </c>
    </row>
    <row r="677" spans="1:8" ht="12.75">
      <c r="A677" s="24" t="s">
        <v>2668</v>
      </c>
      <c r="B677" s="14" t="s">
        <v>2685</v>
      </c>
      <c r="C677" s="792" t="s">
        <v>1666</v>
      </c>
      <c r="D677" s="18" t="s">
        <v>1666</v>
      </c>
      <c r="E677" s="454" t="s">
        <v>1666</v>
      </c>
      <c r="F677" s="454" t="s">
        <v>1666</v>
      </c>
      <c r="G677" s="454" t="s">
        <v>1666</v>
      </c>
      <c r="H677" s="454" t="s">
        <v>1666</v>
      </c>
    </row>
    <row r="678" spans="1:8" ht="12.75">
      <c r="A678" s="24" t="s">
        <v>2668</v>
      </c>
      <c r="B678" s="14" t="s">
        <v>2685</v>
      </c>
      <c r="C678" s="792" t="s">
        <v>1666</v>
      </c>
      <c r="D678" s="18" t="s">
        <v>1666</v>
      </c>
      <c r="E678" s="454" t="s">
        <v>1666</v>
      </c>
      <c r="F678" s="454" t="s">
        <v>1666</v>
      </c>
      <c r="G678" s="454" t="s">
        <v>1666</v>
      </c>
      <c r="H678" s="454" t="s">
        <v>1666</v>
      </c>
    </row>
    <row r="679" spans="1:8" ht="12.75">
      <c r="A679" s="24" t="s">
        <v>2668</v>
      </c>
      <c r="B679" s="14" t="s">
        <v>2685</v>
      </c>
      <c r="C679" s="792" t="s">
        <v>1666</v>
      </c>
      <c r="D679" s="18" t="s">
        <v>1666</v>
      </c>
      <c r="E679" s="454" t="s">
        <v>1666</v>
      </c>
      <c r="F679" s="454" t="s">
        <v>1666</v>
      </c>
      <c r="G679" s="454" t="s">
        <v>1666</v>
      </c>
      <c r="H679" s="454" t="s">
        <v>1666</v>
      </c>
    </row>
    <row r="680" spans="1:8" ht="12.75">
      <c r="A680" s="24" t="s">
        <v>2668</v>
      </c>
      <c r="B680" s="14" t="s">
        <v>2685</v>
      </c>
      <c r="C680" s="792" t="s">
        <v>1666</v>
      </c>
      <c r="D680" s="18" t="s">
        <v>1666</v>
      </c>
      <c r="E680" s="454" t="s">
        <v>1666</v>
      </c>
      <c r="F680" s="454" t="s">
        <v>1666</v>
      </c>
      <c r="G680" s="454" t="s">
        <v>1666</v>
      </c>
      <c r="H680" s="454" t="s">
        <v>1666</v>
      </c>
    </row>
    <row r="681" spans="1:8" ht="12.75">
      <c r="A681" s="24" t="s">
        <v>2668</v>
      </c>
      <c r="B681" s="14" t="s">
        <v>2685</v>
      </c>
      <c r="C681" s="792" t="s">
        <v>1666</v>
      </c>
      <c r="D681" s="18" t="s">
        <v>1666</v>
      </c>
      <c r="E681" s="454" t="s">
        <v>1666</v>
      </c>
      <c r="F681" s="454" t="s">
        <v>1666</v>
      </c>
      <c r="G681" s="454" t="s">
        <v>1666</v>
      </c>
      <c r="H681" s="454" t="s">
        <v>1666</v>
      </c>
    </row>
    <row r="682" spans="1:8" ht="12.75">
      <c r="A682" s="24" t="s">
        <v>2668</v>
      </c>
      <c r="B682" s="14" t="s">
        <v>2685</v>
      </c>
      <c r="C682" s="792" t="s">
        <v>1666</v>
      </c>
      <c r="D682" s="18" t="s">
        <v>1666</v>
      </c>
      <c r="E682" s="454" t="s">
        <v>1666</v>
      </c>
      <c r="F682" s="454" t="s">
        <v>1666</v>
      </c>
      <c r="G682" s="454" t="s">
        <v>1666</v>
      </c>
      <c r="H682" s="454" t="s">
        <v>1666</v>
      </c>
    </row>
    <row r="683" spans="1:8" ht="12.75">
      <c r="A683" s="24" t="s">
        <v>2668</v>
      </c>
      <c r="B683" s="14" t="s">
        <v>2685</v>
      </c>
      <c r="C683" s="792">
        <v>0.1961887073780032</v>
      </c>
      <c r="D683" s="18" t="s">
        <v>2691</v>
      </c>
      <c r="E683" s="12">
        <v>3.8297066240151499E-4</v>
      </c>
      <c r="F683" s="12">
        <v>1.2726079536012401E-2</v>
      </c>
      <c r="G683" s="12">
        <v>1.225E-5</v>
      </c>
      <c r="H683" s="12">
        <v>1.5432370941286443E-5</v>
      </c>
    </row>
    <row r="684" spans="1:8" ht="12.75">
      <c r="A684" s="24" t="s">
        <v>2668</v>
      </c>
      <c r="B684" s="14" t="s">
        <v>2685</v>
      </c>
      <c r="C684" s="792" t="s">
        <v>1666</v>
      </c>
      <c r="D684" s="18" t="s">
        <v>1666</v>
      </c>
      <c r="E684" s="454" t="s">
        <v>1666</v>
      </c>
      <c r="F684" s="454" t="s">
        <v>1666</v>
      </c>
      <c r="G684" s="454" t="s">
        <v>1666</v>
      </c>
      <c r="H684" s="454" t="s">
        <v>1666</v>
      </c>
    </row>
    <row r="685" spans="1:8" ht="12.75">
      <c r="A685" s="24" t="s">
        <v>2668</v>
      </c>
      <c r="B685" s="14" t="s">
        <v>2685</v>
      </c>
      <c r="C685" s="792" t="s">
        <v>1666</v>
      </c>
      <c r="D685" s="18" t="s">
        <v>1666</v>
      </c>
      <c r="E685" s="454" t="s">
        <v>1666</v>
      </c>
      <c r="F685" s="454" t="s">
        <v>1666</v>
      </c>
      <c r="G685" s="454" t="s">
        <v>1666</v>
      </c>
      <c r="H685" s="454" t="s">
        <v>1666</v>
      </c>
    </row>
    <row r="686" spans="1:8" ht="12.75">
      <c r="A686" s="24" t="s">
        <v>2668</v>
      </c>
      <c r="B686" s="14" t="s">
        <v>2685</v>
      </c>
      <c r="C686" s="792" t="s">
        <v>1666</v>
      </c>
      <c r="D686" s="18" t="s">
        <v>1666</v>
      </c>
      <c r="E686" s="454" t="s">
        <v>1666</v>
      </c>
      <c r="F686" s="454" t="s">
        <v>1666</v>
      </c>
      <c r="G686" s="454" t="s">
        <v>1666</v>
      </c>
      <c r="H686" s="454" t="s">
        <v>1666</v>
      </c>
    </row>
    <row r="687" spans="1:8" ht="12.75">
      <c r="A687" s="24" t="s">
        <v>2668</v>
      </c>
      <c r="B687" s="14" t="s">
        <v>2685</v>
      </c>
      <c r="C687" s="792" t="s">
        <v>1666</v>
      </c>
      <c r="D687" s="18" t="s">
        <v>1666</v>
      </c>
      <c r="E687" s="454" t="s">
        <v>1666</v>
      </c>
      <c r="F687" s="454" t="s">
        <v>1666</v>
      </c>
      <c r="G687" s="454" t="s">
        <v>1666</v>
      </c>
      <c r="H687" s="454" t="s">
        <v>1666</v>
      </c>
    </row>
    <row r="688" spans="1:8" ht="12.75">
      <c r="A688" s="24" t="s">
        <v>2668</v>
      </c>
      <c r="B688" s="14" t="s">
        <v>2685</v>
      </c>
      <c r="C688" s="792" t="s">
        <v>1666</v>
      </c>
      <c r="D688" s="18" t="s">
        <v>1666</v>
      </c>
      <c r="E688" s="454" t="s">
        <v>1666</v>
      </c>
      <c r="F688" s="454" t="s">
        <v>1666</v>
      </c>
      <c r="G688" s="454" t="s">
        <v>1666</v>
      </c>
      <c r="H688" s="454" t="s">
        <v>1666</v>
      </c>
    </row>
    <row r="689" spans="1:8" ht="12.75">
      <c r="A689" s="24" t="s">
        <v>2668</v>
      </c>
      <c r="B689" s="14" t="s">
        <v>2685</v>
      </c>
      <c r="C689" s="792" t="s">
        <v>1666</v>
      </c>
      <c r="D689" s="18" t="s">
        <v>1666</v>
      </c>
      <c r="E689" s="454" t="s">
        <v>1666</v>
      </c>
      <c r="F689" s="454" t="s">
        <v>1666</v>
      </c>
      <c r="G689" s="454" t="s">
        <v>1666</v>
      </c>
      <c r="H689" s="454" t="s">
        <v>1666</v>
      </c>
    </row>
    <row r="690" spans="1:8" ht="12.75">
      <c r="A690" s="24" t="s">
        <v>2668</v>
      </c>
      <c r="B690" s="14" t="s">
        <v>2685</v>
      </c>
      <c r="C690" s="792" t="s">
        <v>1666</v>
      </c>
      <c r="D690" s="18" t="s">
        <v>1666</v>
      </c>
      <c r="E690" s="454" t="s">
        <v>1666</v>
      </c>
      <c r="F690" s="454" t="s">
        <v>1666</v>
      </c>
      <c r="G690" s="454" t="s">
        <v>1666</v>
      </c>
      <c r="H690" s="454" t="s">
        <v>1666</v>
      </c>
    </row>
    <row r="691" spans="1:8" ht="12.75">
      <c r="A691" s="24" t="s">
        <v>2668</v>
      </c>
      <c r="B691" s="14" t="s">
        <v>2685</v>
      </c>
      <c r="C691" s="792" t="s">
        <v>1666</v>
      </c>
      <c r="D691" s="18" t="s">
        <v>1666</v>
      </c>
      <c r="E691" s="454" t="s">
        <v>1666</v>
      </c>
      <c r="F691" s="454" t="s">
        <v>1666</v>
      </c>
      <c r="G691" s="454" t="s">
        <v>1666</v>
      </c>
      <c r="H691" s="454" t="s">
        <v>1666</v>
      </c>
    </row>
    <row r="692" spans="1:8" ht="12.75">
      <c r="A692" s="24" t="s">
        <v>2668</v>
      </c>
      <c r="B692" s="14" t="s">
        <v>2685</v>
      </c>
      <c r="C692" s="792" t="s">
        <v>1666</v>
      </c>
      <c r="D692" s="18" t="s">
        <v>1666</v>
      </c>
      <c r="E692" s="454" t="s">
        <v>1666</v>
      </c>
      <c r="F692" s="454" t="s">
        <v>1666</v>
      </c>
      <c r="G692" s="454" t="s">
        <v>1666</v>
      </c>
      <c r="H692" s="454" t="s">
        <v>1666</v>
      </c>
    </row>
    <row r="693" spans="1:8" ht="12.75">
      <c r="A693" s="24" t="s">
        <v>2668</v>
      </c>
      <c r="B693" s="14" t="s">
        <v>2685</v>
      </c>
      <c r="C693" s="792" t="s">
        <v>1666</v>
      </c>
      <c r="D693" s="18" t="s">
        <v>1666</v>
      </c>
      <c r="E693" s="454" t="s">
        <v>1666</v>
      </c>
      <c r="F693" s="454" t="s">
        <v>1666</v>
      </c>
      <c r="G693" s="454" t="s">
        <v>1666</v>
      </c>
      <c r="H693" s="454" t="s">
        <v>1666</v>
      </c>
    </row>
    <row r="694" spans="1:8" ht="12.75">
      <c r="A694" s="24" t="s">
        <v>2668</v>
      </c>
      <c r="B694" s="14" t="s">
        <v>2685</v>
      </c>
      <c r="C694" s="792">
        <v>3.9237741475600642E-2</v>
      </c>
      <c r="D694" s="18" t="s">
        <v>88</v>
      </c>
      <c r="E694" s="12">
        <v>5.5280749052132698E-2</v>
      </c>
      <c r="F694" s="12">
        <v>0.16253532298578199</v>
      </c>
      <c r="G694" s="12">
        <v>1.0836239353080568E-3</v>
      </c>
      <c r="H694" s="12">
        <v>1.0196349526066351E-2</v>
      </c>
    </row>
    <row r="695" spans="1:8" ht="12.75">
      <c r="A695" s="24" t="s">
        <v>2668</v>
      </c>
      <c r="B695" s="14" t="s">
        <v>2685</v>
      </c>
      <c r="C695" s="792" t="s">
        <v>1666</v>
      </c>
      <c r="D695" s="18" t="s">
        <v>1666</v>
      </c>
      <c r="E695" s="454" t="s">
        <v>1666</v>
      </c>
      <c r="F695" s="454" t="s">
        <v>1666</v>
      </c>
      <c r="G695" s="454" t="s">
        <v>1666</v>
      </c>
      <c r="H695" s="454" t="s">
        <v>1666</v>
      </c>
    </row>
    <row r="696" spans="1:8" ht="12.75">
      <c r="A696" s="794" t="s">
        <v>2668</v>
      </c>
      <c r="B696" s="617" t="s">
        <v>2685</v>
      </c>
      <c r="C696" s="455" t="s">
        <v>1666</v>
      </c>
      <c r="D696" s="793" t="s">
        <v>1666</v>
      </c>
      <c r="E696" s="808" t="s">
        <v>1666</v>
      </c>
      <c r="F696" s="808" t="s">
        <v>1666</v>
      </c>
      <c r="G696" s="808" t="s">
        <v>1666</v>
      </c>
      <c r="H696" s="808" t="s">
        <v>1666</v>
      </c>
    </row>
    <row r="697" spans="1:8" ht="12.75">
      <c r="A697" s="24" t="s">
        <v>2668</v>
      </c>
      <c r="B697" s="14" t="s">
        <v>2692</v>
      </c>
      <c r="C697" s="792">
        <v>74</v>
      </c>
      <c r="D697" s="18" t="s">
        <v>2658</v>
      </c>
      <c r="E697" s="12">
        <v>5.0851930036188197E-3</v>
      </c>
      <c r="F697" s="12">
        <v>5.9995417730640897E-2</v>
      </c>
      <c r="G697" s="12">
        <v>3.4699999999999998E-4</v>
      </c>
      <c r="H697" s="12">
        <v>2.9762429672480995E-4</v>
      </c>
    </row>
    <row r="698" spans="1:8" ht="12.75">
      <c r="A698" s="24" t="s">
        <v>2668</v>
      </c>
      <c r="B698" s="14" t="s">
        <v>2692</v>
      </c>
      <c r="C698" s="792" t="s">
        <v>1666</v>
      </c>
      <c r="D698" s="18" t="s">
        <v>1666</v>
      </c>
      <c r="E698" s="454" t="s">
        <v>1666</v>
      </c>
      <c r="F698" s="454" t="s">
        <v>1666</v>
      </c>
      <c r="G698" s="454" t="s">
        <v>1666</v>
      </c>
      <c r="H698" s="454" t="s">
        <v>1666</v>
      </c>
    </row>
    <row r="699" spans="1:8" ht="12.75">
      <c r="A699" s="24" t="s">
        <v>2668</v>
      </c>
      <c r="B699" s="14" t="s">
        <v>2692</v>
      </c>
      <c r="C699" s="792">
        <v>10</v>
      </c>
      <c r="D699" s="18" t="s">
        <v>346</v>
      </c>
      <c r="E699" s="12">
        <v>2.9691872042618299E-2</v>
      </c>
      <c r="F699" s="12">
        <v>7.5368545517799299E-2</v>
      </c>
      <c r="G699" s="12">
        <v>2.9014018691588786E-4</v>
      </c>
      <c r="H699" s="12">
        <v>1.4770983615231311E-3</v>
      </c>
    </row>
    <row r="700" spans="1:8" ht="12.75">
      <c r="A700" s="24" t="s">
        <v>2668</v>
      </c>
      <c r="B700" s="14" t="s">
        <v>2692</v>
      </c>
      <c r="C700" s="792">
        <v>5.75</v>
      </c>
      <c r="D700" s="18" t="s">
        <v>433</v>
      </c>
      <c r="E700" s="12">
        <v>3.0104466724907065E-4</v>
      </c>
      <c r="F700" s="12">
        <v>1.2500000000000001E-2</v>
      </c>
      <c r="G700" s="12">
        <v>5.1818181818181835E-4</v>
      </c>
      <c r="H700" s="12">
        <v>4.0084080366977777E-4</v>
      </c>
    </row>
    <row r="701" spans="1:8" ht="12.75">
      <c r="A701" s="24" t="s">
        <v>2668</v>
      </c>
      <c r="B701" s="14" t="s">
        <v>2692</v>
      </c>
      <c r="C701" s="792">
        <v>5</v>
      </c>
      <c r="D701" s="18" t="s">
        <v>2662</v>
      </c>
      <c r="E701" s="12">
        <v>6.399192301960112E-3</v>
      </c>
      <c r="F701" s="12">
        <v>0.12411340117772937</v>
      </c>
      <c r="G701" s="12">
        <v>9.8749999999999988E-5</v>
      </c>
      <c r="H701" s="12">
        <v>3.8580927353216109E-4</v>
      </c>
    </row>
    <row r="702" spans="1:8" ht="12.75">
      <c r="A702" s="10" t="s">
        <v>2668</v>
      </c>
      <c r="B702" s="14" t="s">
        <v>2692</v>
      </c>
      <c r="C702" s="792">
        <v>2.5</v>
      </c>
      <c r="D702" s="18" t="s">
        <v>227</v>
      </c>
      <c r="E702" s="12">
        <v>2.5055367220000002E-3</v>
      </c>
      <c r="F702" s="12">
        <v>3.8459841414181101E-2</v>
      </c>
      <c r="G702" s="12">
        <v>1.1035422343324251E-4</v>
      </c>
      <c r="H702" s="12">
        <v>8.109653861711444E-4</v>
      </c>
    </row>
    <row r="703" spans="1:8" ht="12.75">
      <c r="A703" s="10" t="s">
        <v>2668</v>
      </c>
      <c r="B703" s="14" t="s">
        <v>2692</v>
      </c>
      <c r="C703" s="792">
        <v>1.75</v>
      </c>
      <c r="D703" s="18" t="s">
        <v>83</v>
      </c>
      <c r="E703" s="12">
        <v>0</v>
      </c>
      <c r="F703" s="12">
        <v>0</v>
      </c>
      <c r="G703" s="12">
        <v>0</v>
      </c>
      <c r="H703" s="12">
        <v>0</v>
      </c>
    </row>
    <row r="704" spans="1:8" ht="12.75">
      <c r="A704" s="10" t="s">
        <v>2668</v>
      </c>
      <c r="B704" s="14" t="s">
        <v>2692</v>
      </c>
      <c r="C704" s="792">
        <v>0.5</v>
      </c>
      <c r="D704" s="18" t="s">
        <v>425</v>
      </c>
      <c r="E704" s="12">
        <v>3.8102374934982654E-3</v>
      </c>
      <c r="F704" s="12">
        <v>0.20470422547079484</v>
      </c>
      <c r="G704" s="12">
        <v>1.210810810810811E-4</v>
      </c>
      <c r="H704" s="12">
        <v>1.0002400855855065E-3</v>
      </c>
    </row>
    <row r="705" spans="1:8" ht="12.75">
      <c r="A705" s="10" t="s">
        <v>2668</v>
      </c>
      <c r="B705" s="14" t="s">
        <v>2692</v>
      </c>
      <c r="C705" s="792">
        <v>0.25</v>
      </c>
      <c r="D705" s="18" t="s">
        <v>206</v>
      </c>
      <c r="E705" s="12">
        <v>5.1193538415680896E-3</v>
      </c>
      <c r="F705" s="12">
        <v>9.9290720942183497E-2</v>
      </c>
      <c r="G705" s="12">
        <v>7.8999999999999996E-5</v>
      </c>
      <c r="H705" s="12">
        <v>3.0864741882572887E-4</v>
      </c>
    </row>
    <row r="706" spans="1:8" ht="12.75">
      <c r="A706" s="813" t="s">
        <v>2668</v>
      </c>
      <c r="B706" s="617" t="s">
        <v>2692</v>
      </c>
      <c r="C706" s="455">
        <v>0.25</v>
      </c>
      <c r="D706" s="793" t="s">
        <v>271</v>
      </c>
      <c r="E706" s="635">
        <v>8.4188576965875186E-3</v>
      </c>
      <c r="F706" s="635">
        <v>3.7019919874172996E-2</v>
      </c>
      <c r="G706" s="635">
        <v>2.5000000000000001E-5</v>
      </c>
      <c r="H706" s="635">
        <v>2.4250868622021553E-4</v>
      </c>
    </row>
    <row r="707" spans="1:8" ht="12.75">
      <c r="A707" s="24" t="s">
        <v>2668</v>
      </c>
      <c r="B707" s="14" t="s">
        <v>2693</v>
      </c>
      <c r="C707" s="792">
        <v>60.277585010409432</v>
      </c>
      <c r="D707" s="18" t="s">
        <v>2658</v>
      </c>
      <c r="E707" s="12">
        <v>5.0851930036188197E-3</v>
      </c>
      <c r="F707" s="12">
        <v>5.9995417730640897E-2</v>
      </c>
      <c r="G707" s="12">
        <v>3.4699999999999998E-4</v>
      </c>
      <c r="H707" s="12">
        <v>2.9762429672480995E-4</v>
      </c>
    </row>
    <row r="708" spans="1:8" ht="12.75">
      <c r="A708" s="24" t="s">
        <v>2668</v>
      </c>
      <c r="B708" s="14" t="s">
        <v>2693</v>
      </c>
      <c r="C708" s="792" t="s">
        <v>1666</v>
      </c>
      <c r="D708" s="18" t="s">
        <v>1666</v>
      </c>
      <c r="E708" s="454" t="s">
        <v>1666</v>
      </c>
      <c r="F708" s="454" t="s">
        <v>1666</v>
      </c>
      <c r="G708" s="454" t="s">
        <v>1666</v>
      </c>
      <c r="H708" s="454" t="s">
        <v>1666</v>
      </c>
    </row>
    <row r="709" spans="1:8" ht="12.75">
      <c r="A709" s="24" t="s">
        <v>2668</v>
      </c>
      <c r="B709" s="14" t="s">
        <v>2693</v>
      </c>
      <c r="C709" s="792">
        <v>11.385322692574599</v>
      </c>
      <c r="D709" s="18" t="s">
        <v>2694</v>
      </c>
      <c r="E709" s="12">
        <v>2.9691872042618299E-2</v>
      </c>
      <c r="F709" s="12">
        <v>7.5368545517799299E-2</v>
      </c>
      <c r="G709" s="12">
        <v>2.9014018691588786E-4</v>
      </c>
      <c r="H709" s="12">
        <v>1.4770983615231311E-3</v>
      </c>
    </row>
    <row r="710" spans="1:8" ht="12.75">
      <c r="A710" s="24" t="s">
        <v>2668</v>
      </c>
      <c r="B710" s="14" t="s">
        <v>2693</v>
      </c>
      <c r="C710" s="792">
        <v>4.430950728660652</v>
      </c>
      <c r="D710" s="18" t="s">
        <v>433</v>
      </c>
      <c r="E710" s="12">
        <v>3.0104466724907065E-4</v>
      </c>
      <c r="F710" s="12">
        <v>1.2500000000000001E-2</v>
      </c>
      <c r="G710" s="12">
        <v>5.1818181818181835E-4</v>
      </c>
      <c r="H710" s="12">
        <v>4.0084080366977777E-4</v>
      </c>
    </row>
    <row r="711" spans="1:8" ht="12.75">
      <c r="A711" s="24" t="s">
        <v>2668</v>
      </c>
      <c r="B711" s="14" t="s">
        <v>2693</v>
      </c>
      <c r="C711" s="792">
        <v>1.5909090909090908</v>
      </c>
      <c r="D711" s="18" t="s">
        <v>430</v>
      </c>
      <c r="E711" s="12">
        <v>0</v>
      </c>
      <c r="F711" s="12">
        <v>0</v>
      </c>
      <c r="G711" s="12">
        <v>0</v>
      </c>
      <c r="H711" s="12">
        <v>0</v>
      </c>
    </row>
    <row r="712" spans="1:8" ht="12.75">
      <c r="A712" s="24" t="s">
        <v>2668</v>
      </c>
      <c r="B712" s="14" t="s">
        <v>2693</v>
      </c>
      <c r="C712" s="792">
        <v>2.6136363636363633</v>
      </c>
      <c r="D712" s="18" t="s">
        <v>1113</v>
      </c>
      <c r="E712" s="12">
        <v>3.8297066240151499E-4</v>
      </c>
      <c r="F712" s="12">
        <v>1.2726079536012401E-2</v>
      </c>
      <c r="G712" s="12">
        <v>1.225E-5</v>
      </c>
      <c r="H712" s="12">
        <v>1.5432370941286443E-5</v>
      </c>
    </row>
    <row r="713" spans="1:8" ht="12.75">
      <c r="A713" s="24" t="s">
        <v>2668</v>
      </c>
      <c r="B713" s="14" t="s">
        <v>2693</v>
      </c>
      <c r="C713" s="792">
        <v>1.0227272727272727</v>
      </c>
      <c r="D713" s="18" t="s">
        <v>2680</v>
      </c>
      <c r="E713" s="12">
        <v>2.5425965018094099E-4</v>
      </c>
      <c r="F713" s="12">
        <v>2.999770886532045E-3</v>
      </c>
      <c r="G713" s="12">
        <v>1.7349999999999998E-5</v>
      </c>
      <c r="H713" s="12">
        <v>1.4881214836240498E-5</v>
      </c>
    </row>
    <row r="714" spans="1:8" ht="12.75">
      <c r="A714" s="24" t="s">
        <v>2668</v>
      </c>
      <c r="B714" s="14" t="s">
        <v>2693</v>
      </c>
      <c r="C714" s="792" t="s">
        <v>1666</v>
      </c>
      <c r="D714" s="18" t="s">
        <v>1666</v>
      </c>
      <c r="E714" s="454" t="s">
        <v>1666</v>
      </c>
      <c r="F714" s="454" t="s">
        <v>1666</v>
      </c>
      <c r="G714" s="454" t="s">
        <v>1666</v>
      </c>
      <c r="H714" s="454" t="s">
        <v>1666</v>
      </c>
    </row>
    <row r="715" spans="1:8" ht="12.75">
      <c r="A715" s="24" t="s">
        <v>2668</v>
      </c>
      <c r="B715" s="14" t="s">
        <v>2693</v>
      </c>
      <c r="C715" s="792">
        <v>1.905794587092297</v>
      </c>
      <c r="D715" s="18" t="s">
        <v>83</v>
      </c>
      <c r="E715" s="12">
        <v>0</v>
      </c>
      <c r="F715" s="12">
        <v>0</v>
      </c>
      <c r="G715" s="12">
        <v>0</v>
      </c>
      <c r="H715" s="12">
        <v>0</v>
      </c>
    </row>
    <row r="716" spans="1:8" ht="12.75">
      <c r="A716" s="24" t="s">
        <v>2668</v>
      </c>
      <c r="B716" s="14" t="s">
        <v>2693</v>
      </c>
      <c r="C716" s="792">
        <v>1.6663775156141569</v>
      </c>
      <c r="D716" s="18" t="s">
        <v>2662</v>
      </c>
      <c r="E716" s="12">
        <v>6.399192301960112E-3</v>
      </c>
      <c r="F716" s="12">
        <v>0.12411340117772937</v>
      </c>
      <c r="G716" s="12">
        <v>9.8749999999999988E-5</v>
      </c>
      <c r="H716" s="12">
        <v>3.8580927353216109E-4</v>
      </c>
    </row>
    <row r="717" spans="1:8" ht="12.75">
      <c r="A717" s="24" t="s">
        <v>2668</v>
      </c>
      <c r="B717" s="14" t="s">
        <v>2693</v>
      </c>
      <c r="C717" s="792">
        <v>0.68181818181818177</v>
      </c>
      <c r="D717" s="18" t="s">
        <v>2663</v>
      </c>
      <c r="E717" s="12">
        <v>3.1660297063617504E-2</v>
      </c>
      <c r="F717" s="12">
        <v>0.3735301190055475</v>
      </c>
      <c r="G717" s="12">
        <v>2.1604141815772032E-3</v>
      </c>
      <c r="H717" s="12">
        <v>1.8530021654934324E-3</v>
      </c>
    </row>
    <row r="718" spans="1:8" ht="12.75">
      <c r="A718" s="24" t="s">
        <v>2668</v>
      </c>
      <c r="B718" s="14" t="s">
        <v>2693</v>
      </c>
      <c r="C718" s="792">
        <v>0.68181818181818177</v>
      </c>
      <c r="D718" s="18" t="s">
        <v>2671</v>
      </c>
      <c r="E718" s="12">
        <v>2.5425965018094099E-4</v>
      </c>
      <c r="F718" s="12">
        <v>2.999770886532045E-3</v>
      </c>
      <c r="G718" s="12">
        <v>1.7349999999999998E-5</v>
      </c>
      <c r="H718" s="12">
        <v>1.4881214836240498E-5</v>
      </c>
    </row>
    <row r="719" spans="1:8" ht="12.75">
      <c r="A719" s="24" t="s">
        <v>2668</v>
      </c>
      <c r="B719" s="14" t="s">
        <v>2693</v>
      </c>
      <c r="C719" s="792">
        <v>0.68181818181818177</v>
      </c>
      <c r="D719" s="18" t="s">
        <v>271</v>
      </c>
      <c r="E719" s="12">
        <v>8.4188576965875186E-3</v>
      </c>
      <c r="F719" s="12">
        <v>3.7019919874172996E-2</v>
      </c>
      <c r="G719" s="12">
        <v>2.5000000000000001E-5</v>
      </c>
      <c r="H719" s="12">
        <v>2.4250868622021553E-4</v>
      </c>
    </row>
    <row r="720" spans="1:8" ht="12.75">
      <c r="A720" s="24" t="s">
        <v>2668</v>
      </c>
      <c r="B720" s="14" t="s">
        <v>2693</v>
      </c>
      <c r="C720" s="792">
        <v>1.3757807078417765</v>
      </c>
      <c r="D720" s="18" t="s">
        <v>425</v>
      </c>
      <c r="E720" s="12">
        <v>3.8102374934982654E-3</v>
      </c>
      <c r="F720" s="12">
        <v>0.20470422547079484</v>
      </c>
      <c r="G720" s="12">
        <v>1.210810810810811E-4</v>
      </c>
      <c r="H720" s="12">
        <v>1.0002400855855065E-3</v>
      </c>
    </row>
    <row r="721" spans="1:8" ht="12.75">
      <c r="A721" s="24" t="s">
        <v>2668</v>
      </c>
      <c r="B721" s="14" t="s">
        <v>2693</v>
      </c>
      <c r="C721" s="792">
        <v>0.68181818181818177</v>
      </c>
      <c r="D721" s="18" t="s">
        <v>222</v>
      </c>
      <c r="E721" s="12">
        <v>3.1468479298981202E-3</v>
      </c>
      <c r="F721" s="12">
        <v>0.16906375764329037</v>
      </c>
      <c r="G721" s="12">
        <v>9.759036144578314E-5</v>
      </c>
      <c r="H721" s="12">
        <v>7.171669800597832E-4</v>
      </c>
    </row>
    <row r="722" spans="1:8" ht="12.75">
      <c r="A722" s="24" t="s">
        <v>2668</v>
      </c>
      <c r="B722" s="14" t="s">
        <v>2693</v>
      </c>
      <c r="C722" s="792" t="s">
        <v>1666</v>
      </c>
      <c r="D722" s="18" t="s">
        <v>1666</v>
      </c>
      <c r="E722" s="454" t="s">
        <v>1666</v>
      </c>
      <c r="F722" s="454" t="s">
        <v>1666</v>
      </c>
      <c r="G722" s="454" t="s">
        <v>1666</v>
      </c>
      <c r="H722" s="454" t="s">
        <v>1666</v>
      </c>
    </row>
    <row r="723" spans="1:8" ht="12.75">
      <c r="A723" s="24" t="s">
        <v>2668</v>
      </c>
      <c r="B723" s="14" t="s">
        <v>2693</v>
      </c>
      <c r="C723" s="792">
        <v>0.73213046495489242</v>
      </c>
      <c r="D723" s="18" t="s">
        <v>227</v>
      </c>
      <c r="E723" s="12">
        <v>2.5055367220000002E-3</v>
      </c>
      <c r="F723" s="12">
        <v>3.8459841414181101E-2</v>
      </c>
      <c r="G723" s="12">
        <v>1.1035422343324251E-4</v>
      </c>
      <c r="H723" s="12">
        <v>8.109653861711444E-4</v>
      </c>
    </row>
    <row r="724" spans="1:8" ht="12.75">
      <c r="A724" s="24" t="s">
        <v>2668</v>
      </c>
      <c r="B724" s="14" t="s">
        <v>2693</v>
      </c>
      <c r="C724" s="792">
        <v>0.45454545454545453</v>
      </c>
      <c r="D724" s="18" t="s">
        <v>432</v>
      </c>
      <c r="E724" s="12">
        <v>2.2558902713754649E-4</v>
      </c>
      <c r="F724" s="12">
        <v>9.3669250645994837E-3</v>
      </c>
      <c r="G724" s="12">
        <v>3.8830162085976054E-4</v>
      </c>
      <c r="H724" s="12">
        <v>3.0037166166469137E-4</v>
      </c>
    </row>
    <row r="725" spans="1:8" ht="12.75">
      <c r="A725" s="24" t="s">
        <v>2668</v>
      </c>
      <c r="B725" s="14" t="s">
        <v>2693</v>
      </c>
      <c r="C725" s="792">
        <v>0.45454545454545453</v>
      </c>
      <c r="D725" s="18" t="s">
        <v>1124</v>
      </c>
      <c r="E725" s="12">
        <v>2.38916680630451E-3</v>
      </c>
      <c r="F725" s="12">
        <v>0.16192713668914901</v>
      </c>
      <c r="G725" s="12">
        <v>4.8714285714285716E-4</v>
      </c>
      <c r="H725" s="12">
        <v>2.358948129596642E-3</v>
      </c>
    </row>
    <row r="726" spans="1:8" ht="12.75">
      <c r="A726" s="24" t="s">
        <v>2668</v>
      </c>
      <c r="B726" s="14" t="s">
        <v>2693</v>
      </c>
      <c r="C726" s="792" t="s">
        <v>1666</v>
      </c>
      <c r="D726" s="18" t="s">
        <v>1666</v>
      </c>
      <c r="E726" s="454" t="s">
        <v>1666</v>
      </c>
      <c r="F726" s="454" t="s">
        <v>1666</v>
      </c>
      <c r="G726" s="454" t="s">
        <v>1666</v>
      </c>
      <c r="H726" s="454" t="s">
        <v>1666</v>
      </c>
    </row>
    <row r="727" spans="1:8" ht="12.75">
      <c r="A727" s="24" t="s">
        <v>2668</v>
      </c>
      <c r="B727" s="14" t="s">
        <v>2693</v>
      </c>
      <c r="C727" s="792">
        <v>0.22727272727272727</v>
      </c>
      <c r="D727" s="809" t="s">
        <v>2695</v>
      </c>
      <c r="E727" s="461">
        <v>2.2073766211046637E-2</v>
      </c>
      <c r="F727" s="461">
        <v>8.7246004352723297E-2</v>
      </c>
      <c r="G727" s="461">
        <v>5.8202330775582959E-4</v>
      </c>
      <c r="H727" s="461">
        <v>2.670351142205461E-3</v>
      </c>
    </row>
    <row r="728" spans="1:8" ht="12.75">
      <c r="A728" s="24" t="s">
        <v>2668</v>
      </c>
      <c r="B728" s="14" t="s">
        <v>2693</v>
      </c>
      <c r="C728" s="792">
        <v>0.11363636363636363</v>
      </c>
      <c r="D728" s="18" t="s">
        <v>79</v>
      </c>
      <c r="E728" s="12">
        <v>1.3100000000000001E-2</v>
      </c>
      <c r="F728" s="12">
        <v>0.27117000000000002</v>
      </c>
      <c r="G728" s="12">
        <v>4.1E-5</v>
      </c>
      <c r="H728" s="12">
        <v>1.8699999999999999E-3</v>
      </c>
    </row>
    <row r="729" spans="1:8" ht="12.75">
      <c r="A729" s="24" t="s">
        <v>2668</v>
      </c>
      <c r="B729" s="14" t="s">
        <v>2693</v>
      </c>
      <c r="C729" s="792" t="s">
        <v>1666</v>
      </c>
      <c r="D729" s="18" t="s">
        <v>1666</v>
      </c>
      <c r="E729" s="454" t="s">
        <v>1666</v>
      </c>
      <c r="F729" s="454" t="s">
        <v>1666</v>
      </c>
      <c r="G729" s="454" t="s">
        <v>1666</v>
      </c>
      <c r="H729" s="454" t="s">
        <v>1666</v>
      </c>
    </row>
    <row r="730" spans="1:8" ht="12.75">
      <c r="A730" s="24" t="s">
        <v>2668</v>
      </c>
      <c r="B730" s="14" t="s">
        <v>2693</v>
      </c>
      <c r="C730" s="792" t="s">
        <v>1666</v>
      </c>
      <c r="D730" s="18" t="s">
        <v>1666</v>
      </c>
      <c r="E730" s="454" t="s">
        <v>1666</v>
      </c>
      <c r="F730" s="454" t="s">
        <v>1666</v>
      </c>
      <c r="G730" s="454" t="s">
        <v>1666</v>
      </c>
      <c r="H730" s="454" t="s">
        <v>1666</v>
      </c>
    </row>
    <row r="731" spans="1:8" ht="12.75">
      <c r="A731" s="24" t="s">
        <v>2668</v>
      </c>
      <c r="B731" s="14" t="s">
        <v>2693</v>
      </c>
      <c r="C731" s="792" t="s">
        <v>1666</v>
      </c>
      <c r="D731" s="18" t="s">
        <v>1666</v>
      </c>
      <c r="E731" s="454" t="s">
        <v>1666</v>
      </c>
      <c r="F731" s="454" t="s">
        <v>1666</v>
      </c>
      <c r="G731" s="454" t="s">
        <v>1666</v>
      </c>
      <c r="H731" s="454" t="s">
        <v>1666</v>
      </c>
    </row>
    <row r="732" spans="1:8" ht="12.75">
      <c r="A732" s="24" t="s">
        <v>2668</v>
      </c>
      <c r="B732" s="14" t="s">
        <v>2693</v>
      </c>
      <c r="C732" s="792">
        <v>3.6086051353226924</v>
      </c>
      <c r="D732" s="18" t="s">
        <v>2696</v>
      </c>
      <c r="E732" s="12">
        <v>4.8143999999999999E-2</v>
      </c>
      <c r="F732" s="12">
        <v>0.14155200000000001</v>
      </c>
      <c r="G732" s="12">
        <v>9.4372800000000001E-4</v>
      </c>
      <c r="H732" s="12">
        <v>8.8800000000000007E-3</v>
      </c>
    </row>
    <row r="733" spans="1:8" ht="12.75">
      <c r="A733" s="24" t="s">
        <v>2668</v>
      </c>
      <c r="B733" s="14" t="s">
        <v>2693</v>
      </c>
      <c r="C733" s="792">
        <v>3.0534351145038165</v>
      </c>
      <c r="D733" s="18" t="s">
        <v>2697</v>
      </c>
      <c r="E733" s="12">
        <v>2.1063000000000002E-2</v>
      </c>
      <c r="F733" s="12">
        <v>6.1928999999999998E-2</v>
      </c>
      <c r="G733" s="12">
        <v>4.1288100000000003E-4</v>
      </c>
      <c r="H733" s="12">
        <v>3.885E-3</v>
      </c>
    </row>
    <row r="734" spans="1:8" ht="12.75">
      <c r="A734" s="24" t="s">
        <v>2668</v>
      </c>
      <c r="B734" s="14" t="s">
        <v>2693</v>
      </c>
      <c r="C734" s="792" t="s">
        <v>1666</v>
      </c>
      <c r="D734" s="18" t="s">
        <v>1666</v>
      </c>
      <c r="E734" s="454" t="s">
        <v>1666</v>
      </c>
      <c r="F734" s="454" t="s">
        <v>1666</v>
      </c>
      <c r="G734" s="454" t="s">
        <v>1666</v>
      </c>
      <c r="H734" s="454" t="s">
        <v>1666</v>
      </c>
    </row>
    <row r="735" spans="1:8" ht="12.75">
      <c r="A735" s="24" t="s">
        <v>2668</v>
      </c>
      <c r="B735" s="14" t="s">
        <v>2693</v>
      </c>
      <c r="C735" s="792" t="s">
        <v>1666</v>
      </c>
      <c r="D735" s="18" t="s">
        <v>1666</v>
      </c>
      <c r="E735" s="454" t="s">
        <v>1666</v>
      </c>
      <c r="F735" s="454" t="s">
        <v>1666</v>
      </c>
      <c r="G735" s="454" t="s">
        <v>1666</v>
      </c>
      <c r="H735" s="454" t="s">
        <v>1666</v>
      </c>
    </row>
    <row r="736" spans="1:8" ht="12.75">
      <c r="A736" s="24" t="s">
        <v>2668</v>
      </c>
      <c r="B736" s="14" t="s">
        <v>2693</v>
      </c>
      <c r="C736" s="792" t="s">
        <v>1666</v>
      </c>
      <c r="D736" s="18" t="s">
        <v>1666</v>
      </c>
      <c r="E736" s="454" t="s">
        <v>1666</v>
      </c>
      <c r="F736" s="454" t="s">
        <v>1666</v>
      </c>
      <c r="G736" s="454" t="s">
        <v>1666</v>
      </c>
      <c r="H736" s="454" t="s">
        <v>1666</v>
      </c>
    </row>
    <row r="737" spans="1:8" ht="12.75">
      <c r="A737" s="24" t="s">
        <v>2668</v>
      </c>
      <c r="B737" s="14" t="s">
        <v>2693</v>
      </c>
      <c r="C737" s="792">
        <v>0.83275503122831362</v>
      </c>
      <c r="D737" s="18" t="s">
        <v>324</v>
      </c>
      <c r="E737" s="12">
        <v>1.0652903141570055E-3</v>
      </c>
      <c r="F737" s="12">
        <v>1.7273631840796021E-2</v>
      </c>
      <c r="G737" s="12">
        <v>1.3582399999999999E-4</v>
      </c>
      <c r="H737" s="12">
        <v>2.14E-3</v>
      </c>
    </row>
    <row r="738" spans="1:8" ht="12.75">
      <c r="A738" s="24" t="s">
        <v>2668</v>
      </c>
      <c r="B738" s="14" t="s">
        <v>2693</v>
      </c>
      <c r="C738" s="792">
        <v>0.27758501040943789</v>
      </c>
      <c r="D738" s="18" t="s">
        <v>350</v>
      </c>
      <c r="E738" s="12">
        <v>7.6923076923076919E-3</v>
      </c>
      <c r="F738" s="12">
        <v>0.183</v>
      </c>
      <c r="G738" s="12">
        <v>2.8673068893528183E-4</v>
      </c>
      <c r="H738" s="12">
        <v>1.4770983615231311E-3</v>
      </c>
    </row>
    <row r="739" spans="1:8" ht="12.75">
      <c r="A739" s="24" t="s">
        <v>2668</v>
      </c>
      <c r="B739" s="14" t="s">
        <v>2693</v>
      </c>
      <c r="C739" s="792">
        <v>0.55517002081887579</v>
      </c>
      <c r="D739" s="18" t="s">
        <v>340</v>
      </c>
      <c r="E739" s="12">
        <v>2.1708241661196198E-2</v>
      </c>
      <c r="F739" s="12">
        <v>0.36572952458380198</v>
      </c>
      <c r="G739" s="12">
        <v>4.6350652173913045E-4</v>
      </c>
      <c r="H739" s="12">
        <v>1.6975608035415088E-3</v>
      </c>
    </row>
    <row r="740" spans="1:8" ht="12.75">
      <c r="A740" s="24" t="s">
        <v>2668</v>
      </c>
      <c r="B740" s="14" t="s">
        <v>2693</v>
      </c>
      <c r="C740" s="792" t="s">
        <v>1666</v>
      </c>
      <c r="D740" s="18" t="s">
        <v>1666</v>
      </c>
      <c r="E740" s="454" t="s">
        <v>1666</v>
      </c>
      <c r="F740" s="454" t="s">
        <v>1666</v>
      </c>
      <c r="G740" s="454" t="s">
        <v>1666</v>
      </c>
      <c r="H740" s="454" t="s">
        <v>1666</v>
      </c>
    </row>
    <row r="741" spans="1:8" ht="12.75">
      <c r="A741" s="24" t="s">
        <v>2668</v>
      </c>
      <c r="B741" s="14" t="s">
        <v>2693</v>
      </c>
      <c r="C741" s="792">
        <v>0.55517002081887579</v>
      </c>
      <c r="D741" s="18" t="s">
        <v>332</v>
      </c>
      <c r="E741" s="12">
        <v>2.3E-3</v>
      </c>
      <c r="F741" s="12">
        <v>4.7879999999999999E-2</v>
      </c>
      <c r="G741" s="12">
        <v>9.9999999999999995E-7</v>
      </c>
      <c r="H741" s="12">
        <v>4.4092488403675551E-4</v>
      </c>
    </row>
    <row r="742" spans="1:8" ht="12.75">
      <c r="A742" s="24" t="s">
        <v>2668</v>
      </c>
      <c r="B742" s="14" t="s">
        <v>2693</v>
      </c>
      <c r="C742" s="792" t="s">
        <v>1666</v>
      </c>
      <c r="D742" s="18" t="s">
        <v>1666</v>
      </c>
      <c r="E742" s="454" t="s">
        <v>1666</v>
      </c>
      <c r="F742" s="454" t="s">
        <v>1666</v>
      </c>
      <c r="G742" s="454" t="s">
        <v>1666</v>
      </c>
      <c r="H742" s="454" t="s">
        <v>1666</v>
      </c>
    </row>
    <row r="743" spans="1:8" ht="12.75">
      <c r="A743" s="24" t="s">
        <v>2668</v>
      </c>
      <c r="B743" s="14" t="s">
        <v>2693</v>
      </c>
      <c r="C743" s="792" t="s">
        <v>1666</v>
      </c>
      <c r="D743" s="18" t="s">
        <v>1666</v>
      </c>
      <c r="E743" s="454" t="s">
        <v>1666</v>
      </c>
      <c r="F743" s="454" t="s">
        <v>1666</v>
      </c>
      <c r="G743" s="454" t="s">
        <v>1666</v>
      </c>
      <c r="H743" s="454" t="s">
        <v>1666</v>
      </c>
    </row>
    <row r="744" spans="1:8" ht="12.75">
      <c r="A744" s="794" t="s">
        <v>2668</v>
      </c>
      <c r="B744" s="617" t="s">
        <v>2693</v>
      </c>
      <c r="C744" s="455">
        <v>0.13879250520471895</v>
      </c>
      <c r="D744" s="793" t="s">
        <v>86</v>
      </c>
      <c r="E744" s="635">
        <v>0</v>
      </c>
      <c r="F744" s="635">
        <v>0</v>
      </c>
      <c r="G744" s="635">
        <v>0</v>
      </c>
      <c r="H744" s="635">
        <v>0</v>
      </c>
    </row>
    <row r="745" spans="1:8" ht="12.75">
      <c r="A745" s="24" t="s">
        <v>2668</v>
      </c>
      <c r="B745" s="14" t="s">
        <v>2698</v>
      </c>
      <c r="C745" s="792">
        <v>74.368670445533553</v>
      </c>
      <c r="D745" s="18" t="s">
        <v>2699</v>
      </c>
      <c r="E745" s="12">
        <v>5.0851930036188197E-3</v>
      </c>
      <c r="F745" s="12">
        <v>5.9995417730640897E-2</v>
      </c>
      <c r="G745" s="12">
        <v>3.4699999999999998E-4</v>
      </c>
      <c r="H745" s="12">
        <v>2.9762429672480995E-4</v>
      </c>
    </row>
    <row r="746" spans="1:8" ht="12.75">
      <c r="A746" s="24" t="s">
        <v>2668</v>
      </c>
      <c r="B746" s="14" t="s">
        <v>2698</v>
      </c>
      <c r="C746" s="792">
        <v>8.3753807655437296</v>
      </c>
      <c r="D746" s="18" t="s">
        <v>2662</v>
      </c>
      <c r="E746" s="12">
        <v>6.399192301960112E-3</v>
      </c>
      <c r="F746" s="12">
        <v>0.12411340117772937</v>
      </c>
      <c r="G746" s="12">
        <v>9.8749999999999988E-5</v>
      </c>
      <c r="H746" s="12">
        <v>3.8580927353216109E-4</v>
      </c>
    </row>
    <row r="747" spans="1:8" ht="12.75">
      <c r="A747" s="24" t="s">
        <v>2668</v>
      </c>
      <c r="B747" s="14" t="s">
        <v>2698</v>
      </c>
      <c r="C747" s="810">
        <v>28.726995017792117</v>
      </c>
      <c r="D747" s="811" t="s">
        <v>72</v>
      </c>
      <c r="E747" s="457">
        <v>0</v>
      </c>
      <c r="F747" s="457">
        <v>0</v>
      </c>
      <c r="G747" s="457">
        <v>0</v>
      </c>
      <c r="H747" s="457">
        <v>0</v>
      </c>
    </row>
    <row r="748" spans="1:8" ht="12.75">
      <c r="A748" s="24" t="s">
        <v>2668</v>
      </c>
      <c r="B748" s="14" t="s">
        <v>2698</v>
      </c>
      <c r="C748" s="792">
        <v>4.2188319404740247</v>
      </c>
      <c r="D748" s="18" t="s">
        <v>2700</v>
      </c>
      <c r="E748" s="12">
        <v>3.9416473933649287E-3</v>
      </c>
      <c r="F748" s="12">
        <v>1.1589150710900475E-2</v>
      </c>
      <c r="G748" s="12">
        <v>7.7264934597156404E-5</v>
      </c>
      <c r="H748" s="12">
        <v>7.2702369668246447E-4</v>
      </c>
    </row>
    <row r="749" spans="1:8" ht="12.75">
      <c r="A749" s="24" t="s">
        <v>2668</v>
      </c>
      <c r="B749" s="14" t="s">
        <v>2698</v>
      </c>
      <c r="C749" s="792">
        <v>1.3404916323631371</v>
      </c>
      <c r="D749" s="18" t="s">
        <v>346</v>
      </c>
      <c r="E749" s="12">
        <v>2.9691872042618299E-2</v>
      </c>
      <c r="F749" s="12">
        <v>7.5368545517799299E-2</v>
      </c>
      <c r="G749" s="12">
        <v>2.9014018691588786E-4</v>
      </c>
      <c r="H749" s="12">
        <v>1.4770983615231311E-3</v>
      </c>
    </row>
    <row r="750" spans="1:8" ht="12.75">
      <c r="A750" s="24" t="s">
        <v>2668</v>
      </c>
      <c r="B750" s="14" t="s">
        <v>2698</v>
      </c>
      <c r="C750" s="792">
        <v>1.368424775510414</v>
      </c>
      <c r="D750" s="18" t="s">
        <v>305</v>
      </c>
      <c r="E750" s="12">
        <v>4.7062756261925113E-3</v>
      </c>
      <c r="F750" s="12">
        <v>3.8210906557435767E-2</v>
      </c>
      <c r="G750" s="12">
        <v>8.2999999999999998E-5</v>
      </c>
      <c r="H750" s="12">
        <v>5.9908272287602653E-4</v>
      </c>
    </row>
    <row r="751" spans="1:8" ht="12.75">
      <c r="A751" s="24" t="s">
        <v>2668</v>
      </c>
      <c r="B751" s="14" t="s">
        <v>2698</v>
      </c>
      <c r="C751" s="792" t="s">
        <v>1666</v>
      </c>
      <c r="D751" s="18" t="s">
        <v>1666</v>
      </c>
      <c r="E751" s="454" t="s">
        <v>1666</v>
      </c>
      <c r="F751" s="454" t="s">
        <v>1666</v>
      </c>
      <c r="G751" s="454" t="s">
        <v>1666</v>
      </c>
      <c r="H751" s="454" t="s">
        <v>1666</v>
      </c>
    </row>
    <row r="752" spans="1:8" ht="12.75">
      <c r="A752" s="24" t="s">
        <v>2668</v>
      </c>
      <c r="B752" s="14" t="s">
        <v>2698</v>
      </c>
      <c r="C752" s="792" t="s">
        <v>1666</v>
      </c>
      <c r="D752" s="18" t="s">
        <v>1666</v>
      </c>
      <c r="E752" s="454" t="s">
        <v>1666</v>
      </c>
      <c r="F752" s="454" t="s">
        <v>1666</v>
      </c>
      <c r="G752" s="454" t="s">
        <v>1666</v>
      </c>
      <c r="H752" s="454" t="s">
        <v>1666</v>
      </c>
    </row>
    <row r="753" spans="1:8" ht="12.75">
      <c r="A753" s="24" t="s">
        <v>2668</v>
      </c>
      <c r="B753" s="14" t="s">
        <v>2698</v>
      </c>
      <c r="C753" s="792" t="s">
        <v>1666</v>
      </c>
      <c r="D753" s="18" t="s">
        <v>1666</v>
      </c>
      <c r="E753" s="454" t="s">
        <v>1666</v>
      </c>
      <c r="F753" s="454" t="s">
        <v>1666</v>
      </c>
      <c r="G753" s="454" t="s">
        <v>1666</v>
      </c>
      <c r="H753" s="454" t="s">
        <v>1666</v>
      </c>
    </row>
    <row r="754" spans="1:8" ht="12.75">
      <c r="A754" s="24" t="s">
        <v>2668</v>
      </c>
      <c r="B754" s="14" t="s">
        <v>2698</v>
      </c>
      <c r="C754" s="792" t="s">
        <v>1666</v>
      </c>
      <c r="D754" s="18" t="s">
        <v>1666</v>
      </c>
      <c r="E754" s="454" t="s">
        <v>1666</v>
      </c>
      <c r="F754" s="454" t="s">
        <v>1666</v>
      </c>
      <c r="G754" s="454" t="s">
        <v>1666</v>
      </c>
      <c r="H754" s="454" t="s">
        <v>1666</v>
      </c>
    </row>
    <row r="755" spans="1:8" ht="12.75">
      <c r="A755" s="24" t="s">
        <v>2668</v>
      </c>
      <c r="B755" s="14" t="s">
        <v>2698</v>
      </c>
      <c r="C755" s="792">
        <v>0.41837691426190254</v>
      </c>
      <c r="D755" s="18" t="s">
        <v>433</v>
      </c>
      <c r="E755" s="12">
        <v>3.0104466724907065E-4</v>
      </c>
      <c r="F755" s="12">
        <v>1.2500000000000001E-2</v>
      </c>
      <c r="G755" s="12">
        <v>5.1818181818181835E-4</v>
      </c>
      <c r="H755" s="12">
        <v>4.0084080366977777E-4</v>
      </c>
    </row>
    <row r="756" spans="1:8" ht="12.75">
      <c r="A756" s="24" t="s">
        <v>2668</v>
      </c>
      <c r="B756" s="14" t="s">
        <v>2698</v>
      </c>
      <c r="C756" s="792" t="s">
        <v>1666</v>
      </c>
      <c r="D756" s="18" t="s">
        <v>1666</v>
      </c>
      <c r="E756" s="454" t="s">
        <v>1666</v>
      </c>
      <c r="F756" s="454" t="s">
        <v>1666</v>
      </c>
      <c r="G756" s="454" t="s">
        <v>1666</v>
      </c>
      <c r="H756" s="454" t="s">
        <v>1666</v>
      </c>
    </row>
    <row r="757" spans="1:8" ht="12.75">
      <c r="A757" s="24" t="s">
        <v>2668</v>
      </c>
      <c r="B757" s="14" t="s">
        <v>2698</v>
      </c>
      <c r="C757" s="792" t="s">
        <v>1666</v>
      </c>
      <c r="D757" s="18" t="s">
        <v>1666</v>
      </c>
      <c r="E757" s="454" t="s">
        <v>1666</v>
      </c>
      <c r="F757" s="454" t="s">
        <v>1666</v>
      </c>
      <c r="G757" s="454" t="s">
        <v>1666</v>
      </c>
      <c r="H757" s="454" t="s">
        <v>1666</v>
      </c>
    </row>
    <row r="758" spans="1:8" ht="12.75">
      <c r="A758" s="24" t="s">
        <v>2668</v>
      </c>
      <c r="B758" s="14" t="s">
        <v>2698</v>
      </c>
      <c r="C758" s="792">
        <v>2.0549764411369753</v>
      </c>
      <c r="D758" s="18" t="s">
        <v>86</v>
      </c>
      <c r="E758" s="12">
        <v>0</v>
      </c>
      <c r="F758" s="12">
        <v>0</v>
      </c>
      <c r="G758" s="12">
        <v>0</v>
      </c>
      <c r="H758" s="12">
        <v>0</v>
      </c>
    </row>
    <row r="759" spans="1:8" ht="12.75">
      <c r="A759" s="24" t="s">
        <v>2668</v>
      </c>
      <c r="B759" s="14" t="s">
        <v>2698</v>
      </c>
      <c r="C759" s="792">
        <v>0.14803625377643517</v>
      </c>
      <c r="D759" s="18" t="s">
        <v>236</v>
      </c>
      <c r="E759" s="12">
        <v>5.0851930036188197E-3</v>
      </c>
      <c r="F759" s="12">
        <v>5.9995417730640897E-2</v>
      </c>
      <c r="G759" s="12">
        <v>3.4699999999999998E-4</v>
      </c>
      <c r="H759" s="12">
        <v>2.9762429672480995E-4</v>
      </c>
    </row>
    <row r="760" spans="1:8" ht="12.75">
      <c r="A760" s="24" t="s">
        <v>2668</v>
      </c>
      <c r="B760" s="14" t="s">
        <v>2698</v>
      </c>
      <c r="C760" s="792">
        <v>0.67566609630938868</v>
      </c>
      <c r="D760" s="18" t="s">
        <v>2701</v>
      </c>
      <c r="E760" s="12">
        <v>3.1660297063617504E-2</v>
      </c>
      <c r="F760" s="12">
        <v>0.3735301190055475</v>
      </c>
      <c r="G760" s="12">
        <v>2.1604141815772032E-3</v>
      </c>
      <c r="H760" s="12">
        <v>1.8530021654934324E-3</v>
      </c>
    </row>
    <row r="761" spans="1:8" ht="12.75">
      <c r="A761" s="24" t="s">
        <v>2668</v>
      </c>
      <c r="B761" s="14" t="s">
        <v>2698</v>
      </c>
      <c r="C761" s="792">
        <v>0.10574018126888227</v>
      </c>
      <c r="D761" s="18" t="s">
        <v>271</v>
      </c>
      <c r="E761" s="12">
        <v>8.4188576965875186E-3</v>
      </c>
      <c r="F761" s="12">
        <v>3.7019919874172996E-2</v>
      </c>
      <c r="G761" s="12">
        <v>2.5000000000000001E-5</v>
      </c>
      <c r="H761" s="12">
        <v>2.4250868622021553E-4</v>
      </c>
    </row>
    <row r="762" spans="1:8" ht="12.75">
      <c r="A762" s="24" t="s">
        <v>2668</v>
      </c>
      <c r="B762" s="14" t="s">
        <v>2698</v>
      </c>
      <c r="C762" s="792">
        <v>0.96882003492639002</v>
      </c>
      <c r="D762" s="18" t="s">
        <v>222</v>
      </c>
      <c r="E762" s="12">
        <v>3.1468479298981202E-3</v>
      </c>
      <c r="F762" s="12">
        <v>0.16906375764329037</v>
      </c>
      <c r="G762" s="12">
        <v>9.759036144578314E-5</v>
      </c>
      <c r="H762" s="12">
        <v>7.171669800597832E-4</v>
      </c>
    </row>
    <row r="763" spans="1:8" ht="12.75">
      <c r="A763" s="24" t="s">
        <v>2668</v>
      </c>
      <c r="B763" s="14" t="s">
        <v>2698</v>
      </c>
      <c r="C763" s="792" t="s">
        <v>1666</v>
      </c>
      <c r="D763" s="18" t="s">
        <v>1666</v>
      </c>
      <c r="E763" s="454" t="s">
        <v>1666</v>
      </c>
      <c r="F763" s="454" t="s">
        <v>1666</v>
      </c>
      <c r="G763" s="454" t="s">
        <v>1666</v>
      </c>
      <c r="H763" s="454" t="s">
        <v>1666</v>
      </c>
    </row>
    <row r="764" spans="1:8" ht="12.75">
      <c r="A764" s="24" t="s">
        <v>2668</v>
      </c>
      <c r="B764" s="14" t="s">
        <v>2698</v>
      </c>
      <c r="C764" s="792" t="s">
        <v>1666</v>
      </c>
      <c r="D764" s="18" t="s">
        <v>1666</v>
      </c>
      <c r="E764" s="454" t="s">
        <v>1666</v>
      </c>
      <c r="F764" s="454" t="s">
        <v>1666</v>
      </c>
      <c r="G764" s="454" t="s">
        <v>1666</v>
      </c>
      <c r="H764" s="454" t="s">
        <v>1666</v>
      </c>
    </row>
    <row r="765" spans="1:8" ht="12.75">
      <c r="A765" s="24" t="s">
        <v>2668</v>
      </c>
      <c r="B765" s="14" t="s">
        <v>2698</v>
      </c>
      <c r="C765" s="792" t="s">
        <v>1666</v>
      </c>
      <c r="D765" s="18" t="s">
        <v>1666</v>
      </c>
      <c r="E765" s="454" t="s">
        <v>1666</v>
      </c>
      <c r="F765" s="454" t="s">
        <v>1666</v>
      </c>
      <c r="G765" s="454" t="s">
        <v>1666</v>
      </c>
      <c r="H765" s="454" t="s">
        <v>1666</v>
      </c>
    </row>
    <row r="766" spans="1:8" ht="12.75">
      <c r="A766" s="24" t="s">
        <v>2668</v>
      </c>
      <c r="B766" s="14" t="s">
        <v>2698</v>
      </c>
      <c r="C766" s="792">
        <v>0.10574018126888227</v>
      </c>
      <c r="D766" s="18" t="s">
        <v>2702</v>
      </c>
      <c r="E766" s="23">
        <v>7.0063781342921748E-4</v>
      </c>
      <c r="F766" s="23">
        <v>4.7486125575394174E-2</v>
      </c>
      <c r="G766" s="12">
        <v>1.428576294277929E-4</v>
      </c>
      <c r="H766" s="23">
        <v>7.2410198258570182E-4</v>
      </c>
    </row>
    <row r="767" spans="1:8" ht="12.75">
      <c r="A767" s="24" t="s">
        <v>2668</v>
      </c>
      <c r="B767" s="14" t="s">
        <v>2698</v>
      </c>
      <c r="C767" s="792">
        <v>0.10574018126888227</v>
      </c>
      <c r="D767" s="18" t="s">
        <v>2703</v>
      </c>
      <c r="E767" s="12">
        <v>7.6594132480302998E-3</v>
      </c>
      <c r="F767" s="12">
        <v>0.25452159072024799</v>
      </c>
      <c r="G767" s="12">
        <v>2.4499999999999999E-4</v>
      </c>
      <c r="H767" s="12">
        <v>3.0864741882572887E-4</v>
      </c>
    </row>
    <row r="768" spans="1:8" ht="12.75">
      <c r="A768" s="24" t="s">
        <v>2668</v>
      </c>
      <c r="B768" s="14" t="s">
        <v>2698</v>
      </c>
      <c r="C768" s="792" t="s">
        <v>1666</v>
      </c>
      <c r="D768" s="18" t="s">
        <v>1666</v>
      </c>
      <c r="E768" s="454" t="s">
        <v>1666</v>
      </c>
      <c r="F768" s="454" t="s">
        <v>1666</v>
      </c>
      <c r="G768" s="454" t="s">
        <v>1666</v>
      </c>
      <c r="H768" s="454" t="s">
        <v>1666</v>
      </c>
    </row>
    <row r="769" spans="1:8" ht="12.75">
      <c r="A769" s="24" t="s">
        <v>2668</v>
      </c>
      <c r="B769" s="14" t="s">
        <v>2698</v>
      </c>
      <c r="C769" s="792" t="s">
        <v>1666</v>
      </c>
      <c r="D769" s="18" t="s">
        <v>1666</v>
      </c>
      <c r="E769" s="454" t="s">
        <v>1666</v>
      </c>
      <c r="F769" s="454" t="s">
        <v>1666</v>
      </c>
      <c r="G769" s="454" t="s">
        <v>1666</v>
      </c>
      <c r="H769" s="454" t="s">
        <v>1666</v>
      </c>
    </row>
    <row r="770" spans="1:8" ht="12.75">
      <c r="A770" s="24" t="s">
        <v>2668</v>
      </c>
      <c r="B770" s="14" t="s">
        <v>2698</v>
      </c>
      <c r="C770" s="792">
        <v>0.10574018126888227</v>
      </c>
      <c r="D770" s="18" t="s">
        <v>206</v>
      </c>
      <c r="E770" s="12">
        <v>5.1193538415680896E-3</v>
      </c>
      <c r="F770" s="12">
        <v>9.9290720942183497E-2</v>
      </c>
      <c r="G770" s="12">
        <v>7.8999999999999996E-5</v>
      </c>
      <c r="H770" s="12">
        <v>3.0864741882572887E-4</v>
      </c>
    </row>
    <row r="771" spans="1:8" ht="12.75">
      <c r="A771" s="24" t="s">
        <v>2668</v>
      </c>
      <c r="B771" s="14" t="s">
        <v>2698</v>
      </c>
      <c r="C771" s="792">
        <v>0.10574018126888227</v>
      </c>
      <c r="D771" s="809" t="s">
        <v>2695</v>
      </c>
      <c r="E771" s="461">
        <v>2.2073766211046637E-2</v>
      </c>
      <c r="F771" s="461">
        <v>8.7246004352723297E-2</v>
      </c>
      <c r="G771" s="461">
        <v>5.8202330775582959E-4</v>
      </c>
      <c r="H771" s="461">
        <v>2.670351142205461E-3</v>
      </c>
    </row>
    <row r="772" spans="1:8" ht="12.75">
      <c r="A772" s="24" t="s">
        <v>2668</v>
      </c>
      <c r="B772" s="14" t="s">
        <v>2698</v>
      </c>
      <c r="C772" s="792" t="s">
        <v>1666</v>
      </c>
      <c r="D772" s="18" t="s">
        <v>1666</v>
      </c>
      <c r="E772" s="454" t="s">
        <v>1666</v>
      </c>
      <c r="F772" s="454" t="s">
        <v>1666</v>
      </c>
      <c r="G772" s="454" t="s">
        <v>1666</v>
      </c>
      <c r="H772" s="454" t="s">
        <v>1666</v>
      </c>
    </row>
    <row r="773" spans="1:8" ht="12.75">
      <c r="A773" s="24" t="s">
        <v>2668</v>
      </c>
      <c r="B773" s="14" t="s">
        <v>2698</v>
      </c>
      <c r="C773" s="792" t="s">
        <v>1666</v>
      </c>
      <c r="D773" s="18" t="s">
        <v>1666</v>
      </c>
      <c r="E773" s="454" t="s">
        <v>1666</v>
      </c>
      <c r="F773" s="454" t="s">
        <v>1666</v>
      </c>
      <c r="G773" s="454" t="s">
        <v>1666</v>
      </c>
      <c r="H773" s="454" t="s">
        <v>1666</v>
      </c>
    </row>
    <row r="774" spans="1:8" ht="12.75">
      <c r="A774" s="24" t="s">
        <v>2668</v>
      </c>
      <c r="B774" s="14" t="s">
        <v>2698</v>
      </c>
      <c r="C774" s="792">
        <v>0.46466880352198359</v>
      </c>
      <c r="D774" s="18" t="s">
        <v>2533</v>
      </c>
      <c r="E774" s="12">
        <v>3.0177940758293843E-3</v>
      </c>
      <c r="F774" s="12">
        <v>8.8728561611374421E-3</v>
      </c>
      <c r="G774" s="12">
        <v>5.9155383175355464E-5</v>
      </c>
      <c r="H774" s="12">
        <v>5.56622037914692E-4</v>
      </c>
    </row>
    <row r="775" spans="1:8" ht="12.75">
      <c r="A775" s="24" t="s">
        <v>2668</v>
      </c>
      <c r="B775" s="14" t="s">
        <v>2698</v>
      </c>
      <c r="C775" s="792" t="s">
        <v>1666</v>
      </c>
      <c r="D775" s="18" t="s">
        <v>1666</v>
      </c>
      <c r="E775" s="454" t="s">
        <v>1666</v>
      </c>
      <c r="F775" s="454" t="s">
        <v>1666</v>
      </c>
      <c r="G775" s="454" t="s">
        <v>1666</v>
      </c>
      <c r="H775" s="454" t="s">
        <v>1666</v>
      </c>
    </row>
    <row r="776" spans="1:8" ht="12.75">
      <c r="A776" s="24" t="s">
        <v>2668</v>
      </c>
      <c r="B776" s="14" t="s">
        <v>2698</v>
      </c>
      <c r="C776" s="792" t="s">
        <v>1666</v>
      </c>
      <c r="D776" s="18" t="s">
        <v>1666</v>
      </c>
      <c r="E776" s="454" t="s">
        <v>1666</v>
      </c>
      <c r="F776" s="454" t="s">
        <v>1666</v>
      </c>
      <c r="G776" s="454" t="s">
        <v>1666</v>
      </c>
      <c r="H776" s="454" t="s">
        <v>1666</v>
      </c>
    </row>
    <row r="777" spans="1:8" ht="12.75">
      <c r="A777" s="24" t="s">
        <v>2668</v>
      </c>
      <c r="B777" s="14" t="s">
        <v>2698</v>
      </c>
      <c r="C777" s="792" t="s">
        <v>1666</v>
      </c>
      <c r="D777" s="18" t="s">
        <v>1666</v>
      </c>
      <c r="E777" s="454" t="s">
        <v>1666</v>
      </c>
      <c r="F777" s="454" t="s">
        <v>1666</v>
      </c>
      <c r="G777" s="454" t="s">
        <v>1666</v>
      </c>
      <c r="H777" s="454" t="s">
        <v>1666</v>
      </c>
    </row>
    <row r="778" spans="1:8" ht="12.75">
      <c r="A778" s="24" t="s">
        <v>2668</v>
      </c>
      <c r="B778" s="14" t="s">
        <v>2698</v>
      </c>
      <c r="C778" s="792" t="s">
        <v>1666</v>
      </c>
      <c r="D778" s="18" t="s">
        <v>1666</v>
      </c>
      <c r="E778" s="454" t="s">
        <v>1666</v>
      </c>
      <c r="F778" s="454" t="s">
        <v>1666</v>
      </c>
      <c r="G778" s="454" t="s">
        <v>1666</v>
      </c>
      <c r="H778" s="454" t="s">
        <v>1666</v>
      </c>
    </row>
    <row r="779" spans="1:8" ht="12.75">
      <c r="A779" s="24" t="s">
        <v>2668</v>
      </c>
      <c r="B779" s="14" t="s">
        <v>2698</v>
      </c>
      <c r="C779" s="792" t="s">
        <v>1666</v>
      </c>
      <c r="D779" s="18" t="s">
        <v>1666</v>
      </c>
      <c r="E779" s="454" t="s">
        <v>1666</v>
      </c>
      <c r="F779" s="454" t="s">
        <v>1666</v>
      </c>
      <c r="G779" s="454" t="s">
        <v>1666</v>
      </c>
      <c r="H779" s="454" t="s">
        <v>1666</v>
      </c>
    </row>
    <row r="780" spans="1:8" ht="12.75">
      <c r="A780" s="24" t="s">
        <v>2668</v>
      </c>
      <c r="B780" s="14" t="s">
        <v>2698</v>
      </c>
      <c r="C780" s="792">
        <v>1.0548087273821791</v>
      </c>
      <c r="D780" s="18" t="s">
        <v>430</v>
      </c>
      <c r="E780" s="12">
        <v>0</v>
      </c>
      <c r="F780" s="12">
        <v>0</v>
      </c>
      <c r="G780" s="12">
        <v>0</v>
      </c>
      <c r="H780" s="12">
        <v>0</v>
      </c>
    </row>
    <row r="781" spans="1:8" ht="12.75">
      <c r="A781" s="24" t="s">
        <v>2668</v>
      </c>
      <c r="B781" s="14" t="s">
        <v>2698</v>
      </c>
      <c r="C781" s="792" t="s">
        <v>1666</v>
      </c>
      <c r="D781" s="18" t="s">
        <v>1666</v>
      </c>
      <c r="E781" s="454" t="s">
        <v>1666</v>
      </c>
      <c r="F781" s="454" t="s">
        <v>1666</v>
      </c>
      <c r="G781" s="454" t="s">
        <v>1666</v>
      </c>
      <c r="H781" s="454" t="s">
        <v>1666</v>
      </c>
    </row>
    <row r="782" spans="1:8" ht="12.75">
      <c r="A782" s="24" t="s">
        <v>2668</v>
      </c>
      <c r="B782" s="14" t="s">
        <v>2698</v>
      </c>
      <c r="C782" s="792" t="s">
        <v>1666</v>
      </c>
      <c r="D782" s="18" t="s">
        <v>1666</v>
      </c>
      <c r="E782" s="454" t="s">
        <v>1666</v>
      </c>
      <c r="F782" s="454" t="s">
        <v>1666</v>
      </c>
      <c r="G782" s="454" t="s">
        <v>1666</v>
      </c>
      <c r="H782" s="454" t="s">
        <v>1666</v>
      </c>
    </row>
    <row r="783" spans="1:8" ht="12.75">
      <c r="A783" s="24" t="s">
        <v>2668</v>
      </c>
      <c r="B783" s="14" t="s">
        <v>2698</v>
      </c>
      <c r="C783" s="792" t="s">
        <v>1666</v>
      </c>
      <c r="D783" s="18" t="s">
        <v>1666</v>
      </c>
      <c r="E783" s="454" t="s">
        <v>1666</v>
      </c>
      <c r="F783" s="454" t="s">
        <v>1666</v>
      </c>
      <c r="G783" s="454" t="s">
        <v>1666</v>
      </c>
      <c r="H783" s="454" t="s">
        <v>1666</v>
      </c>
    </row>
    <row r="784" spans="1:8" ht="12.75">
      <c r="A784" s="24" t="s">
        <v>2668</v>
      </c>
      <c r="B784" s="14" t="s">
        <v>2698</v>
      </c>
      <c r="C784" s="792">
        <v>2.0098988360709242</v>
      </c>
      <c r="D784" s="18" t="s">
        <v>425</v>
      </c>
      <c r="E784" s="12">
        <v>3.8102374934982654E-3</v>
      </c>
      <c r="F784" s="12">
        <v>0.20470422547079484</v>
      </c>
      <c r="G784" s="12">
        <v>1.210810810810811E-4</v>
      </c>
      <c r="H784" s="12">
        <v>1.0002400855855065E-3</v>
      </c>
    </row>
    <row r="785" spans="1:8" ht="12.75">
      <c r="A785" s="24" t="s">
        <v>2668</v>
      </c>
      <c r="B785" s="14" t="s">
        <v>2698</v>
      </c>
      <c r="C785" s="792" t="s">
        <v>1666</v>
      </c>
      <c r="D785" s="18" t="s">
        <v>1666</v>
      </c>
      <c r="E785" s="454" t="s">
        <v>1666</v>
      </c>
      <c r="F785" s="454" t="s">
        <v>1666</v>
      </c>
      <c r="G785" s="454" t="s">
        <v>1666</v>
      </c>
      <c r="H785" s="454" t="s">
        <v>1666</v>
      </c>
    </row>
    <row r="786" spans="1:8" ht="12.75">
      <c r="A786" s="24" t="s">
        <v>2668</v>
      </c>
      <c r="B786" s="14" t="s">
        <v>2698</v>
      </c>
      <c r="C786" s="792" t="s">
        <v>1666</v>
      </c>
      <c r="D786" s="18" t="s">
        <v>1666</v>
      </c>
      <c r="E786" s="454" t="s">
        <v>1666</v>
      </c>
      <c r="F786" s="454" t="s">
        <v>1666</v>
      </c>
      <c r="G786" s="454" t="s">
        <v>1666</v>
      </c>
      <c r="H786" s="454" t="s">
        <v>1666</v>
      </c>
    </row>
    <row r="787" spans="1:8" ht="12.75">
      <c r="A787" s="24" t="s">
        <v>2668</v>
      </c>
      <c r="B787" s="14" t="s">
        <v>2698</v>
      </c>
      <c r="C787" s="792" t="s">
        <v>1666</v>
      </c>
      <c r="D787" s="18" t="s">
        <v>1666</v>
      </c>
      <c r="E787" s="454" t="s">
        <v>1666</v>
      </c>
      <c r="F787" s="454" t="s">
        <v>1666</v>
      </c>
      <c r="G787" s="454" t="s">
        <v>1666</v>
      </c>
      <c r="H787" s="454" t="s">
        <v>1666</v>
      </c>
    </row>
    <row r="788" spans="1:8" ht="12.75">
      <c r="A788" s="24" t="s">
        <v>2668</v>
      </c>
      <c r="B788" s="14" t="s">
        <v>2698</v>
      </c>
      <c r="C788" s="792">
        <v>0.20790791809413969</v>
      </c>
      <c r="D788" s="18" t="s">
        <v>81</v>
      </c>
      <c r="E788" s="12">
        <v>1.9912385503783353E-2</v>
      </c>
      <c r="F788" s="12">
        <v>5.6949422540820388E-2</v>
      </c>
      <c r="G788" s="12">
        <v>3.8829151732377542E-3</v>
      </c>
      <c r="H788" s="12">
        <v>5.6321186778176026E-3</v>
      </c>
    </row>
    <row r="789" spans="1:8" ht="12.75">
      <c r="A789" s="24" t="s">
        <v>2668</v>
      </c>
      <c r="B789" s="14" t="s">
        <v>2698</v>
      </c>
      <c r="C789" s="792">
        <v>0.12904356478183687</v>
      </c>
      <c r="D789" s="18" t="s">
        <v>438</v>
      </c>
      <c r="E789" s="12">
        <v>0</v>
      </c>
      <c r="F789" s="12">
        <v>0</v>
      </c>
      <c r="G789" s="12">
        <v>0</v>
      </c>
      <c r="H789" s="12">
        <v>0</v>
      </c>
    </row>
    <row r="790" spans="1:8" ht="12.75">
      <c r="A790" s="24" t="s">
        <v>2668</v>
      </c>
      <c r="B790" s="14" t="s">
        <v>2698</v>
      </c>
      <c r="C790" s="792" t="s">
        <v>1666</v>
      </c>
      <c r="D790" s="18" t="s">
        <v>1666</v>
      </c>
      <c r="E790" s="454" t="s">
        <v>1666</v>
      </c>
      <c r="F790" s="454" t="s">
        <v>1666</v>
      </c>
      <c r="G790" s="454" t="s">
        <v>1666</v>
      </c>
      <c r="H790" s="454" t="s">
        <v>1666</v>
      </c>
    </row>
    <row r="791" spans="1:8" ht="12.75">
      <c r="A791" s="24" t="s">
        <v>2668</v>
      </c>
      <c r="B791" s="14" t="s">
        <v>2698</v>
      </c>
      <c r="C791" s="792" t="s">
        <v>1666</v>
      </c>
      <c r="D791" s="18" t="s">
        <v>1666</v>
      </c>
      <c r="E791" s="454" t="s">
        <v>1666</v>
      </c>
      <c r="F791" s="454" t="s">
        <v>1666</v>
      </c>
      <c r="G791" s="454" t="s">
        <v>1666</v>
      </c>
      <c r="H791" s="454" t="s">
        <v>1666</v>
      </c>
    </row>
    <row r="792" spans="1:8" ht="12.75">
      <c r="A792" s="24" t="s">
        <v>2668</v>
      </c>
      <c r="B792" s="14" t="s">
        <v>2698</v>
      </c>
      <c r="C792" s="792">
        <v>0.10395395904706985</v>
      </c>
      <c r="D792" s="18" t="s">
        <v>2523</v>
      </c>
      <c r="E792" s="12">
        <v>4.1127278199052132E-2</v>
      </c>
      <c r="F792" s="12">
        <v>0.12092157867298578</v>
      </c>
      <c r="G792" s="12">
        <v>8.0618486208530824E-4</v>
      </c>
      <c r="H792" s="12">
        <v>7.5857890995260661E-3</v>
      </c>
    </row>
    <row r="793" spans="1:8" ht="12.75">
      <c r="A793" s="24" t="s">
        <v>2668</v>
      </c>
      <c r="B793" s="14" t="s">
        <v>2698</v>
      </c>
      <c r="C793" s="792" t="s">
        <v>1666</v>
      </c>
      <c r="D793" s="18" t="s">
        <v>1666</v>
      </c>
      <c r="E793" s="454" t="s">
        <v>1666</v>
      </c>
      <c r="F793" s="454" t="s">
        <v>1666</v>
      </c>
      <c r="G793" s="454" t="s">
        <v>1666</v>
      </c>
      <c r="H793" s="454" t="s">
        <v>1666</v>
      </c>
    </row>
    <row r="794" spans="1:8" ht="12.75">
      <c r="A794" s="24" t="s">
        <v>2668</v>
      </c>
      <c r="B794" s="14" t="s">
        <v>2698</v>
      </c>
      <c r="C794" s="792" t="s">
        <v>1666</v>
      </c>
      <c r="D794" s="18" t="s">
        <v>1666</v>
      </c>
      <c r="E794" s="454" t="s">
        <v>1666</v>
      </c>
      <c r="F794" s="454" t="s">
        <v>1666</v>
      </c>
      <c r="G794" s="454" t="s">
        <v>1666</v>
      </c>
      <c r="H794" s="454" t="s">
        <v>1666</v>
      </c>
    </row>
    <row r="795" spans="1:8" ht="12.75">
      <c r="A795" s="24" t="s">
        <v>2668</v>
      </c>
      <c r="B795" s="14" t="s">
        <v>2698</v>
      </c>
      <c r="C795" s="792" t="s">
        <v>1666</v>
      </c>
      <c r="D795" s="18" t="s">
        <v>1666</v>
      </c>
      <c r="E795" s="454" t="s">
        <v>1666</v>
      </c>
      <c r="F795" s="454" t="s">
        <v>1666</v>
      </c>
      <c r="G795" s="454" t="s">
        <v>1666</v>
      </c>
      <c r="H795" s="454" t="s">
        <v>1666</v>
      </c>
    </row>
    <row r="796" spans="1:8" ht="12.75">
      <c r="A796" s="24" t="s">
        <v>2668</v>
      </c>
      <c r="B796" s="14" t="s">
        <v>2698</v>
      </c>
      <c r="C796" s="792" t="s">
        <v>1666</v>
      </c>
      <c r="D796" s="18" t="s">
        <v>1666</v>
      </c>
      <c r="E796" s="454" t="s">
        <v>1666</v>
      </c>
      <c r="F796" s="454" t="s">
        <v>1666</v>
      </c>
      <c r="G796" s="454" t="s">
        <v>1666</v>
      </c>
      <c r="H796" s="454" t="s">
        <v>1666</v>
      </c>
    </row>
    <row r="797" spans="1:8" ht="12.75">
      <c r="A797" s="24" t="s">
        <v>2668</v>
      </c>
      <c r="B797" s="14" t="s">
        <v>2698</v>
      </c>
      <c r="C797" s="792" t="s">
        <v>1666</v>
      </c>
      <c r="D797" s="18" t="s">
        <v>1666</v>
      </c>
      <c r="E797" s="454" t="s">
        <v>1666</v>
      </c>
      <c r="F797" s="454" t="s">
        <v>1666</v>
      </c>
      <c r="G797" s="454" t="s">
        <v>1666</v>
      </c>
      <c r="H797" s="454" t="s">
        <v>1666</v>
      </c>
    </row>
    <row r="798" spans="1:8" ht="12.75">
      <c r="A798" s="24" t="s">
        <v>2668</v>
      </c>
      <c r="B798" s="14" t="s">
        <v>2698</v>
      </c>
      <c r="C798" s="792" t="s">
        <v>1666</v>
      </c>
      <c r="D798" s="18" t="s">
        <v>1666</v>
      </c>
      <c r="E798" s="454" t="s">
        <v>1666</v>
      </c>
      <c r="F798" s="454" t="s">
        <v>1666</v>
      </c>
      <c r="G798" s="454" t="s">
        <v>1666</v>
      </c>
      <c r="H798" s="454" t="s">
        <v>1666</v>
      </c>
    </row>
    <row r="799" spans="1:8" ht="12.75">
      <c r="A799" s="24" t="s">
        <v>2668</v>
      </c>
      <c r="B799" s="14" t="s">
        <v>2698</v>
      </c>
      <c r="C799" s="792" t="s">
        <v>1666</v>
      </c>
      <c r="D799" s="18" t="s">
        <v>1666</v>
      </c>
      <c r="E799" s="454" t="s">
        <v>1666</v>
      </c>
      <c r="F799" s="454" t="s">
        <v>1666</v>
      </c>
      <c r="G799" s="454" t="s">
        <v>1666</v>
      </c>
      <c r="H799" s="454" t="s">
        <v>1666</v>
      </c>
    </row>
    <row r="800" spans="1:8" ht="12.75">
      <c r="A800" s="24" t="s">
        <v>2668</v>
      </c>
      <c r="B800" s="14" t="s">
        <v>2698</v>
      </c>
      <c r="C800" s="792">
        <v>0.560128537881597</v>
      </c>
      <c r="D800" s="18" t="s">
        <v>83</v>
      </c>
      <c r="E800" s="12">
        <v>0</v>
      </c>
      <c r="F800" s="12">
        <v>0</v>
      </c>
      <c r="G800" s="12">
        <v>0</v>
      </c>
      <c r="H800" s="12">
        <v>0</v>
      </c>
    </row>
    <row r="801" spans="1:8" ht="12.75">
      <c r="A801" s="24" t="s">
        <v>2668</v>
      </c>
      <c r="B801" s="14" t="s">
        <v>2698</v>
      </c>
      <c r="C801" s="792" t="s">
        <v>1666</v>
      </c>
      <c r="D801" s="18" t="s">
        <v>1666</v>
      </c>
      <c r="E801" s="454" t="s">
        <v>1666</v>
      </c>
      <c r="F801" s="454" t="s">
        <v>1666</v>
      </c>
      <c r="G801" s="454" t="s">
        <v>1666</v>
      </c>
      <c r="H801" s="454" t="s">
        <v>1666</v>
      </c>
    </row>
    <row r="802" spans="1:8" ht="12.75">
      <c r="A802" s="24" t="s">
        <v>2668</v>
      </c>
      <c r="B802" s="14" t="s">
        <v>2698</v>
      </c>
      <c r="C802" s="792">
        <v>0.33024348041033258</v>
      </c>
      <c r="D802" s="18" t="s">
        <v>85</v>
      </c>
      <c r="E802" s="12">
        <v>2.0262392565709405E-4</v>
      </c>
      <c r="F802" s="12">
        <v>1.0885928720785719E-2</v>
      </c>
      <c r="G802" s="12">
        <v>6.2837933649623454E-6</v>
      </c>
      <c r="H802" s="12">
        <v>4.6142098112569087E-5</v>
      </c>
    </row>
    <row r="803" spans="1:8" ht="12.75">
      <c r="A803" s="24" t="s">
        <v>2668</v>
      </c>
      <c r="B803" s="14" t="s">
        <v>2698</v>
      </c>
      <c r="C803" s="792" t="s">
        <v>1666</v>
      </c>
      <c r="D803" s="18" t="s">
        <v>1666</v>
      </c>
      <c r="E803" s="454" t="s">
        <v>1666</v>
      </c>
      <c r="F803" s="454" t="s">
        <v>1666</v>
      </c>
      <c r="G803" s="454" t="s">
        <v>1666</v>
      </c>
      <c r="H803" s="454" t="s">
        <v>1666</v>
      </c>
    </row>
    <row r="804" spans="1:8" ht="12.75">
      <c r="A804" s="24" t="s">
        <v>2668</v>
      </c>
      <c r="B804" s="14" t="s">
        <v>2698</v>
      </c>
      <c r="C804" s="792" t="s">
        <v>1666</v>
      </c>
      <c r="D804" s="18" t="s">
        <v>1666</v>
      </c>
      <c r="E804" s="454" t="s">
        <v>1666</v>
      </c>
      <c r="F804" s="454" t="s">
        <v>1666</v>
      </c>
      <c r="G804" s="454" t="s">
        <v>1666</v>
      </c>
      <c r="H804" s="454" t="s">
        <v>1666</v>
      </c>
    </row>
    <row r="805" spans="1:8" ht="12.75">
      <c r="A805" s="24" t="s">
        <v>2668</v>
      </c>
      <c r="B805" s="14" t="s">
        <v>2698</v>
      </c>
      <c r="C805" s="792" t="s">
        <v>1666</v>
      </c>
      <c r="D805" s="18" t="s">
        <v>1666</v>
      </c>
      <c r="E805" s="454" t="s">
        <v>1666</v>
      </c>
      <c r="F805" s="454" t="s">
        <v>1666</v>
      </c>
      <c r="G805" s="454" t="s">
        <v>1666</v>
      </c>
      <c r="H805" s="454" t="s">
        <v>1666</v>
      </c>
    </row>
    <row r="806" spans="1:8" ht="12.75">
      <c r="A806" s="24" t="s">
        <v>2668</v>
      </c>
      <c r="B806" s="14" t="s">
        <v>2698</v>
      </c>
      <c r="C806" s="792" t="s">
        <v>1666</v>
      </c>
      <c r="D806" s="18" t="s">
        <v>1666</v>
      </c>
      <c r="E806" s="454" t="s">
        <v>1666</v>
      </c>
      <c r="F806" s="454" t="s">
        <v>1666</v>
      </c>
      <c r="G806" s="454" t="s">
        <v>1666</v>
      </c>
      <c r="H806" s="454" t="s">
        <v>1666</v>
      </c>
    </row>
    <row r="807" spans="1:8" ht="12.75">
      <c r="A807" s="24" t="s">
        <v>2668</v>
      </c>
      <c r="B807" s="14" t="s">
        <v>2698</v>
      </c>
      <c r="C807" s="792">
        <v>7.5268817204301092E-2</v>
      </c>
      <c r="D807" s="18" t="s">
        <v>432</v>
      </c>
      <c r="E807" s="12">
        <v>2.2558902713754649E-4</v>
      </c>
      <c r="F807" s="12">
        <v>9.3669250645994837E-3</v>
      </c>
      <c r="G807" s="12">
        <v>3.8830162085976054E-4</v>
      </c>
      <c r="H807" s="12">
        <v>3.0037166166469137E-4</v>
      </c>
    </row>
    <row r="808" spans="1:8" ht="12.75">
      <c r="A808" s="24" t="s">
        <v>2668</v>
      </c>
      <c r="B808" s="14" t="s">
        <v>2698</v>
      </c>
      <c r="C808" s="792" t="s">
        <v>1666</v>
      </c>
      <c r="D808" s="18" t="s">
        <v>1666</v>
      </c>
      <c r="E808" s="454" t="s">
        <v>1666</v>
      </c>
      <c r="F808" s="454" t="s">
        <v>1666</v>
      </c>
      <c r="G808" s="454" t="s">
        <v>1666</v>
      </c>
      <c r="H808" s="454" t="s">
        <v>1666</v>
      </c>
    </row>
    <row r="809" spans="1:8" ht="12.75">
      <c r="A809" s="24" t="s">
        <v>2668</v>
      </c>
      <c r="B809" s="14" t="s">
        <v>2698</v>
      </c>
      <c r="C809" s="792" t="s">
        <v>1666</v>
      </c>
      <c r="D809" s="18" t="s">
        <v>1666</v>
      </c>
      <c r="E809" s="454" t="s">
        <v>1666</v>
      </c>
      <c r="F809" s="454" t="s">
        <v>1666</v>
      </c>
      <c r="G809" s="454" t="s">
        <v>1666</v>
      </c>
      <c r="H809" s="454" t="s">
        <v>1666</v>
      </c>
    </row>
    <row r="810" spans="1:8" ht="12.75">
      <c r="A810" s="24" t="s">
        <v>2668</v>
      </c>
      <c r="B810" s="14" t="s">
        <v>2698</v>
      </c>
      <c r="C810" s="792" t="s">
        <v>1666</v>
      </c>
      <c r="D810" s="18" t="s">
        <v>1666</v>
      </c>
      <c r="E810" s="454" t="s">
        <v>1666</v>
      </c>
      <c r="F810" s="454" t="s">
        <v>1666</v>
      </c>
      <c r="G810" s="454" t="s">
        <v>1666</v>
      </c>
      <c r="H810" s="454" t="s">
        <v>1666</v>
      </c>
    </row>
    <row r="811" spans="1:8" ht="12.75">
      <c r="A811" s="24" t="s">
        <v>2668</v>
      </c>
      <c r="B811" s="14" t="s">
        <v>2698</v>
      </c>
      <c r="C811" s="792" t="s">
        <v>1666</v>
      </c>
      <c r="D811" s="18" t="s">
        <v>1666</v>
      </c>
      <c r="E811" s="454" t="s">
        <v>1666</v>
      </c>
      <c r="F811" s="454" t="s">
        <v>1666</v>
      </c>
      <c r="G811" s="454" t="s">
        <v>1666</v>
      </c>
      <c r="H811" s="454" t="s">
        <v>1666</v>
      </c>
    </row>
    <row r="812" spans="1:8" ht="12.75">
      <c r="A812" s="24" t="s">
        <v>2668</v>
      </c>
      <c r="B812" s="14" t="s">
        <v>2698</v>
      </c>
      <c r="C812" s="792" t="s">
        <v>1666</v>
      </c>
      <c r="D812" s="18" t="s">
        <v>1666</v>
      </c>
      <c r="E812" s="454" t="s">
        <v>1666</v>
      </c>
      <c r="F812" s="454" t="s">
        <v>1666</v>
      </c>
      <c r="G812" s="454" t="s">
        <v>1666</v>
      </c>
      <c r="H812" s="454" t="s">
        <v>1666</v>
      </c>
    </row>
    <row r="813" spans="1:8" ht="12.75">
      <c r="A813" s="24" t="s">
        <v>2668</v>
      </c>
      <c r="B813" s="14" t="s">
        <v>2698</v>
      </c>
      <c r="C813" s="792" t="s">
        <v>1666</v>
      </c>
      <c r="D813" s="18" t="s">
        <v>1666</v>
      </c>
      <c r="E813" s="454" t="s">
        <v>1666</v>
      </c>
      <c r="F813" s="454" t="s">
        <v>1666</v>
      </c>
      <c r="G813" s="454" t="s">
        <v>1666</v>
      </c>
      <c r="H813" s="454" t="s">
        <v>1666</v>
      </c>
    </row>
    <row r="814" spans="1:8" ht="12.75">
      <c r="A814" s="24" t="s">
        <v>2668</v>
      </c>
      <c r="B814" s="14" t="s">
        <v>2698</v>
      </c>
      <c r="C814" s="792" t="s">
        <v>1666</v>
      </c>
      <c r="D814" s="18" t="s">
        <v>1666</v>
      </c>
      <c r="E814" s="454" t="s">
        <v>1666</v>
      </c>
      <c r="F814" s="454" t="s">
        <v>1666</v>
      </c>
      <c r="G814" s="454" t="s">
        <v>1666</v>
      </c>
      <c r="H814" s="454" t="s">
        <v>1666</v>
      </c>
    </row>
    <row r="815" spans="1:8" ht="12.75">
      <c r="A815" s="24" t="s">
        <v>2668</v>
      </c>
      <c r="B815" s="14" t="s">
        <v>2698</v>
      </c>
      <c r="C815" s="792" t="s">
        <v>1666</v>
      </c>
      <c r="D815" s="18" t="s">
        <v>1666</v>
      </c>
      <c r="E815" s="454" t="s">
        <v>1666</v>
      </c>
      <c r="F815" s="454" t="s">
        <v>1666</v>
      </c>
      <c r="G815" s="454" t="s">
        <v>1666</v>
      </c>
      <c r="H815" s="454" t="s">
        <v>1666</v>
      </c>
    </row>
    <row r="816" spans="1:8" ht="12.75">
      <c r="A816" s="24" t="s">
        <v>2668</v>
      </c>
      <c r="B816" s="14" t="s">
        <v>2698</v>
      </c>
      <c r="C816" s="792" t="s">
        <v>1666</v>
      </c>
      <c r="D816" s="18" t="s">
        <v>1666</v>
      </c>
      <c r="E816" s="454" t="s">
        <v>1666</v>
      </c>
      <c r="F816" s="454" t="s">
        <v>1666</v>
      </c>
      <c r="G816" s="454" t="s">
        <v>1666</v>
      </c>
      <c r="H816" s="454" t="s">
        <v>1666</v>
      </c>
    </row>
    <row r="817" spans="1:8" ht="12.75">
      <c r="A817" s="24" t="s">
        <v>2668</v>
      </c>
      <c r="B817" s="14" t="s">
        <v>2698</v>
      </c>
      <c r="C817" s="792" t="s">
        <v>1666</v>
      </c>
      <c r="D817" s="18" t="s">
        <v>1666</v>
      </c>
      <c r="E817" s="454" t="s">
        <v>1666</v>
      </c>
      <c r="F817" s="454" t="s">
        <v>1666</v>
      </c>
      <c r="G817" s="454" t="s">
        <v>1666</v>
      </c>
      <c r="H817" s="454" t="s">
        <v>1666</v>
      </c>
    </row>
    <row r="818" spans="1:8" ht="12.75">
      <c r="A818" s="24" t="s">
        <v>2668</v>
      </c>
      <c r="B818" s="14" t="s">
        <v>2698</v>
      </c>
      <c r="C818" s="792" t="s">
        <v>1666</v>
      </c>
      <c r="D818" s="18" t="s">
        <v>1666</v>
      </c>
      <c r="E818" s="454" t="s">
        <v>1666</v>
      </c>
      <c r="F818" s="454" t="s">
        <v>1666</v>
      </c>
      <c r="G818" s="454" t="s">
        <v>1666</v>
      </c>
      <c r="H818" s="454" t="s">
        <v>1666</v>
      </c>
    </row>
    <row r="819" spans="1:8" ht="12.75">
      <c r="A819" s="24" t="s">
        <v>2668</v>
      </c>
      <c r="B819" s="14" t="s">
        <v>2698</v>
      </c>
      <c r="C819" s="792">
        <v>0.13793103448275865</v>
      </c>
      <c r="D819" s="18" t="s">
        <v>340</v>
      </c>
      <c r="E819" s="12">
        <v>2.1708241661196198E-2</v>
      </c>
      <c r="F819" s="12">
        <v>0.36572952458380198</v>
      </c>
      <c r="G819" s="12">
        <v>4.6350652173913045E-4</v>
      </c>
      <c r="H819" s="12">
        <v>1.6975608035415088E-3</v>
      </c>
    </row>
    <row r="820" spans="1:8" ht="12.75">
      <c r="A820" s="24" t="s">
        <v>2668</v>
      </c>
      <c r="B820" s="14" t="s">
        <v>2698</v>
      </c>
      <c r="C820" s="792" t="s">
        <v>1666</v>
      </c>
      <c r="D820" s="18" t="s">
        <v>1666</v>
      </c>
      <c r="E820" s="454" t="s">
        <v>1666</v>
      </c>
      <c r="F820" s="454" t="s">
        <v>1666</v>
      </c>
      <c r="G820" s="454" t="s">
        <v>1666</v>
      </c>
      <c r="H820" s="454" t="s">
        <v>1666</v>
      </c>
    </row>
    <row r="821" spans="1:8" ht="12.75">
      <c r="A821" s="24" t="s">
        <v>2668</v>
      </c>
      <c r="B821" s="14" t="s">
        <v>2698</v>
      </c>
      <c r="C821" s="792">
        <v>0.4597701149425289</v>
      </c>
      <c r="D821" s="18" t="s">
        <v>2528</v>
      </c>
      <c r="E821" s="12">
        <v>5.5280749052132698E-2</v>
      </c>
      <c r="F821" s="12">
        <v>0.16253532298578199</v>
      </c>
      <c r="G821" s="12">
        <v>1.0836239353080568E-3</v>
      </c>
      <c r="H821" s="12">
        <v>1.0196349526066351E-2</v>
      </c>
    </row>
    <row r="822" spans="1:8" ht="12.75">
      <c r="A822" s="24" t="s">
        <v>2668</v>
      </c>
      <c r="B822" s="14" t="s">
        <v>2698</v>
      </c>
      <c r="C822" s="792" t="s">
        <v>1666</v>
      </c>
      <c r="D822" s="18" t="s">
        <v>1666</v>
      </c>
      <c r="E822" s="454" t="s">
        <v>1666</v>
      </c>
      <c r="F822" s="454" t="s">
        <v>1666</v>
      </c>
      <c r="G822" s="454" t="s">
        <v>1666</v>
      </c>
      <c r="H822" s="454" t="s">
        <v>1666</v>
      </c>
    </row>
    <row r="823" spans="1:8" ht="12.75">
      <c r="A823" s="24" t="s">
        <v>2668</v>
      </c>
      <c r="B823" s="14" t="s">
        <v>2698</v>
      </c>
      <c r="C823" s="792" t="s">
        <v>1666</v>
      </c>
      <c r="D823" s="18" t="s">
        <v>1666</v>
      </c>
      <c r="E823" s="454" t="s">
        <v>1666</v>
      </c>
      <c r="F823" s="454" t="s">
        <v>1666</v>
      </c>
      <c r="G823" s="454" t="s">
        <v>1666</v>
      </c>
      <c r="H823" s="454" t="s">
        <v>1666</v>
      </c>
    </row>
    <row r="824" spans="1:8" ht="12.75">
      <c r="A824" s="24" t="s">
        <v>2668</v>
      </c>
      <c r="B824" s="14" t="s">
        <v>2698</v>
      </c>
      <c r="C824" s="792" t="s">
        <v>1666</v>
      </c>
      <c r="D824" s="18" t="s">
        <v>1666</v>
      </c>
      <c r="E824" s="454" t="s">
        <v>1666</v>
      </c>
      <c r="F824" s="454" t="s">
        <v>1666</v>
      </c>
      <c r="G824" s="454" t="s">
        <v>1666</v>
      </c>
      <c r="H824" s="454" t="s">
        <v>1666</v>
      </c>
    </row>
    <row r="825" spans="1:8" ht="12.75">
      <c r="A825" s="24" t="s">
        <v>2668</v>
      </c>
      <c r="B825" s="14" t="s">
        <v>2698</v>
      </c>
      <c r="C825" s="792" t="s">
        <v>1666</v>
      </c>
      <c r="D825" s="18" t="s">
        <v>1666</v>
      </c>
      <c r="E825" s="454" t="s">
        <v>1666</v>
      </c>
      <c r="F825" s="454" t="s">
        <v>1666</v>
      </c>
      <c r="G825" s="454" t="s">
        <v>1666</v>
      </c>
      <c r="H825" s="454" t="s">
        <v>1666</v>
      </c>
    </row>
    <row r="826" spans="1:8" ht="12.75">
      <c r="A826" s="24" t="s">
        <v>2668</v>
      </c>
      <c r="B826" s="14" t="s">
        <v>2698</v>
      </c>
      <c r="C826" s="792" t="s">
        <v>1666</v>
      </c>
      <c r="D826" s="18" t="s">
        <v>1666</v>
      </c>
      <c r="E826" s="454" t="s">
        <v>1666</v>
      </c>
      <c r="F826" s="454" t="s">
        <v>1666</v>
      </c>
      <c r="G826" s="454" t="s">
        <v>1666</v>
      </c>
      <c r="H826" s="454" t="s">
        <v>1666</v>
      </c>
    </row>
    <row r="827" spans="1:8" ht="12.75">
      <c r="A827" s="24" t="s">
        <v>2668</v>
      </c>
      <c r="B827" s="14" t="s">
        <v>2698</v>
      </c>
      <c r="C827" s="792" t="s">
        <v>1666</v>
      </c>
      <c r="D827" s="18" t="s">
        <v>1666</v>
      </c>
      <c r="E827" s="454" t="s">
        <v>1666</v>
      </c>
      <c r="F827" s="454" t="s">
        <v>1666</v>
      </c>
      <c r="G827" s="454" t="s">
        <v>1666</v>
      </c>
      <c r="H827" s="454" t="s">
        <v>1666</v>
      </c>
    </row>
    <row r="828" spans="1:8" ht="12.75">
      <c r="A828" s="24" t="s">
        <v>2668</v>
      </c>
      <c r="B828" s="14" t="s">
        <v>2698</v>
      </c>
      <c r="C828" s="792" t="s">
        <v>1666</v>
      </c>
      <c r="D828" s="18" t="s">
        <v>1666</v>
      </c>
      <c r="E828" s="454" t="s">
        <v>1666</v>
      </c>
      <c r="F828" s="454" t="s">
        <v>1666</v>
      </c>
      <c r="G828" s="454" t="s">
        <v>1666</v>
      </c>
      <c r="H828" s="454" t="s">
        <v>1666</v>
      </c>
    </row>
    <row r="829" spans="1:8" ht="12.75">
      <c r="A829" s="24" t="s">
        <v>2668</v>
      </c>
      <c r="B829" s="14" t="s">
        <v>2698</v>
      </c>
      <c r="C829" s="792" t="s">
        <v>1666</v>
      </c>
      <c r="D829" s="18" t="s">
        <v>1666</v>
      </c>
      <c r="E829" s="454" t="s">
        <v>1666</v>
      </c>
      <c r="F829" s="454" t="s">
        <v>1666</v>
      </c>
      <c r="G829" s="454" t="s">
        <v>1666</v>
      </c>
      <c r="H829" s="454" t="s">
        <v>1666</v>
      </c>
    </row>
    <row r="830" spans="1:8" ht="12.75">
      <c r="A830" s="24" t="s">
        <v>2668</v>
      </c>
      <c r="B830" s="14" t="s">
        <v>2698</v>
      </c>
      <c r="C830" s="792" t="s">
        <v>1666</v>
      </c>
      <c r="D830" s="18" t="s">
        <v>1666</v>
      </c>
      <c r="E830" s="454" t="s">
        <v>1666</v>
      </c>
      <c r="F830" s="454" t="s">
        <v>1666</v>
      </c>
      <c r="G830" s="454" t="s">
        <v>1666</v>
      </c>
      <c r="H830" s="454" t="s">
        <v>1666</v>
      </c>
    </row>
    <row r="831" spans="1:8" ht="12.75">
      <c r="A831" s="794" t="s">
        <v>2668</v>
      </c>
      <c r="B831" s="617" t="s">
        <v>2698</v>
      </c>
      <c r="C831" s="455" t="s">
        <v>1666</v>
      </c>
      <c r="D831" s="793" t="s">
        <v>1666</v>
      </c>
      <c r="E831" s="725" t="s">
        <v>1666</v>
      </c>
      <c r="F831" s="725" t="s">
        <v>1666</v>
      </c>
      <c r="G831" s="725" t="s">
        <v>1666</v>
      </c>
      <c r="H831" s="725" t="s">
        <v>1666</v>
      </c>
    </row>
    <row r="832" spans="1:8" ht="12.75">
      <c r="A832" s="24" t="s">
        <v>2668</v>
      </c>
      <c r="B832" s="14" t="s">
        <v>2704</v>
      </c>
      <c r="C832" s="792">
        <v>34.509064744333337</v>
      </c>
      <c r="D832" s="18" t="s">
        <v>2705</v>
      </c>
      <c r="E832" s="12">
        <v>5.0851930036188197E-3</v>
      </c>
      <c r="F832" s="12">
        <v>5.9995417730640897E-2</v>
      </c>
      <c r="G832" s="12">
        <v>3.4699999999999998E-4</v>
      </c>
      <c r="H832" s="12">
        <v>2.9762429672480995E-4</v>
      </c>
    </row>
    <row r="833" spans="1:8" ht="12.75">
      <c r="A833" s="24" t="s">
        <v>2668</v>
      </c>
      <c r="B833" s="14" t="s">
        <v>2704</v>
      </c>
      <c r="C833" s="792">
        <v>8.3695652173913018E-2</v>
      </c>
      <c r="D833" s="18" t="s">
        <v>2662</v>
      </c>
      <c r="E833" s="12">
        <v>6.399192301960112E-3</v>
      </c>
      <c r="F833" s="12">
        <v>0.12411340117772937</v>
      </c>
      <c r="G833" s="12">
        <v>9.8749999999999988E-5</v>
      </c>
      <c r="H833" s="12">
        <v>3.8580927353216109E-4</v>
      </c>
    </row>
    <row r="834" spans="1:8" ht="12.75">
      <c r="A834" s="24" t="s">
        <v>2668</v>
      </c>
      <c r="B834" s="14" t="s">
        <v>2704</v>
      </c>
      <c r="C834" s="792">
        <v>25.766436105237148</v>
      </c>
      <c r="D834" s="18" t="s">
        <v>433</v>
      </c>
      <c r="E834" s="12">
        <v>3.0104466724907065E-4</v>
      </c>
      <c r="F834" s="12">
        <v>1.2500000000000001E-2</v>
      </c>
      <c r="G834" s="12">
        <v>5.1818181818181835E-4</v>
      </c>
      <c r="H834" s="12">
        <v>4.0084080366977777E-4</v>
      </c>
    </row>
    <row r="835" spans="1:8" ht="12.75">
      <c r="A835" s="24" t="s">
        <v>2668</v>
      </c>
      <c r="B835" s="14" t="s">
        <v>2704</v>
      </c>
      <c r="C835" s="796">
        <v>10.825929693681475</v>
      </c>
      <c r="D835" s="456" t="s">
        <v>72</v>
      </c>
      <c r="E835" s="457">
        <v>0</v>
      </c>
      <c r="F835" s="457">
        <v>0</v>
      </c>
      <c r="G835" s="457">
        <v>0</v>
      </c>
      <c r="H835" s="457">
        <v>0</v>
      </c>
    </row>
    <row r="836" spans="1:8" ht="12.75">
      <c r="A836" s="24" t="s">
        <v>2668</v>
      </c>
      <c r="B836" s="14" t="s">
        <v>2704</v>
      </c>
      <c r="C836" s="792">
        <v>3.3478260869565211</v>
      </c>
      <c r="D836" s="18" t="s">
        <v>2577</v>
      </c>
      <c r="E836" s="12">
        <v>2.0907198096371199E-3</v>
      </c>
      <c r="F836" s="12">
        <v>1.7024640721375099E-2</v>
      </c>
      <c r="G836" s="12">
        <v>3.6304347826086956E-4</v>
      </c>
      <c r="H836" s="12">
        <v>9.106057387715603E-4</v>
      </c>
    </row>
    <row r="837" spans="1:8" ht="12.75">
      <c r="A837" s="24" t="s">
        <v>2668</v>
      </c>
      <c r="B837" s="14" t="s">
        <v>2704</v>
      </c>
      <c r="C837" s="792">
        <v>11.717391304347823</v>
      </c>
      <c r="D837" s="18" t="s">
        <v>2706</v>
      </c>
      <c r="E837" s="12">
        <v>4.0165275294130297E-3</v>
      </c>
      <c r="F837" s="12">
        <v>3.2725331200335404E-2</v>
      </c>
      <c r="G837" s="12">
        <v>2.4399999999999999E-4</v>
      </c>
      <c r="H837" s="12">
        <v>2.0392735E-3</v>
      </c>
    </row>
    <row r="838" spans="1:8" ht="12.75">
      <c r="A838" s="24" t="s">
        <v>2668</v>
      </c>
      <c r="B838" s="14" t="s">
        <v>2704</v>
      </c>
      <c r="C838" s="792">
        <v>10.694925526700009</v>
      </c>
      <c r="D838" s="18" t="s">
        <v>2707</v>
      </c>
      <c r="E838" s="12">
        <v>2.9691872042618299E-2</v>
      </c>
      <c r="F838" s="12">
        <v>7.5368545517799299E-2</v>
      </c>
      <c r="G838" s="12">
        <v>2.9014018691588786E-4</v>
      </c>
      <c r="H838" s="12">
        <v>1.4770983615231311E-3</v>
      </c>
    </row>
    <row r="839" spans="1:8" ht="12.75">
      <c r="A839" s="24" t="s">
        <v>2668</v>
      </c>
      <c r="B839" s="14" t="s">
        <v>2704</v>
      </c>
      <c r="C839" s="792">
        <v>0.5858695652173912</v>
      </c>
      <c r="D839" s="18" t="s">
        <v>340</v>
      </c>
      <c r="E839" s="12">
        <v>2.1708241661196198E-2</v>
      </c>
      <c r="F839" s="12">
        <v>0.36572952458380198</v>
      </c>
      <c r="G839" s="12">
        <v>4.6350652173913045E-4</v>
      </c>
      <c r="H839" s="12">
        <v>1.6975608035415088E-3</v>
      </c>
    </row>
    <row r="840" spans="1:8" ht="12.75">
      <c r="A840" s="24" t="s">
        <v>2668</v>
      </c>
      <c r="B840" s="14" t="s">
        <v>2704</v>
      </c>
      <c r="C840" s="792" t="s">
        <v>1666</v>
      </c>
      <c r="D840" s="18" t="s">
        <v>1666</v>
      </c>
      <c r="E840" s="454" t="s">
        <v>1666</v>
      </c>
      <c r="F840" s="454" t="s">
        <v>1666</v>
      </c>
      <c r="G840" s="454" t="s">
        <v>1666</v>
      </c>
      <c r="H840" s="454" t="s">
        <v>1666</v>
      </c>
    </row>
    <row r="841" spans="1:8" ht="12.75">
      <c r="A841" s="24" t="s">
        <v>2668</v>
      </c>
      <c r="B841" s="14" t="s">
        <v>2704</v>
      </c>
      <c r="C841" s="792">
        <v>3.0130434782608688</v>
      </c>
      <c r="D841" s="18" t="s">
        <v>2708</v>
      </c>
      <c r="E841" s="12">
        <v>3.372204299368619E-2</v>
      </c>
      <c r="F841" s="12">
        <v>6.4584205812988751E-2</v>
      </c>
      <c r="G841" s="12">
        <v>3.9999999999999998E-6</v>
      </c>
      <c r="H841" s="12">
        <v>1.477309663377164E-3</v>
      </c>
    </row>
    <row r="842" spans="1:8" ht="12.75">
      <c r="A842" s="24" t="s">
        <v>2668</v>
      </c>
      <c r="B842" s="14" t="s">
        <v>2704</v>
      </c>
      <c r="C842" s="792" t="s">
        <v>1666</v>
      </c>
      <c r="D842" s="18" t="s">
        <v>1666</v>
      </c>
      <c r="E842" s="454" t="s">
        <v>1666</v>
      </c>
      <c r="F842" s="454" t="s">
        <v>1666</v>
      </c>
      <c r="G842" s="454" t="s">
        <v>1666</v>
      </c>
      <c r="H842" s="454" t="s">
        <v>1666</v>
      </c>
    </row>
    <row r="843" spans="1:8" ht="12.75">
      <c r="A843" s="24" t="s">
        <v>2668</v>
      </c>
      <c r="B843" s="14" t="s">
        <v>2704</v>
      </c>
      <c r="C843" s="792" t="s">
        <v>1666</v>
      </c>
      <c r="D843" s="18" t="s">
        <v>1666</v>
      </c>
      <c r="E843" s="454" t="s">
        <v>1666</v>
      </c>
      <c r="F843" s="454" t="s">
        <v>1666</v>
      </c>
      <c r="G843" s="454" t="s">
        <v>1666</v>
      </c>
      <c r="H843" s="454" t="s">
        <v>1666</v>
      </c>
    </row>
    <row r="844" spans="1:8" ht="12.75">
      <c r="A844" s="24" t="s">
        <v>2668</v>
      </c>
      <c r="B844" s="14" t="s">
        <v>2704</v>
      </c>
      <c r="C844" s="792" t="s">
        <v>1666</v>
      </c>
      <c r="D844" s="18" t="s">
        <v>1666</v>
      </c>
      <c r="E844" s="454" t="s">
        <v>1666</v>
      </c>
      <c r="F844" s="454" t="s">
        <v>1666</v>
      </c>
      <c r="G844" s="454" t="s">
        <v>1666</v>
      </c>
      <c r="H844" s="454" t="s">
        <v>1666</v>
      </c>
    </row>
    <row r="845" spans="1:8" ht="12.75">
      <c r="A845" s="24" t="s">
        <v>2668</v>
      </c>
      <c r="B845" s="14" t="s">
        <v>2704</v>
      </c>
      <c r="C845" s="792">
        <v>0.41847826086956497</v>
      </c>
      <c r="D845" s="18" t="s">
        <v>876</v>
      </c>
      <c r="E845" s="12">
        <v>6.0179999999999999E-3</v>
      </c>
      <c r="F845" s="23">
        <v>1.7694000000000001E-2</v>
      </c>
      <c r="G845" s="12">
        <v>1.17966E-4</v>
      </c>
      <c r="H845" s="12">
        <v>1.1100000000000001E-3</v>
      </c>
    </row>
    <row r="846" spans="1:8" ht="12.75">
      <c r="A846" s="24" t="s">
        <v>2668</v>
      </c>
      <c r="B846" s="14" t="s">
        <v>2704</v>
      </c>
      <c r="C846" s="792">
        <v>1.6739130434782594</v>
      </c>
      <c r="D846" s="18" t="s">
        <v>227</v>
      </c>
      <c r="E846" s="12">
        <v>2.5055367220000002E-3</v>
      </c>
      <c r="F846" s="12">
        <v>3.8459841414181101E-2</v>
      </c>
      <c r="G846" s="12">
        <v>1.1035422343324251E-4</v>
      </c>
      <c r="H846" s="12">
        <v>8.109653861711444E-4</v>
      </c>
    </row>
    <row r="847" spans="1:8" ht="12.75">
      <c r="A847" s="24" t="s">
        <v>2668</v>
      </c>
      <c r="B847" s="14" t="s">
        <v>2704</v>
      </c>
      <c r="C847" s="792">
        <v>1.4228260869565206</v>
      </c>
      <c r="D847" s="18" t="s">
        <v>2709</v>
      </c>
      <c r="E847" s="12">
        <v>3.8102374934982654E-3</v>
      </c>
      <c r="F847" s="12">
        <v>0.20470422547079484</v>
      </c>
      <c r="G847" s="12">
        <v>1.210810810810811E-4</v>
      </c>
      <c r="H847" s="12">
        <v>1.0002400855855065E-3</v>
      </c>
    </row>
    <row r="848" spans="1:8" ht="12.75">
      <c r="A848" s="24" t="s">
        <v>2668</v>
      </c>
      <c r="B848" s="14" t="s">
        <v>2704</v>
      </c>
      <c r="C848" s="792" t="s">
        <v>1666</v>
      </c>
      <c r="D848" s="18" t="s">
        <v>1666</v>
      </c>
      <c r="E848" s="454" t="s">
        <v>1666</v>
      </c>
      <c r="F848" s="454" t="s">
        <v>1666</v>
      </c>
      <c r="G848" s="454" t="s">
        <v>1666</v>
      </c>
      <c r="H848" s="454" t="s">
        <v>1666</v>
      </c>
    </row>
    <row r="849" spans="1:8" ht="12.75">
      <c r="A849" s="24" t="s">
        <v>2668</v>
      </c>
      <c r="B849" s="14" t="s">
        <v>2704</v>
      </c>
      <c r="C849" s="792" t="s">
        <v>1666</v>
      </c>
      <c r="D849" s="18" t="s">
        <v>1666</v>
      </c>
      <c r="E849" s="454" t="s">
        <v>1666</v>
      </c>
      <c r="F849" s="454" t="s">
        <v>1666</v>
      </c>
      <c r="G849" s="454" t="s">
        <v>1666</v>
      </c>
      <c r="H849" s="454" t="s">
        <v>1666</v>
      </c>
    </row>
    <row r="850" spans="1:8" ht="12.75">
      <c r="A850" s="24" t="s">
        <v>2668</v>
      </c>
      <c r="B850" s="14" t="s">
        <v>2704</v>
      </c>
      <c r="C850" s="792" t="s">
        <v>1666</v>
      </c>
      <c r="D850" s="18" t="s">
        <v>1666</v>
      </c>
      <c r="E850" s="454" t="s">
        <v>1666</v>
      </c>
      <c r="F850" s="454" t="s">
        <v>1666</v>
      </c>
      <c r="G850" s="454" t="s">
        <v>1666</v>
      </c>
      <c r="H850" s="454" t="s">
        <v>1666</v>
      </c>
    </row>
    <row r="851" spans="1:8" ht="12.75">
      <c r="A851" s="24" t="s">
        <v>2668</v>
      </c>
      <c r="B851" s="14" t="s">
        <v>2704</v>
      </c>
      <c r="C851" s="792">
        <v>1.730151116308384</v>
      </c>
      <c r="D851" s="18" t="s">
        <v>324</v>
      </c>
      <c r="E851" s="12">
        <v>1.0652903141570055E-3</v>
      </c>
      <c r="F851" s="12">
        <v>1.7273631840796021E-2</v>
      </c>
      <c r="G851" s="12">
        <v>1.3582399999999999E-4</v>
      </c>
      <c r="H851" s="12">
        <v>2.14E-3</v>
      </c>
    </row>
    <row r="852" spans="1:8" ht="12.75">
      <c r="A852" s="24" t="s">
        <v>2668</v>
      </c>
      <c r="B852" s="14" t="s">
        <v>2704</v>
      </c>
      <c r="C852" s="792">
        <v>0.75326086956521687</v>
      </c>
      <c r="D852" s="809" t="s">
        <v>2710</v>
      </c>
      <c r="E852" s="461">
        <v>2.2073766211046637E-2</v>
      </c>
      <c r="F852" s="461">
        <v>8.7246004352723297E-2</v>
      </c>
      <c r="G852" s="461">
        <v>5.8202330775582959E-4</v>
      </c>
      <c r="H852" s="461">
        <v>2.670351142205461E-3</v>
      </c>
    </row>
    <row r="853" spans="1:8" ht="12.75">
      <c r="A853" s="24" t="s">
        <v>2668</v>
      </c>
      <c r="B853" s="14" t="s">
        <v>2704</v>
      </c>
      <c r="C853" s="792" t="s">
        <v>1624</v>
      </c>
      <c r="D853" s="18" t="s">
        <v>1624</v>
      </c>
      <c r="E853" s="454" t="s">
        <v>1624</v>
      </c>
      <c r="F853" s="454" t="s">
        <v>1624</v>
      </c>
      <c r="G853" s="454" t="s">
        <v>1624</v>
      </c>
      <c r="H853" s="454" t="s">
        <v>1624</v>
      </c>
    </row>
    <row r="854" spans="1:8" ht="12.75">
      <c r="A854" s="24" t="s">
        <v>2668</v>
      </c>
      <c r="B854" s="14" t="s">
        <v>2704</v>
      </c>
      <c r="C854" s="792">
        <v>0.33478260869565196</v>
      </c>
      <c r="D854" s="18" t="s">
        <v>2711</v>
      </c>
      <c r="E854" s="12">
        <v>4.7062756261925113E-3</v>
      </c>
      <c r="F854" s="12">
        <v>3.8210906557435767E-2</v>
      </c>
      <c r="G854" s="12">
        <v>8.2999999999999998E-5</v>
      </c>
      <c r="H854" s="12">
        <v>5.9908272287602653E-4</v>
      </c>
    </row>
    <row r="855" spans="1:8" ht="12.75">
      <c r="A855" s="24" t="s">
        <v>2668</v>
      </c>
      <c r="B855" s="14" t="s">
        <v>2704</v>
      </c>
      <c r="C855" s="792">
        <v>0.98315243395574603</v>
      </c>
      <c r="D855" s="18" t="s">
        <v>83</v>
      </c>
      <c r="E855" s="12">
        <v>0</v>
      </c>
      <c r="F855" s="12">
        <v>0</v>
      </c>
      <c r="G855" s="12">
        <v>0</v>
      </c>
      <c r="H855" s="12">
        <v>0</v>
      </c>
    </row>
    <row r="856" spans="1:8" ht="12.75">
      <c r="A856" s="24" t="s">
        <v>2668</v>
      </c>
      <c r="B856" s="14" t="s">
        <v>2704</v>
      </c>
      <c r="C856" s="792">
        <v>0.16739130434782598</v>
      </c>
      <c r="D856" s="18" t="s">
        <v>81</v>
      </c>
      <c r="E856" s="12">
        <v>1.9912385503783353E-2</v>
      </c>
      <c r="F856" s="12">
        <v>5.6949422540820388E-2</v>
      </c>
      <c r="G856" s="12">
        <v>3.8829151732377542E-3</v>
      </c>
      <c r="H856" s="12">
        <v>5.6321186778176026E-3</v>
      </c>
    </row>
    <row r="857" spans="1:8" ht="12.75">
      <c r="A857" s="24" t="s">
        <v>2668</v>
      </c>
      <c r="B857" s="14" t="s">
        <v>2704</v>
      </c>
      <c r="C857" s="792">
        <v>0.16739130434782598</v>
      </c>
      <c r="D857" s="18" t="s">
        <v>2661</v>
      </c>
      <c r="E857" s="12">
        <v>3.0177940758293843E-3</v>
      </c>
      <c r="F857" s="12">
        <v>8.8728561611374421E-3</v>
      </c>
      <c r="G857" s="12">
        <v>5.9155383175355464E-5</v>
      </c>
      <c r="H857" s="12">
        <v>5.56622037914692E-4</v>
      </c>
    </row>
    <row r="858" spans="1:8" ht="12.75">
      <c r="A858" s="24" t="s">
        <v>2668</v>
      </c>
      <c r="B858" s="14" t="s">
        <v>2704</v>
      </c>
      <c r="C858" s="792" t="s">
        <v>1666</v>
      </c>
      <c r="D858" s="18" t="s">
        <v>1666</v>
      </c>
      <c r="E858" s="454" t="s">
        <v>1666</v>
      </c>
      <c r="F858" s="454" t="s">
        <v>1666</v>
      </c>
      <c r="G858" s="454" t="s">
        <v>1666</v>
      </c>
      <c r="H858" s="454" t="s">
        <v>1666</v>
      </c>
    </row>
    <row r="859" spans="1:8" ht="12.75">
      <c r="A859" s="24" t="s">
        <v>2668</v>
      </c>
      <c r="B859" s="14" t="s">
        <v>2704</v>
      </c>
      <c r="C859" s="792" t="s">
        <v>1666</v>
      </c>
      <c r="D859" s="18" t="s">
        <v>1666</v>
      </c>
      <c r="E859" s="454" t="s">
        <v>1666</v>
      </c>
      <c r="F859" s="454" t="s">
        <v>1666</v>
      </c>
      <c r="G859" s="454" t="s">
        <v>1666</v>
      </c>
      <c r="H859" s="454" t="s">
        <v>1666</v>
      </c>
    </row>
    <row r="860" spans="1:8" ht="12.75">
      <c r="A860" s="24" t="s">
        <v>2668</v>
      </c>
      <c r="B860" s="14" t="s">
        <v>2704</v>
      </c>
      <c r="C860" s="792" t="s">
        <v>1666</v>
      </c>
      <c r="D860" s="18" t="s">
        <v>1666</v>
      </c>
      <c r="E860" s="454" t="s">
        <v>1666</v>
      </c>
      <c r="F860" s="454" t="s">
        <v>1666</v>
      </c>
      <c r="G860" s="454" t="s">
        <v>1666</v>
      </c>
      <c r="H860" s="454" t="s">
        <v>1666</v>
      </c>
    </row>
    <row r="861" spans="1:8" ht="12.75">
      <c r="A861" s="24" t="s">
        <v>2668</v>
      </c>
      <c r="B861" s="14" t="s">
        <v>2704</v>
      </c>
      <c r="C861" s="792">
        <v>0.38873585111317321</v>
      </c>
      <c r="D861" s="18" t="s">
        <v>2663</v>
      </c>
      <c r="E861" s="12">
        <v>3.1660297063617504E-2</v>
      </c>
      <c r="F861" s="12">
        <v>0.3735301190055475</v>
      </c>
      <c r="G861" s="12">
        <v>2.1604141815772032E-3</v>
      </c>
      <c r="H861" s="12">
        <v>1.8530021654934324E-3</v>
      </c>
    </row>
    <row r="862" spans="1:8" ht="12.75">
      <c r="A862" s="24" t="s">
        <v>2668</v>
      </c>
      <c r="B862" s="14" t="s">
        <v>2704</v>
      </c>
      <c r="C862" s="792" t="s">
        <v>1624</v>
      </c>
      <c r="D862" s="18" t="s">
        <v>1624</v>
      </c>
      <c r="E862" s="454" t="s">
        <v>1624</v>
      </c>
      <c r="F862" s="454" t="s">
        <v>1624</v>
      </c>
      <c r="G862" s="454" t="s">
        <v>1624</v>
      </c>
      <c r="H862" s="454" t="s">
        <v>1624</v>
      </c>
    </row>
    <row r="863" spans="1:8" ht="12.75">
      <c r="A863" s="24" t="s">
        <v>2668</v>
      </c>
      <c r="B863" s="14" t="s">
        <v>2704</v>
      </c>
      <c r="C863" s="792" t="s">
        <v>1666</v>
      </c>
      <c r="D863" s="18" t="s">
        <v>1666</v>
      </c>
      <c r="E863" s="454" t="s">
        <v>1666</v>
      </c>
      <c r="F863" s="454" t="s">
        <v>1666</v>
      </c>
      <c r="G863" s="454" t="s">
        <v>1666</v>
      </c>
      <c r="H863" s="454" t="s">
        <v>1666</v>
      </c>
    </row>
    <row r="864" spans="1:8" ht="12.75">
      <c r="A864" s="24" t="s">
        <v>2668</v>
      </c>
      <c r="B864" s="14" t="s">
        <v>2704</v>
      </c>
      <c r="C864" s="792">
        <v>8.3695652173912991E-2</v>
      </c>
      <c r="D864" s="18" t="s">
        <v>121</v>
      </c>
      <c r="E864" s="12">
        <v>4.1127278199052132E-2</v>
      </c>
      <c r="F864" s="12">
        <v>0.12092157867298578</v>
      </c>
      <c r="G864" s="12">
        <v>8.0618486208530824E-4</v>
      </c>
      <c r="H864" s="12">
        <v>7.5857890995260661E-3</v>
      </c>
    </row>
    <row r="865" spans="1:8" ht="12.75">
      <c r="A865" s="24" t="s">
        <v>2668</v>
      </c>
      <c r="B865" s="14" t="s">
        <v>2704</v>
      </c>
      <c r="C865" s="792">
        <v>8.3695652173912991E-2</v>
      </c>
      <c r="D865" s="18" t="s">
        <v>128</v>
      </c>
      <c r="E865" s="12">
        <v>1.42078990521327E-2</v>
      </c>
      <c r="F865" s="12">
        <v>4.1773772985781985E-2</v>
      </c>
      <c r="G865" s="12">
        <v>2.785059853080569E-4</v>
      </c>
      <c r="H865" s="12">
        <v>2.6205995260663506E-3</v>
      </c>
    </row>
    <row r="866" spans="1:8" ht="12.75">
      <c r="A866" s="24" t="s">
        <v>2668</v>
      </c>
      <c r="B866" s="14" t="s">
        <v>2704</v>
      </c>
      <c r="C866" s="792" t="s">
        <v>1666</v>
      </c>
      <c r="D866" s="18" t="s">
        <v>1666</v>
      </c>
      <c r="E866" s="454" t="s">
        <v>1666</v>
      </c>
      <c r="F866" s="454" t="s">
        <v>1666</v>
      </c>
      <c r="G866" s="454" t="s">
        <v>1666</v>
      </c>
      <c r="H866" s="454" t="s">
        <v>1666</v>
      </c>
    </row>
    <row r="867" spans="1:8" ht="12.75">
      <c r="A867" s="24" t="s">
        <v>2668</v>
      </c>
      <c r="B867" s="14" t="s">
        <v>2704</v>
      </c>
      <c r="C867" s="792" t="s">
        <v>1666</v>
      </c>
      <c r="D867" s="18" t="s">
        <v>1666</v>
      </c>
      <c r="E867" s="454" t="s">
        <v>1666</v>
      </c>
      <c r="F867" s="454" t="s">
        <v>1666</v>
      </c>
      <c r="G867" s="454" t="s">
        <v>1666</v>
      </c>
      <c r="H867" s="454" t="s">
        <v>1666</v>
      </c>
    </row>
    <row r="868" spans="1:8" ht="12.75">
      <c r="A868" s="24" t="s">
        <v>2668</v>
      </c>
      <c r="B868" s="14" t="s">
        <v>2704</v>
      </c>
      <c r="C868" s="792" t="s">
        <v>1666</v>
      </c>
      <c r="D868" s="18" t="s">
        <v>1666</v>
      </c>
      <c r="E868" s="454" t="s">
        <v>1666</v>
      </c>
      <c r="F868" s="454" t="s">
        <v>1666</v>
      </c>
      <c r="G868" s="454" t="s">
        <v>1666</v>
      </c>
      <c r="H868" s="454" t="s">
        <v>1666</v>
      </c>
    </row>
    <row r="869" spans="1:8" ht="12.75">
      <c r="A869" s="24" t="s">
        <v>2668</v>
      </c>
      <c r="B869" s="14" t="s">
        <v>2704</v>
      </c>
      <c r="C869" s="792" t="s">
        <v>1666</v>
      </c>
      <c r="D869" s="18" t="s">
        <v>1666</v>
      </c>
      <c r="E869" s="454" t="s">
        <v>1666</v>
      </c>
      <c r="F869" s="454" t="s">
        <v>1666</v>
      </c>
      <c r="G869" s="454" t="s">
        <v>1666</v>
      </c>
      <c r="H869" s="454" t="s">
        <v>1666</v>
      </c>
    </row>
    <row r="870" spans="1:8" ht="12.75">
      <c r="A870" s="24" t="s">
        <v>2668</v>
      </c>
      <c r="B870" s="14" t="s">
        <v>2704</v>
      </c>
      <c r="C870" s="792" t="s">
        <v>1666</v>
      </c>
      <c r="D870" s="18" t="s">
        <v>1666</v>
      </c>
      <c r="E870" s="454" t="s">
        <v>1666</v>
      </c>
      <c r="F870" s="454" t="s">
        <v>1666</v>
      </c>
      <c r="G870" s="454" t="s">
        <v>1666</v>
      </c>
      <c r="H870" s="454" t="s">
        <v>1666</v>
      </c>
    </row>
    <row r="871" spans="1:8" ht="12.75">
      <c r="A871" s="24" t="s">
        <v>2668</v>
      </c>
      <c r="B871" s="14" t="s">
        <v>2704</v>
      </c>
      <c r="C871" s="792" t="s">
        <v>1666</v>
      </c>
      <c r="D871" s="18" t="s">
        <v>1666</v>
      </c>
      <c r="E871" s="454" t="s">
        <v>1666</v>
      </c>
      <c r="F871" s="454" t="s">
        <v>1666</v>
      </c>
      <c r="G871" s="454" t="s">
        <v>1666</v>
      </c>
      <c r="H871" s="454" t="s">
        <v>1666</v>
      </c>
    </row>
    <row r="872" spans="1:8" ht="12.75">
      <c r="A872" s="24" t="s">
        <v>2668</v>
      </c>
      <c r="B872" s="14" t="s">
        <v>2704</v>
      </c>
      <c r="C872" s="792" t="s">
        <v>1666</v>
      </c>
      <c r="D872" s="18" t="s">
        <v>1666</v>
      </c>
      <c r="E872" s="454" t="s">
        <v>1666</v>
      </c>
      <c r="F872" s="454" t="s">
        <v>1666</v>
      </c>
      <c r="G872" s="454" t="s">
        <v>1666</v>
      </c>
      <c r="H872" s="454" t="s">
        <v>1666</v>
      </c>
    </row>
    <row r="873" spans="1:8" ht="12.75">
      <c r="A873" s="24" t="s">
        <v>2668</v>
      </c>
      <c r="B873" s="14" t="s">
        <v>2704</v>
      </c>
      <c r="C873" s="792" t="s">
        <v>1666</v>
      </c>
      <c r="D873" s="18" t="s">
        <v>1666</v>
      </c>
      <c r="E873" s="454" t="s">
        <v>1666</v>
      </c>
      <c r="F873" s="454" t="s">
        <v>1666</v>
      </c>
      <c r="G873" s="454" t="s">
        <v>1666</v>
      </c>
      <c r="H873" s="454" t="s">
        <v>1666</v>
      </c>
    </row>
    <row r="874" spans="1:8" ht="12.75">
      <c r="A874" s="24" t="s">
        <v>2668</v>
      </c>
      <c r="B874" s="14" t="s">
        <v>2704</v>
      </c>
      <c r="C874" s="792">
        <v>0.57957637798459427</v>
      </c>
      <c r="D874" s="18" t="s">
        <v>1370</v>
      </c>
      <c r="E874" s="12">
        <v>1.7000000000000001E-2</v>
      </c>
      <c r="F874" s="12">
        <v>3.15E-2</v>
      </c>
      <c r="G874" s="12">
        <v>9.9999999999999995E-7</v>
      </c>
      <c r="H874" s="12">
        <v>9.0389601227534877E-4</v>
      </c>
    </row>
    <row r="875" spans="1:8" ht="12.75">
      <c r="A875" s="24" t="s">
        <v>2668</v>
      </c>
      <c r="B875" s="14" t="s">
        <v>2704</v>
      </c>
      <c r="C875" s="792" t="s">
        <v>1666</v>
      </c>
      <c r="D875" s="18" t="s">
        <v>1666</v>
      </c>
      <c r="E875" s="454" t="s">
        <v>1666</v>
      </c>
      <c r="F875" s="454" t="s">
        <v>1666</v>
      </c>
      <c r="G875" s="454" t="s">
        <v>1666</v>
      </c>
      <c r="H875" s="454" t="s">
        <v>1666</v>
      </c>
    </row>
    <row r="876" spans="1:8" ht="12.75">
      <c r="A876" s="24" t="s">
        <v>2668</v>
      </c>
      <c r="B876" s="14" t="s">
        <v>2704</v>
      </c>
      <c r="C876" s="792" t="s">
        <v>1666</v>
      </c>
      <c r="D876" s="18" t="s">
        <v>1666</v>
      </c>
      <c r="E876" s="454" t="s">
        <v>1666</v>
      </c>
      <c r="F876" s="454" t="s">
        <v>1666</v>
      </c>
      <c r="G876" s="454" t="s">
        <v>1666</v>
      </c>
      <c r="H876" s="454" t="s">
        <v>1666</v>
      </c>
    </row>
    <row r="877" spans="1:8" ht="12.75">
      <c r="A877" s="24" t="s">
        <v>2668</v>
      </c>
      <c r="B877" s="14" t="s">
        <v>2704</v>
      </c>
      <c r="C877" s="792">
        <v>0.91512059681778068</v>
      </c>
      <c r="D877" s="18" t="s">
        <v>92</v>
      </c>
      <c r="E877" s="12">
        <v>4.7583080568720385E-3</v>
      </c>
      <c r="F877" s="12">
        <v>1.399027962085308E-2</v>
      </c>
      <c r="G877" s="12">
        <v>9.3273274881516596E-5</v>
      </c>
      <c r="H877" s="12">
        <v>8.7765402843601901E-4</v>
      </c>
    </row>
    <row r="878" spans="1:8" ht="12.75">
      <c r="A878" s="24" t="s">
        <v>2668</v>
      </c>
      <c r="B878" s="14" t="s">
        <v>2704</v>
      </c>
      <c r="C878" s="792" t="s">
        <v>1666</v>
      </c>
      <c r="D878" s="18" t="s">
        <v>1666</v>
      </c>
      <c r="E878" s="454" t="s">
        <v>1666</v>
      </c>
      <c r="F878" s="454" t="s">
        <v>1666</v>
      </c>
      <c r="G878" s="454" t="s">
        <v>1666</v>
      </c>
      <c r="H878" s="454" t="s">
        <v>1666</v>
      </c>
    </row>
    <row r="879" spans="1:8" ht="12.75">
      <c r="A879" s="24" t="s">
        <v>2668</v>
      </c>
      <c r="B879" s="14" t="s">
        <v>2704</v>
      </c>
      <c r="C879" s="792" t="s">
        <v>1666</v>
      </c>
      <c r="D879" s="18" t="s">
        <v>1666</v>
      </c>
      <c r="E879" s="454" t="s">
        <v>1666</v>
      </c>
      <c r="F879" s="454" t="s">
        <v>1666</v>
      </c>
      <c r="G879" s="454" t="s">
        <v>1666</v>
      </c>
      <c r="H879" s="454" t="s">
        <v>1666</v>
      </c>
    </row>
    <row r="880" spans="1:8" ht="12.75">
      <c r="A880" s="24" t="s">
        <v>2668</v>
      </c>
      <c r="B880" s="14" t="s">
        <v>2704</v>
      </c>
      <c r="C880" s="792">
        <v>0.4270562785149643</v>
      </c>
      <c r="D880" s="18" t="s">
        <v>2712</v>
      </c>
      <c r="E880" s="12">
        <v>4.0401172748815169E-2</v>
      </c>
      <c r="F880" s="12">
        <v>0.11878669834123222</v>
      </c>
      <c r="G880" s="12">
        <v>7.919516026066351E-4</v>
      </c>
      <c r="H880" s="12">
        <v>7.4518613744075819E-3</v>
      </c>
    </row>
    <row r="881" spans="1:8" ht="12.75">
      <c r="A881" s="24" t="s">
        <v>2668</v>
      </c>
      <c r="B881" s="14" t="s">
        <v>2704</v>
      </c>
      <c r="C881" s="792">
        <v>0.1525200994696301</v>
      </c>
      <c r="D881" s="18" t="s">
        <v>124</v>
      </c>
      <c r="E881" s="12">
        <v>3.9416473933649287E-3</v>
      </c>
      <c r="F881" s="12">
        <v>1.1589150710900475E-2</v>
      </c>
      <c r="G881" s="12">
        <v>7.7264934597156404E-5</v>
      </c>
      <c r="H881" s="12">
        <v>7.2702369668246447E-4</v>
      </c>
    </row>
    <row r="882" spans="1:8" ht="12.75">
      <c r="A882" s="24" t="s">
        <v>2668</v>
      </c>
      <c r="B882" s="14" t="s">
        <v>2704</v>
      </c>
      <c r="C882" s="792" t="s">
        <v>1666</v>
      </c>
      <c r="D882" s="18" t="s">
        <v>1666</v>
      </c>
      <c r="E882" s="454" t="s">
        <v>1666</v>
      </c>
      <c r="F882" s="454" t="s">
        <v>1666</v>
      </c>
      <c r="G882" s="454" t="s">
        <v>1666</v>
      </c>
      <c r="H882" s="454" t="s">
        <v>1666</v>
      </c>
    </row>
    <row r="883" spans="1:8" ht="12.75">
      <c r="A883" s="24" t="s">
        <v>2668</v>
      </c>
      <c r="B883" s="14" t="s">
        <v>2704</v>
      </c>
      <c r="C883" s="792" t="s">
        <v>1666</v>
      </c>
      <c r="D883" s="18" t="s">
        <v>1666</v>
      </c>
      <c r="E883" s="454" t="s">
        <v>1666</v>
      </c>
      <c r="F883" s="454" t="s">
        <v>1666</v>
      </c>
      <c r="G883" s="454" t="s">
        <v>1666</v>
      </c>
      <c r="H883" s="454" t="s">
        <v>1666</v>
      </c>
    </row>
    <row r="884" spans="1:8" ht="12.75">
      <c r="A884" s="24" t="s">
        <v>2668</v>
      </c>
      <c r="B884" s="14" t="s">
        <v>2704</v>
      </c>
      <c r="C884" s="792" t="s">
        <v>1666</v>
      </c>
      <c r="D884" s="18" t="s">
        <v>1666</v>
      </c>
      <c r="E884" s="454" t="s">
        <v>1666</v>
      </c>
      <c r="F884" s="454" t="s">
        <v>1666</v>
      </c>
      <c r="G884" s="454" t="s">
        <v>1666</v>
      </c>
      <c r="H884" s="454" t="s">
        <v>1666</v>
      </c>
    </row>
    <row r="885" spans="1:8" ht="12.75">
      <c r="A885" s="24" t="s">
        <v>2668</v>
      </c>
      <c r="B885" s="14" t="s">
        <v>2704</v>
      </c>
      <c r="C885" s="792" t="s">
        <v>1666</v>
      </c>
      <c r="D885" s="18" t="s">
        <v>1666</v>
      </c>
      <c r="E885" s="454" t="s">
        <v>1666</v>
      </c>
      <c r="F885" s="454" t="s">
        <v>1666</v>
      </c>
      <c r="G885" s="454" t="s">
        <v>1666</v>
      </c>
      <c r="H885" s="454" t="s">
        <v>1666</v>
      </c>
    </row>
    <row r="886" spans="1:8" ht="12.75">
      <c r="A886" s="24" t="s">
        <v>2668</v>
      </c>
      <c r="B886" s="14" t="s">
        <v>2704</v>
      </c>
      <c r="C886" s="792" t="s">
        <v>1666</v>
      </c>
      <c r="D886" s="18" t="s">
        <v>1666</v>
      </c>
      <c r="E886" s="454" t="s">
        <v>1666</v>
      </c>
      <c r="F886" s="454" t="s">
        <v>1666</v>
      </c>
      <c r="G886" s="454" t="s">
        <v>1666</v>
      </c>
      <c r="H886" s="454" t="s">
        <v>1666</v>
      </c>
    </row>
    <row r="887" spans="1:8" ht="12.75">
      <c r="A887" s="794" t="s">
        <v>2668</v>
      </c>
      <c r="B887" s="617" t="s">
        <v>2704</v>
      </c>
      <c r="C887" s="465" t="s">
        <v>1666</v>
      </c>
      <c r="D887" s="799" t="s">
        <v>1666</v>
      </c>
      <c r="E887" s="725" t="s">
        <v>1666</v>
      </c>
      <c r="F887" s="725" t="s">
        <v>1666</v>
      </c>
      <c r="G887" s="725" t="s">
        <v>1666</v>
      </c>
      <c r="H887" s="725" t="s">
        <v>1666</v>
      </c>
    </row>
    <row r="888" spans="1:8" ht="12.75">
      <c r="A888" s="24" t="s">
        <v>2668</v>
      </c>
      <c r="B888" s="14" t="s">
        <v>2713</v>
      </c>
      <c r="C888" s="796">
        <v>39.72194637537239</v>
      </c>
      <c r="D888" s="456" t="s">
        <v>72</v>
      </c>
      <c r="E888" s="457">
        <v>0</v>
      </c>
      <c r="F888" s="457">
        <v>0</v>
      </c>
      <c r="G888" s="457">
        <v>0</v>
      </c>
      <c r="H888" s="457">
        <v>0</v>
      </c>
    </row>
    <row r="889" spans="1:8" ht="12.75">
      <c r="A889" s="24" t="s">
        <v>2668</v>
      </c>
      <c r="B889" s="14" t="s">
        <v>2713</v>
      </c>
      <c r="C889" s="792">
        <v>64.250411861614523</v>
      </c>
      <c r="D889" s="18" t="s">
        <v>2714</v>
      </c>
      <c r="E889" s="12">
        <v>5.0851930036188197E-3</v>
      </c>
      <c r="F889" s="12">
        <v>5.9995417730640897E-2</v>
      </c>
      <c r="G889" s="12">
        <v>3.4699999999999998E-4</v>
      </c>
      <c r="H889" s="12">
        <v>2.9762429672480995E-4</v>
      </c>
    </row>
    <row r="890" spans="1:8" ht="12.75">
      <c r="A890" s="24" t="s">
        <v>2668</v>
      </c>
      <c r="B890" s="14" t="s">
        <v>2713</v>
      </c>
      <c r="C890" s="792" t="s">
        <v>1666</v>
      </c>
      <c r="D890" s="18" t="s">
        <v>1666</v>
      </c>
      <c r="E890" s="454" t="s">
        <v>1666</v>
      </c>
      <c r="F890" s="454" t="s">
        <v>1666</v>
      </c>
      <c r="G890" s="454" t="s">
        <v>1666</v>
      </c>
      <c r="H890" s="454" t="s">
        <v>1666</v>
      </c>
    </row>
    <row r="891" spans="1:8" ht="12.75">
      <c r="A891" s="24" t="s">
        <v>2668</v>
      </c>
      <c r="B891" s="14" t="s">
        <v>2713</v>
      </c>
      <c r="C891" s="792">
        <v>6.5897858319604641</v>
      </c>
      <c r="D891" s="18" t="s">
        <v>139</v>
      </c>
      <c r="E891" s="12">
        <v>4.0165275294130297E-3</v>
      </c>
      <c r="F891" s="12">
        <v>3.2725331200335404E-2</v>
      </c>
      <c r="G891" s="12">
        <v>2.4399999999999999E-4</v>
      </c>
      <c r="H891" s="12">
        <v>2.0392735E-3</v>
      </c>
    </row>
    <row r="892" spans="1:8" ht="12.75">
      <c r="A892" s="24" t="s">
        <v>2668</v>
      </c>
      <c r="B892" s="14" t="s">
        <v>2713</v>
      </c>
      <c r="C892" s="792">
        <v>6.836902800658982</v>
      </c>
      <c r="D892" s="18" t="s">
        <v>2715</v>
      </c>
      <c r="E892" s="12">
        <v>2.9691872042618299E-2</v>
      </c>
      <c r="F892" s="12">
        <v>7.5368545517799299E-2</v>
      </c>
      <c r="G892" s="12">
        <v>2.9014018691588786E-4</v>
      </c>
      <c r="H892" s="12">
        <v>1.4770983615231311E-3</v>
      </c>
    </row>
    <row r="893" spans="1:8" ht="12.75">
      <c r="A893" s="24" t="s">
        <v>2668</v>
      </c>
      <c r="B893" s="14" t="s">
        <v>2713</v>
      </c>
      <c r="C893" s="792" t="s">
        <v>1666</v>
      </c>
      <c r="D893" s="18" t="s">
        <v>1666</v>
      </c>
      <c r="E893" s="454" t="s">
        <v>1666</v>
      </c>
      <c r="F893" s="454" t="s">
        <v>1666</v>
      </c>
      <c r="G893" s="454" t="s">
        <v>1666</v>
      </c>
      <c r="H893" s="454" t="s">
        <v>1666</v>
      </c>
    </row>
    <row r="894" spans="1:8" ht="12.75">
      <c r="A894" s="24" t="s">
        <v>2668</v>
      </c>
      <c r="B894" s="14" t="s">
        <v>2713</v>
      </c>
      <c r="C894" s="792">
        <v>1.3179571663920928</v>
      </c>
      <c r="D894" s="18" t="s">
        <v>332</v>
      </c>
      <c r="E894" s="12">
        <v>2.3E-3</v>
      </c>
      <c r="F894" s="12">
        <v>4.7879999999999999E-2</v>
      </c>
      <c r="G894" s="12">
        <v>9.9999999999999995E-7</v>
      </c>
      <c r="H894" s="12">
        <v>4.4092488403675551E-4</v>
      </c>
    </row>
    <row r="895" spans="1:8" ht="12.75">
      <c r="A895" s="24" t="s">
        <v>2668</v>
      </c>
      <c r="B895" s="14" t="s">
        <v>2713</v>
      </c>
      <c r="C895" s="792" t="s">
        <v>1666</v>
      </c>
      <c r="D895" s="18" t="s">
        <v>1666</v>
      </c>
      <c r="E895" s="454" t="s">
        <v>1666</v>
      </c>
      <c r="F895" s="454" t="s">
        <v>1666</v>
      </c>
      <c r="G895" s="454" t="s">
        <v>1666</v>
      </c>
      <c r="H895" s="454" t="s">
        <v>1666</v>
      </c>
    </row>
    <row r="896" spans="1:8" ht="12.75">
      <c r="A896" s="24" t="s">
        <v>2668</v>
      </c>
      <c r="B896" s="14" t="s">
        <v>2713</v>
      </c>
      <c r="C896" s="792">
        <v>1.647446457990116</v>
      </c>
      <c r="D896" s="18" t="s">
        <v>340</v>
      </c>
      <c r="E896" s="12">
        <v>2.1708241661196198E-2</v>
      </c>
      <c r="F896" s="12">
        <v>0.36572952458380198</v>
      </c>
      <c r="G896" s="12">
        <v>4.6350652173913045E-4</v>
      </c>
      <c r="H896" s="12">
        <v>1.6975608035415088E-3</v>
      </c>
    </row>
    <row r="897" spans="1:8" ht="12.75">
      <c r="A897" s="24" t="s">
        <v>2668</v>
      </c>
      <c r="B897" s="14" t="s">
        <v>2713</v>
      </c>
      <c r="C897" s="792">
        <v>4.9423393739703485</v>
      </c>
      <c r="D897" s="18" t="s">
        <v>2716</v>
      </c>
      <c r="E897" s="12">
        <v>3.0104466724907065E-4</v>
      </c>
      <c r="F897" s="12">
        <v>1.2500000000000001E-2</v>
      </c>
      <c r="G897" s="12">
        <v>5.1818181818181835E-4</v>
      </c>
      <c r="H897" s="12">
        <v>4.0084080366977777E-4</v>
      </c>
    </row>
    <row r="898" spans="1:8" ht="12.75">
      <c r="A898" s="24" t="s">
        <v>2668</v>
      </c>
      <c r="B898" s="14" t="s">
        <v>2713</v>
      </c>
      <c r="C898" s="792">
        <v>3.294892915980232</v>
      </c>
      <c r="D898" s="18" t="s">
        <v>2717</v>
      </c>
      <c r="E898" s="12">
        <v>4.7583080568720385E-3</v>
      </c>
      <c r="F898" s="12">
        <v>1.399027962085308E-2</v>
      </c>
      <c r="G898" s="12">
        <v>9.3273274881516596E-5</v>
      </c>
      <c r="H898" s="12">
        <v>8.7765402843601901E-4</v>
      </c>
    </row>
    <row r="899" spans="1:8" ht="12.75">
      <c r="A899" s="24" t="s">
        <v>2668</v>
      </c>
      <c r="B899" s="14" t="s">
        <v>2713</v>
      </c>
      <c r="C899" s="792">
        <v>1.647446457990116</v>
      </c>
      <c r="D899" s="18" t="s">
        <v>425</v>
      </c>
      <c r="E899" s="12">
        <v>3.8102374934982654E-3</v>
      </c>
      <c r="F899" s="12">
        <v>0.20470422547079484</v>
      </c>
      <c r="G899" s="12">
        <v>1.210810810810811E-4</v>
      </c>
      <c r="H899" s="12">
        <v>1.0002400855855065E-3</v>
      </c>
    </row>
    <row r="900" spans="1:8" ht="12.75">
      <c r="A900" s="24" t="s">
        <v>2668</v>
      </c>
      <c r="B900" s="14" t="s">
        <v>2713</v>
      </c>
      <c r="C900" s="792">
        <v>1.647446457990116</v>
      </c>
      <c r="D900" s="18" t="s">
        <v>1588</v>
      </c>
      <c r="E900" s="12">
        <v>2.9559941486988851E-4</v>
      </c>
      <c r="F900" s="12">
        <v>1.227390180878553E-2</v>
      </c>
      <c r="G900" s="12">
        <v>5.0880902043692758E-4</v>
      </c>
      <c r="H900" s="12">
        <v>3.9359045321580248E-4</v>
      </c>
    </row>
    <row r="901" spans="1:8" ht="12.75">
      <c r="A901" s="24" t="s">
        <v>2668</v>
      </c>
      <c r="B901" s="14" t="s">
        <v>2713</v>
      </c>
      <c r="C901" s="792">
        <v>1.647446457990116</v>
      </c>
      <c r="D901" s="18" t="s">
        <v>2533</v>
      </c>
      <c r="E901" s="12">
        <v>3.0177940758293843E-3</v>
      </c>
      <c r="F901" s="12">
        <v>8.8728561611374421E-3</v>
      </c>
      <c r="G901" s="12">
        <v>5.9155383175355464E-5</v>
      </c>
      <c r="H901" s="12">
        <v>5.56622037914692E-4</v>
      </c>
    </row>
    <row r="902" spans="1:8" ht="12.75">
      <c r="A902" s="24" t="s">
        <v>2668</v>
      </c>
      <c r="B902" s="14" t="s">
        <v>2713</v>
      </c>
      <c r="C902" s="792" t="s">
        <v>1666</v>
      </c>
      <c r="D902" s="18" t="s">
        <v>1666</v>
      </c>
      <c r="E902" s="454" t="s">
        <v>1666</v>
      </c>
      <c r="F902" s="454" t="s">
        <v>1666</v>
      </c>
      <c r="G902" s="454" t="s">
        <v>1666</v>
      </c>
      <c r="H902" s="454" t="s">
        <v>1666</v>
      </c>
    </row>
    <row r="903" spans="1:8" ht="12.75">
      <c r="A903" s="24" t="s">
        <v>2668</v>
      </c>
      <c r="B903" s="14" t="s">
        <v>2713</v>
      </c>
      <c r="C903" s="792">
        <v>1.647446457990116</v>
      </c>
      <c r="D903" s="18" t="s">
        <v>2718</v>
      </c>
      <c r="E903" s="12">
        <v>2.5425965018094099E-4</v>
      </c>
      <c r="F903" s="12">
        <v>2.999770886532045E-3</v>
      </c>
      <c r="G903" s="12">
        <v>1.7349999999999998E-5</v>
      </c>
      <c r="H903" s="12">
        <v>1.4881214836240498E-5</v>
      </c>
    </row>
    <row r="904" spans="1:8" ht="12.75">
      <c r="A904" s="24" t="s">
        <v>2668</v>
      </c>
      <c r="B904" s="14" t="s">
        <v>2713</v>
      </c>
      <c r="C904" s="792">
        <v>1.647446457990116</v>
      </c>
      <c r="D904" s="18" t="s">
        <v>2529</v>
      </c>
      <c r="E904" s="12">
        <v>2.2558902713754649E-4</v>
      </c>
      <c r="F904" s="12">
        <v>9.3669250645994837E-3</v>
      </c>
      <c r="G904" s="12">
        <v>3.8830162085976054E-4</v>
      </c>
      <c r="H904" s="12">
        <v>3.0037166166469137E-4</v>
      </c>
    </row>
    <row r="905" spans="1:8" ht="12.75">
      <c r="A905" s="24" t="s">
        <v>2668</v>
      </c>
      <c r="B905" s="14" t="s">
        <v>2713</v>
      </c>
      <c r="C905" s="792" t="s">
        <v>1666</v>
      </c>
      <c r="D905" s="18" t="s">
        <v>1666</v>
      </c>
      <c r="E905" s="454" t="s">
        <v>1666</v>
      </c>
      <c r="F905" s="454" t="s">
        <v>1666</v>
      </c>
      <c r="G905" s="454" t="s">
        <v>1666</v>
      </c>
      <c r="H905" s="454" t="s">
        <v>1666</v>
      </c>
    </row>
    <row r="906" spans="1:8" ht="12.75">
      <c r="A906" s="24" t="s">
        <v>2668</v>
      </c>
      <c r="B906" s="14" t="s">
        <v>2713</v>
      </c>
      <c r="C906" s="792" t="s">
        <v>1666</v>
      </c>
      <c r="D906" s="18" t="s">
        <v>1666</v>
      </c>
      <c r="E906" s="454" t="s">
        <v>1666</v>
      </c>
      <c r="F906" s="454" t="s">
        <v>1666</v>
      </c>
      <c r="G906" s="454" t="s">
        <v>1666</v>
      </c>
      <c r="H906" s="454" t="s">
        <v>1666</v>
      </c>
    </row>
    <row r="907" spans="1:8" ht="12.75">
      <c r="A907" s="24" t="s">
        <v>2668</v>
      </c>
      <c r="B907" s="14" t="s">
        <v>2713</v>
      </c>
      <c r="C907" s="792">
        <v>0.82372322899505801</v>
      </c>
      <c r="D907" s="18" t="s">
        <v>2680</v>
      </c>
      <c r="E907" s="12">
        <v>2.5425965018094099E-4</v>
      </c>
      <c r="F907" s="12">
        <v>2.999770886532045E-3</v>
      </c>
      <c r="G907" s="12">
        <v>1.7349999999999998E-5</v>
      </c>
      <c r="H907" s="12">
        <v>1.4881214836240498E-5</v>
      </c>
    </row>
    <row r="908" spans="1:8" ht="12.75">
      <c r="A908" s="24" t="s">
        <v>2668</v>
      </c>
      <c r="B908" s="14" t="s">
        <v>2713</v>
      </c>
      <c r="C908" s="792">
        <v>0.82372322899505801</v>
      </c>
      <c r="D908" s="18" t="s">
        <v>2684</v>
      </c>
      <c r="E908" s="12">
        <v>4.7062756261925113E-3</v>
      </c>
      <c r="F908" s="12">
        <v>3.8210906557435767E-2</v>
      </c>
      <c r="G908" s="12">
        <v>8.2999999999999998E-5</v>
      </c>
      <c r="H908" s="12">
        <v>5.9908272287602653E-4</v>
      </c>
    </row>
    <row r="909" spans="1:8" ht="12.75">
      <c r="A909" s="24" t="s">
        <v>2668</v>
      </c>
      <c r="B909" s="14" t="s">
        <v>2713</v>
      </c>
      <c r="C909" s="792">
        <v>0.411861614497529</v>
      </c>
      <c r="D909" s="18" t="s">
        <v>2662</v>
      </c>
      <c r="E909" s="12">
        <v>6.399192301960112E-3</v>
      </c>
      <c r="F909" s="12">
        <v>0.12411340117772937</v>
      </c>
      <c r="G909" s="12">
        <v>9.8749999999999988E-5</v>
      </c>
      <c r="H909" s="12">
        <v>3.8580927353216109E-4</v>
      </c>
    </row>
    <row r="910" spans="1:8" ht="12.75">
      <c r="A910" s="24" t="s">
        <v>2668</v>
      </c>
      <c r="B910" s="14" t="s">
        <v>2713</v>
      </c>
      <c r="C910" s="792">
        <v>0.411861614497529</v>
      </c>
      <c r="D910" s="18" t="s">
        <v>2663</v>
      </c>
      <c r="E910" s="12">
        <v>3.1660297063617504E-2</v>
      </c>
      <c r="F910" s="12">
        <v>0.3735301190055475</v>
      </c>
      <c r="G910" s="12">
        <v>2.1604141815772032E-3</v>
      </c>
      <c r="H910" s="12">
        <v>1.8530021654934324E-3</v>
      </c>
    </row>
    <row r="911" spans="1:8" ht="12.75">
      <c r="A911" s="794" t="s">
        <v>2668</v>
      </c>
      <c r="B911" s="617" t="s">
        <v>2713</v>
      </c>
      <c r="C911" s="455">
        <v>0.411861614497529</v>
      </c>
      <c r="D911" s="793" t="s">
        <v>2523</v>
      </c>
      <c r="E911" s="635">
        <v>4.1127278199052132E-2</v>
      </c>
      <c r="F911" s="635">
        <v>0.12092157867298578</v>
      </c>
      <c r="G911" s="635">
        <v>8.0618486208530824E-4</v>
      </c>
      <c r="H911" s="635">
        <v>7.5857890995260661E-3</v>
      </c>
    </row>
    <row r="912" spans="1:8" ht="12.75">
      <c r="A912" s="794" t="s">
        <v>2668</v>
      </c>
      <c r="B912" s="812" t="s">
        <v>2719</v>
      </c>
      <c r="C912" s="814">
        <v>100</v>
      </c>
      <c r="D912" s="693" t="s">
        <v>2720</v>
      </c>
      <c r="E912" s="795">
        <v>7.0063781342921748E-4</v>
      </c>
      <c r="F912" s="795">
        <v>4.7486125575394174E-2</v>
      </c>
      <c r="G912" s="635">
        <v>1.428576294277929E-4</v>
      </c>
      <c r="H912" s="795">
        <v>7.2410198258570182E-4</v>
      </c>
    </row>
    <row r="913" spans="1:8" ht="12.75">
      <c r="A913" s="799" t="s">
        <v>2668</v>
      </c>
      <c r="B913" s="617" t="s">
        <v>2721</v>
      </c>
      <c r="C913" s="455">
        <v>100</v>
      </c>
      <c r="D913" s="793" t="s">
        <v>2722</v>
      </c>
      <c r="E913" s="635">
        <v>4.4798514033830313E-4</v>
      </c>
      <c r="F913" s="635">
        <v>3.0362447219192758E-2</v>
      </c>
      <c r="G913" s="635">
        <v>9.1342622309197643E-5</v>
      </c>
      <c r="H913" s="635">
        <v>4.4231893147834018E-4</v>
      </c>
    </row>
    <row r="914" spans="1:8" ht="12.75">
      <c r="A914" s="13" t="s">
        <v>2668</v>
      </c>
      <c r="B914" s="14" t="s">
        <v>2723</v>
      </c>
      <c r="C914" s="792">
        <v>99.387755102040813</v>
      </c>
      <c r="D914" s="18" t="s">
        <v>2724</v>
      </c>
      <c r="E914" s="12">
        <v>8.9416218985565125E-3</v>
      </c>
      <c r="F914" s="12">
        <v>0.10549380143714923</v>
      </c>
      <c r="G914" s="12">
        <v>6.1015241635687723E-4</v>
      </c>
      <c r="H914" s="12">
        <v>5.2333194182466582E-4</v>
      </c>
    </row>
    <row r="915" spans="1:8" ht="12.75">
      <c r="A915" s="24" t="s">
        <v>2668</v>
      </c>
      <c r="B915" s="14" t="s">
        <v>2723</v>
      </c>
      <c r="C915" s="792"/>
      <c r="D915" s="18" t="s">
        <v>1666</v>
      </c>
      <c r="E915" s="454" t="s">
        <v>1666</v>
      </c>
      <c r="F915" s="454" t="s">
        <v>1666</v>
      </c>
      <c r="G915" s="454" t="s">
        <v>1666</v>
      </c>
      <c r="H915" s="454" t="s">
        <v>1666</v>
      </c>
    </row>
    <row r="916" spans="1:8" ht="12.75">
      <c r="A916" s="24" t="s">
        <v>2668</v>
      </c>
      <c r="B916" s="14" t="s">
        <v>2723</v>
      </c>
      <c r="C916" s="792">
        <v>0.20408163265306123</v>
      </c>
      <c r="D916" s="18" t="s">
        <v>2671</v>
      </c>
      <c r="E916" s="12">
        <v>2.5425965018094099E-4</v>
      </c>
      <c r="F916" s="12">
        <v>2.999770886532045E-3</v>
      </c>
      <c r="G916" s="12">
        <v>1.7349999999999998E-5</v>
      </c>
      <c r="H916" s="12">
        <v>1.4881214836240498E-5</v>
      </c>
    </row>
    <row r="917" spans="1:8" ht="12.75">
      <c r="A917" s="24" t="s">
        <v>2668</v>
      </c>
      <c r="B917" s="14" t="s">
        <v>2723</v>
      </c>
      <c r="C917" s="792">
        <v>0.20408163265306123</v>
      </c>
      <c r="D917" s="18" t="s">
        <v>2680</v>
      </c>
      <c r="E917" s="12">
        <v>2.5425965018094099E-4</v>
      </c>
      <c r="F917" s="12">
        <v>2.999770886532045E-3</v>
      </c>
      <c r="G917" s="12">
        <v>1.7349999999999998E-5</v>
      </c>
      <c r="H917" s="12">
        <v>1.4881214836240498E-5</v>
      </c>
    </row>
    <row r="918" spans="1:8" ht="12.75">
      <c r="A918" s="24" t="s">
        <v>2668</v>
      </c>
      <c r="B918" s="14" t="s">
        <v>2723</v>
      </c>
      <c r="C918" s="792">
        <v>0.20408163265306123</v>
      </c>
      <c r="D918" s="18" t="s">
        <v>1114</v>
      </c>
      <c r="E918" s="12">
        <v>3.8297066240151499E-4</v>
      </c>
      <c r="F918" s="12">
        <v>1.2726079536012401E-2</v>
      </c>
      <c r="G918" s="12">
        <v>1.225E-5</v>
      </c>
      <c r="H918" s="12">
        <v>1.5432370941286443E-5</v>
      </c>
    </row>
    <row r="919" spans="1:8" ht="12.75">
      <c r="A919" s="799" t="s">
        <v>2668</v>
      </c>
      <c r="B919" s="617" t="s">
        <v>2723</v>
      </c>
      <c r="C919" s="455" t="s">
        <v>1666</v>
      </c>
      <c r="D919" s="793" t="s">
        <v>1666</v>
      </c>
      <c r="E919" s="808" t="s">
        <v>1666</v>
      </c>
      <c r="F919" s="808" t="s">
        <v>1666</v>
      </c>
      <c r="G919" s="808" t="s">
        <v>1666</v>
      </c>
      <c r="H919" s="808" t="s">
        <v>1666</v>
      </c>
    </row>
    <row r="920" spans="1:8" ht="12.75">
      <c r="A920" s="24" t="s">
        <v>2668</v>
      </c>
      <c r="B920" s="14" t="s">
        <v>2725</v>
      </c>
      <c r="C920" s="792">
        <v>42.21649484536082</v>
      </c>
      <c r="D920" s="18" t="s">
        <v>2658</v>
      </c>
      <c r="E920" s="12">
        <v>5.0851930036188197E-3</v>
      </c>
      <c r="F920" s="12">
        <v>5.9995417730640897E-2</v>
      </c>
      <c r="G920" s="12">
        <v>3.4699999999999998E-4</v>
      </c>
      <c r="H920" s="12">
        <v>2.9762429672480995E-4</v>
      </c>
    </row>
    <row r="921" spans="1:8" ht="12.75">
      <c r="A921" s="24" t="s">
        <v>2668</v>
      </c>
      <c r="B921" s="14" t="s">
        <v>2725</v>
      </c>
      <c r="C921" s="796">
        <v>29.648</v>
      </c>
      <c r="D921" s="456" t="s">
        <v>72</v>
      </c>
      <c r="E921" s="457">
        <v>0</v>
      </c>
      <c r="F921" s="457">
        <v>0</v>
      </c>
      <c r="G921" s="457">
        <v>0</v>
      </c>
      <c r="H921" s="457">
        <v>0</v>
      </c>
    </row>
    <row r="922" spans="1:8" ht="12.75">
      <c r="A922" s="24" t="s">
        <v>2668</v>
      </c>
      <c r="B922" s="14" t="s">
        <v>2725</v>
      </c>
      <c r="C922" s="792">
        <v>3.6185567010309274</v>
      </c>
      <c r="D922" s="18" t="s">
        <v>2726</v>
      </c>
      <c r="E922" s="12">
        <v>2.9691872042618299E-2</v>
      </c>
      <c r="F922" s="12">
        <v>7.5368545517799299E-2</v>
      </c>
      <c r="G922" s="12">
        <v>2.9014018691588786E-4</v>
      </c>
      <c r="H922" s="12">
        <v>1.4770983615231311E-3</v>
      </c>
    </row>
    <row r="923" spans="1:8" ht="12.75">
      <c r="A923" s="24" t="s">
        <v>2668</v>
      </c>
      <c r="B923" s="14" t="s">
        <v>2725</v>
      </c>
      <c r="C923" s="792" t="s">
        <v>1666</v>
      </c>
      <c r="D923" s="18" t="s">
        <v>1666</v>
      </c>
      <c r="E923" s="454" t="s">
        <v>1666</v>
      </c>
      <c r="F923" s="454" t="s">
        <v>1666</v>
      </c>
      <c r="G923" s="454" t="s">
        <v>1666</v>
      </c>
      <c r="H923" s="454" t="s">
        <v>1666</v>
      </c>
    </row>
    <row r="924" spans="1:8" ht="12.75">
      <c r="A924" s="24" t="s">
        <v>2668</v>
      </c>
      <c r="B924" s="14" t="s">
        <v>2725</v>
      </c>
      <c r="C924" s="792">
        <v>0.8041237113402061</v>
      </c>
      <c r="D924" s="18" t="s">
        <v>332</v>
      </c>
      <c r="E924" s="12">
        <v>2.3E-3</v>
      </c>
      <c r="F924" s="12">
        <v>4.7879999999999999E-2</v>
      </c>
      <c r="G924" s="12">
        <v>9.9999999999999995E-7</v>
      </c>
      <c r="H924" s="12">
        <v>4.4092488403675551E-4</v>
      </c>
    </row>
    <row r="925" spans="1:8" ht="12.75">
      <c r="A925" s="24" t="s">
        <v>2668</v>
      </c>
      <c r="B925" s="14" t="s">
        <v>2725</v>
      </c>
      <c r="C925" s="792">
        <v>44.745030927835046</v>
      </c>
      <c r="D925" s="18" t="s">
        <v>2727</v>
      </c>
      <c r="E925" s="12">
        <v>3.1468479298981202E-3</v>
      </c>
      <c r="F925" s="12">
        <v>0.16906375764329037</v>
      </c>
      <c r="G925" s="12">
        <v>9.759036144578314E-5</v>
      </c>
      <c r="H925" s="12">
        <v>7.171669800597832E-4</v>
      </c>
    </row>
    <row r="926" spans="1:8" ht="12.75">
      <c r="A926" s="24" t="s">
        <v>2668</v>
      </c>
      <c r="B926" s="14" t="s">
        <v>2725</v>
      </c>
      <c r="C926" s="792">
        <v>1.3402061855670102</v>
      </c>
      <c r="D926" s="18" t="s">
        <v>83</v>
      </c>
      <c r="E926" s="12">
        <v>0</v>
      </c>
      <c r="F926" s="12">
        <v>0</v>
      </c>
      <c r="G926" s="12">
        <v>0</v>
      </c>
      <c r="H926" s="12">
        <v>0</v>
      </c>
    </row>
    <row r="927" spans="1:8" ht="12.75">
      <c r="A927" s="24" t="s">
        <v>2668</v>
      </c>
      <c r="B927" s="14" t="s">
        <v>2725</v>
      </c>
      <c r="C927" s="792">
        <v>1.3402061855670102</v>
      </c>
      <c r="D927" s="18" t="s">
        <v>433</v>
      </c>
      <c r="E927" s="12">
        <v>3.0104466724907065E-4</v>
      </c>
      <c r="F927" s="12">
        <v>1.2500000000000001E-2</v>
      </c>
      <c r="G927" s="12">
        <v>5.1818181818181835E-4</v>
      </c>
      <c r="H927" s="12">
        <v>4.0084080366977777E-4</v>
      </c>
    </row>
    <row r="928" spans="1:8" ht="12.75">
      <c r="A928" s="24" t="s">
        <v>2668</v>
      </c>
      <c r="B928" s="14" t="s">
        <v>2725</v>
      </c>
      <c r="C928" s="792">
        <v>1.3402061855670102</v>
      </c>
      <c r="D928" s="18" t="s">
        <v>86</v>
      </c>
      <c r="E928" s="12">
        <v>0</v>
      </c>
      <c r="F928" s="12">
        <v>0</v>
      </c>
      <c r="G928" s="12">
        <v>0</v>
      </c>
      <c r="H928" s="12">
        <v>0</v>
      </c>
    </row>
    <row r="929" spans="1:8" ht="12.75">
      <c r="A929" s="24" t="s">
        <v>2668</v>
      </c>
      <c r="B929" s="14" t="s">
        <v>2725</v>
      </c>
      <c r="C929" s="792">
        <v>1.1391752577319587</v>
      </c>
      <c r="D929" s="18" t="s">
        <v>432</v>
      </c>
      <c r="E929" s="12">
        <v>2.2558902713754649E-4</v>
      </c>
      <c r="F929" s="12">
        <v>9.3669250645994837E-3</v>
      </c>
      <c r="G929" s="12">
        <v>3.8830162085976054E-4</v>
      </c>
      <c r="H929" s="12">
        <v>3.0037166166469137E-4</v>
      </c>
    </row>
    <row r="930" spans="1:8" ht="12.75">
      <c r="A930" s="24" t="s">
        <v>2668</v>
      </c>
      <c r="B930" s="14" t="s">
        <v>2725</v>
      </c>
      <c r="C930" s="792" t="s">
        <v>1666</v>
      </c>
      <c r="D930" s="18" t="s">
        <v>1666</v>
      </c>
      <c r="E930" s="454" t="s">
        <v>1666</v>
      </c>
      <c r="F930" s="454" t="s">
        <v>1666</v>
      </c>
      <c r="G930" s="454" t="s">
        <v>1666</v>
      </c>
      <c r="H930" s="454" t="s">
        <v>1666</v>
      </c>
    </row>
    <row r="931" spans="1:8" ht="12.75">
      <c r="A931" s="24" t="s">
        <v>2668</v>
      </c>
      <c r="B931" s="14" t="s">
        <v>2725</v>
      </c>
      <c r="C931" s="792" t="s">
        <v>1666</v>
      </c>
      <c r="D931" s="18" t="s">
        <v>1666</v>
      </c>
      <c r="E931" s="454" t="s">
        <v>1666</v>
      </c>
      <c r="F931" s="454" t="s">
        <v>1666</v>
      </c>
      <c r="G931" s="454" t="s">
        <v>1666</v>
      </c>
      <c r="H931" s="454" t="s">
        <v>1666</v>
      </c>
    </row>
    <row r="932" spans="1:8" ht="12.75">
      <c r="A932" s="24" t="s">
        <v>2668</v>
      </c>
      <c r="B932" s="14" t="s">
        <v>2725</v>
      </c>
      <c r="C932" s="792">
        <v>2.6879999999999997</v>
      </c>
      <c r="D932" s="18" t="s">
        <v>2525</v>
      </c>
      <c r="E932" s="12">
        <v>3.8102374934982654E-3</v>
      </c>
      <c r="F932" s="12">
        <v>0.20470422547079484</v>
      </c>
      <c r="G932" s="12">
        <v>1.210810810810811E-4</v>
      </c>
      <c r="H932" s="12">
        <v>1.0002400855855065E-3</v>
      </c>
    </row>
    <row r="933" spans="1:8" ht="12.75">
      <c r="A933" s="794" t="s">
        <v>2668</v>
      </c>
      <c r="B933" s="617" t="s">
        <v>2725</v>
      </c>
      <c r="C933" s="455">
        <v>0.76800000000000002</v>
      </c>
      <c r="D933" s="793" t="s">
        <v>81</v>
      </c>
      <c r="E933" s="635">
        <v>1.9912385503783353E-2</v>
      </c>
      <c r="F933" s="635">
        <v>5.6949422540820388E-2</v>
      </c>
      <c r="G933" s="635">
        <v>3.8829151732377542E-3</v>
      </c>
      <c r="H933" s="635">
        <v>5.6321186778176026E-3</v>
      </c>
    </row>
    <row r="934" spans="1:8" ht="12.75">
      <c r="A934" s="24" t="s">
        <v>2668</v>
      </c>
      <c r="B934" s="14" t="s">
        <v>2728</v>
      </c>
      <c r="C934" s="792">
        <v>91.742596298567008</v>
      </c>
      <c r="D934" s="18" t="s">
        <v>2596</v>
      </c>
      <c r="E934" s="12">
        <v>5.5636766460262456E-4</v>
      </c>
      <c r="F934" s="12">
        <v>1.354456626711356E-2</v>
      </c>
      <c r="G934" s="12">
        <v>7.0283975659229207E-5</v>
      </c>
      <c r="H934" s="12">
        <v>7.0431572008113595E-4</v>
      </c>
    </row>
    <row r="935" spans="1:8" ht="12.75">
      <c r="A935" s="24" t="s">
        <v>2668</v>
      </c>
      <c r="B935" s="14" t="s">
        <v>2728</v>
      </c>
      <c r="C935" s="792">
        <v>4.9458730654492218</v>
      </c>
      <c r="D935" s="18" t="s">
        <v>2729</v>
      </c>
      <c r="E935" s="12">
        <v>2.9691872042618299E-2</v>
      </c>
      <c r="F935" s="12">
        <v>7.5368545517799299E-2</v>
      </c>
      <c r="G935" s="12">
        <v>2.9014018691588786E-4</v>
      </c>
      <c r="H935" s="12">
        <v>1.4770983615231311E-3</v>
      </c>
    </row>
    <row r="936" spans="1:8" ht="12.75">
      <c r="A936" s="24" t="s">
        <v>2668</v>
      </c>
      <c r="B936" s="14" t="s">
        <v>2728</v>
      </c>
      <c r="C936" s="792">
        <v>1.4918312183572979</v>
      </c>
      <c r="D936" s="18" t="s">
        <v>340</v>
      </c>
      <c r="E936" s="12">
        <v>2.1708241661196198E-2</v>
      </c>
      <c r="F936" s="12">
        <v>0.36572952458380198</v>
      </c>
      <c r="G936" s="12">
        <v>4.6350652173913045E-4</v>
      </c>
      <c r="H936" s="12">
        <v>1.6975608035415088E-3</v>
      </c>
    </row>
    <row r="937" spans="1:8" ht="12.75">
      <c r="A937" s="24" t="s">
        <v>2668</v>
      </c>
      <c r="B937" s="14" t="s">
        <v>2728</v>
      </c>
      <c r="C937" s="792" t="s">
        <v>1666</v>
      </c>
      <c r="D937" s="18" t="s">
        <v>1666</v>
      </c>
      <c r="E937" s="454" t="s">
        <v>1666</v>
      </c>
      <c r="F937" s="454" t="s">
        <v>1666</v>
      </c>
      <c r="G937" s="454" t="s">
        <v>1666</v>
      </c>
      <c r="H937" s="454" t="s">
        <v>1666</v>
      </c>
    </row>
    <row r="938" spans="1:8" ht="12.75">
      <c r="A938" s="24" t="s">
        <v>2668</v>
      </c>
      <c r="B938" s="14" t="s">
        <v>2728</v>
      </c>
      <c r="C938" s="792">
        <v>0.42173560421735606</v>
      </c>
      <c r="D938" s="18" t="s">
        <v>321</v>
      </c>
      <c r="E938" s="12">
        <v>5.2419900086202897E-2</v>
      </c>
      <c r="F938" s="12">
        <v>2.8162483479607547</v>
      </c>
      <c r="G938" s="12">
        <v>1.6256511627906977E-3</v>
      </c>
      <c r="H938" s="12">
        <v>1.194650084062842E-2</v>
      </c>
    </row>
    <row r="939" spans="1:8" ht="12.75">
      <c r="A939" s="24" t="s">
        <v>2668</v>
      </c>
      <c r="B939" s="14" t="s">
        <v>2728</v>
      </c>
      <c r="C939" s="792">
        <v>0.42173560421735606</v>
      </c>
      <c r="D939" s="18" t="s">
        <v>332</v>
      </c>
      <c r="E939" s="12">
        <v>2.3E-3</v>
      </c>
      <c r="F939" s="12">
        <v>4.7879999999999999E-2</v>
      </c>
      <c r="G939" s="12">
        <v>9.9999999999999995E-7</v>
      </c>
      <c r="H939" s="12">
        <v>4.4092488403675551E-4</v>
      </c>
    </row>
    <row r="940" spans="1:8" ht="12.75">
      <c r="A940" s="24" t="s">
        <v>2668</v>
      </c>
      <c r="B940" s="14" t="s">
        <v>2728</v>
      </c>
      <c r="C940" s="792" t="s">
        <v>1666</v>
      </c>
      <c r="D940" s="18" t="s">
        <v>1666</v>
      </c>
      <c r="E940" s="454" t="s">
        <v>1666</v>
      </c>
      <c r="F940" s="454" t="s">
        <v>1666</v>
      </c>
      <c r="G940" s="454" t="s">
        <v>1666</v>
      </c>
      <c r="H940" s="454" t="s">
        <v>1666</v>
      </c>
    </row>
    <row r="941" spans="1:8" ht="12.75">
      <c r="A941" s="24" t="s">
        <v>2668</v>
      </c>
      <c r="B941" s="14" t="s">
        <v>2728</v>
      </c>
      <c r="C941" s="792" t="s">
        <v>1666</v>
      </c>
      <c r="D941" s="18" t="s">
        <v>1666</v>
      </c>
      <c r="E941" s="454" t="s">
        <v>1666</v>
      </c>
      <c r="F941" s="454" t="s">
        <v>1666</v>
      </c>
      <c r="G941" s="454" t="s">
        <v>1666</v>
      </c>
      <c r="H941" s="454" t="s">
        <v>1666</v>
      </c>
    </row>
    <row r="942" spans="1:8" ht="12.75">
      <c r="A942" s="24" t="s">
        <v>2668</v>
      </c>
      <c r="B942" s="14" t="s">
        <v>2728</v>
      </c>
      <c r="C942" s="792">
        <v>0.22662440570522979</v>
      </c>
      <c r="D942" s="18" t="s">
        <v>350</v>
      </c>
      <c r="E942" s="12">
        <v>7.6923076923076919E-3</v>
      </c>
      <c r="F942" s="12">
        <v>0.183</v>
      </c>
      <c r="G942" s="12">
        <v>2.8673068893528183E-4</v>
      </c>
      <c r="H942" s="12">
        <v>1.4770983615231311E-3</v>
      </c>
    </row>
    <row r="943" spans="1:8" ht="12.75">
      <c r="A943" s="24" t="s">
        <v>2668</v>
      </c>
      <c r="B943" s="14" t="s">
        <v>2728</v>
      </c>
      <c r="C943" s="792" t="s">
        <v>1666</v>
      </c>
      <c r="D943" s="18" t="s">
        <v>1666</v>
      </c>
      <c r="E943" s="454" t="s">
        <v>1666</v>
      </c>
      <c r="F943" s="454" t="s">
        <v>1666</v>
      </c>
      <c r="G943" s="454" t="s">
        <v>1666</v>
      </c>
      <c r="H943" s="454" t="s">
        <v>1666</v>
      </c>
    </row>
    <row r="944" spans="1:8" ht="12.75">
      <c r="A944" s="24" t="s">
        <v>2668</v>
      </c>
      <c r="B944" s="14" t="s">
        <v>2728</v>
      </c>
      <c r="C944" s="792" t="s">
        <v>1666</v>
      </c>
      <c r="D944" s="18" t="s">
        <v>1666</v>
      </c>
      <c r="E944" s="454" t="s">
        <v>1666</v>
      </c>
      <c r="F944" s="454" t="s">
        <v>1666</v>
      </c>
      <c r="G944" s="454" t="s">
        <v>1666</v>
      </c>
      <c r="H944" s="454" t="s">
        <v>1666</v>
      </c>
    </row>
    <row r="945" spans="1:8" ht="12.75">
      <c r="A945" s="24" t="s">
        <v>2668</v>
      </c>
      <c r="B945" s="14" t="s">
        <v>2728</v>
      </c>
      <c r="C945" s="792">
        <v>0.22662440570522979</v>
      </c>
      <c r="D945" s="18" t="s">
        <v>324</v>
      </c>
      <c r="E945" s="12">
        <v>1.0652903141570055E-3</v>
      </c>
      <c r="F945" s="12">
        <v>1.7273631840796021E-2</v>
      </c>
      <c r="G945" s="12">
        <v>1.3582399999999999E-4</v>
      </c>
      <c r="H945" s="12">
        <v>2.14E-3</v>
      </c>
    </row>
    <row r="946" spans="1:8" ht="12.75">
      <c r="A946" s="24" t="s">
        <v>2668</v>
      </c>
      <c r="B946" s="14" t="s">
        <v>2728</v>
      </c>
      <c r="C946" s="792">
        <v>0.17432646592709986</v>
      </c>
      <c r="D946" s="18" t="s">
        <v>2526</v>
      </c>
      <c r="E946" s="12">
        <v>5.0851930036188197E-3</v>
      </c>
      <c r="F946" s="12">
        <v>5.9995417730640897E-2</v>
      </c>
      <c r="G946" s="12">
        <v>3.4699999999999998E-4</v>
      </c>
      <c r="H946" s="12">
        <v>2.9762429672480995E-4</v>
      </c>
    </row>
    <row r="947" spans="1:8" ht="12.75">
      <c r="A947" s="24" t="s">
        <v>2668</v>
      </c>
      <c r="B947" s="14" t="s">
        <v>2728</v>
      </c>
      <c r="C947" s="792">
        <v>0.17432646592709986</v>
      </c>
      <c r="D947" s="18" t="s">
        <v>1124</v>
      </c>
      <c r="E947" s="12">
        <v>2.38916680630451E-3</v>
      </c>
      <c r="F947" s="12">
        <v>0.16192713668914901</v>
      </c>
      <c r="G947" s="12">
        <v>4.8714285714285716E-4</v>
      </c>
      <c r="H947" s="12">
        <v>2.358948129596642E-3</v>
      </c>
    </row>
    <row r="948" spans="1:8" ht="12.75">
      <c r="A948" s="794" t="s">
        <v>2668</v>
      </c>
      <c r="B948" s="617" t="s">
        <v>2728</v>
      </c>
      <c r="C948" s="455">
        <v>0.17432646592709986</v>
      </c>
      <c r="D948" s="793" t="s">
        <v>227</v>
      </c>
      <c r="E948" s="635">
        <v>2.5055367220000002E-3</v>
      </c>
      <c r="F948" s="635">
        <v>3.8459841414181101E-2</v>
      </c>
      <c r="G948" s="635">
        <v>1.1035422343324251E-4</v>
      </c>
      <c r="H948" s="635">
        <v>8.109653861711444E-4</v>
      </c>
    </row>
    <row r="949" spans="1:8" ht="12.75">
      <c r="A949" s="13" t="s">
        <v>2668</v>
      </c>
      <c r="B949" s="14" t="s">
        <v>2730</v>
      </c>
      <c r="C949" s="792">
        <v>92.829081872776214</v>
      </c>
      <c r="D949" s="18" t="s">
        <v>2731</v>
      </c>
      <c r="E949" s="12">
        <v>5.5636766460262456E-4</v>
      </c>
      <c r="F949" s="12">
        <v>1.354456626711356E-2</v>
      </c>
      <c r="G949" s="12">
        <v>7.0283975659229207E-5</v>
      </c>
      <c r="H949" s="12">
        <v>7.0431572008113595E-4</v>
      </c>
    </row>
    <row r="950" spans="1:8" ht="12.75">
      <c r="A950" s="13" t="s">
        <v>2668</v>
      </c>
      <c r="B950" s="14" t="s">
        <v>2730</v>
      </c>
      <c r="C950" s="792" t="s">
        <v>1666</v>
      </c>
      <c r="D950" s="18" t="s">
        <v>1666</v>
      </c>
      <c r="E950" s="454" t="s">
        <v>1666</v>
      </c>
      <c r="F950" s="454" t="s">
        <v>1666</v>
      </c>
      <c r="G950" s="454" t="s">
        <v>1666</v>
      </c>
      <c r="H950" s="454" t="s">
        <v>1666</v>
      </c>
    </row>
    <row r="951" spans="1:8" ht="12.75">
      <c r="A951" s="24" t="s">
        <v>2668</v>
      </c>
      <c r="B951" s="14" t="s">
        <v>2730</v>
      </c>
      <c r="C951" s="792" t="s">
        <v>1666</v>
      </c>
      <c r="D951" s="18" t="s">
        <v>1666</v>
      </c>
      <c r="E951" s="454" t="s">
        <v>1666</v>
      </c>
      <c r="F951" s="454" t="s">
        <v>1666</v>
      </c>
      <c r="G951" s="454" t="s">
        <v>1666</v>
      </c>
      <c r="H951" s="454" t="s">
        <v>1666</v>
      </c>
    </row>
    <row r="952" spans="1:8" ht="12.75">
      <c r="A952" s="24" t="s">
        <v>2668</v>
      </c>
      <c r="B952" s="14" t="s">
        <v>2730</v>
      </c>
      <c r="C952" s="792">
        <v>2.9755831246823168</v>
      </c>
      <c r="D952" s="18" t="s">
        <v>2545</v>
      </c>
      <c r="E952" s="12">
        <v>6.0179999999999999E-3</v>
      </c>
      <c r="F952" s="23">
        <v>1.7694000000000001E-2</v>
      </c>
      <c r="G952" s="12">
        <v>1.17966E-4</v>
      </c>
      <c r="H952" s="12">
        <v>1.1100000000000001E-3</v>
      </c>
    </row>
    <row r="953" spans="1:8" ht="12.75">
      <c r="A953" s="24" t="s">
        <v>2668</v>
      </c>
      <c r="B953" s="14" t="s">
        <v>2730</v>
      </c>
      <c r="C953" s="792">
        <v>1.4877915623411584</v>
      </c>
      <c r="D953" s="18" t="s">
        <v>2717</v>
      </c>
      <c r="E953" s="12">
        <v>4.7583080568720385E-3</v>
      </c>
      <c r="F953" s="12">
        <v>1.399027962085308E-2</v>
      </c>
      <c r="G953" s="12">
        <v>9.3273274881516596E-5</v>
      </c>
      <c r="H953" s="12">
        <v>8.7765402843601901E-4</v>
      </c>
    </row>
    <row r="954" spans="1:8" ht="12.75">
      <c r="A954" s="24" t="s">
        <v>2668</v>
      </c>
      <c r="B954" s="14" t="s">
        <v>2730</v>
      </c>
      <c r="C954" s="792">
        <v>0.40179596754456964</v>
      </c>
      <c r="D954" s="18" t="s">
        <v>346</v>
      </c>
      <c r="E954" s="12">
        <v>2.9691872042618299E-2</v>
      </c>
      <c r="F954" s="12">
        <v>7.5368545517799299E-2</v>
      </c>
      <c r="G954" s="12">
        <v>2.9014018691588786E-4</v>
      </c>
      <c r="H954" s="12">
        <v>1.4770983615231311E-3</v>
      </c>
    </row>
    <row r="955" spans="1:8" ht="12.75">
      <c r="A955" s="24" t="s">
        <v>2668</v>
      </c>
      <c r="B955" s="14" t="s">
        <v>2730</v>
      </c>
      <c r="C955" s="792">
        <v>0.14232195636213027</v>
      </c>
      <c r="D955" s="18" t="s">
        <v>332</v>
      </c>
      <c r="E955" s="12">
        <v>2.3E-3</v>
      </c>
      <c r="F955" s="12">
        <v>4.7879999999999999E-2</v>
      </c>
      <c r="G955" s="12">
        <v>9.9999999999999995E-7</v>
      </c>
      <c r="H955" s="12">
        <v>4.4092488403675551E-4</v>
      </c>
    </row>
    <row r="956" spans="1:8" ht="12.75">
      <c r="A956" s="24" t="s">
        <v>2668</v>
      </c>
      <c r="B956" s="14" t="s">
        <v>2730</v>
      </c>
      <c r="C956" s="792">
        <v>0.14232195636213027</v>
      </c>
      <c r="D956" s="18" t="s">
        <v>340</v>
      </c>
      <c r="E956" s="12">
        <v>2.1708241661196198E-2</v>
      </c>
      <c r="F956" s="12">
        <v>0.36572952458380198</v>
      </c>
      <c r="G956" s="12">
        <v>4.6350652173913045E-4</v>
      </c>
      <c r="H956" s="12">
        <v>1.6975608035415088E-3</v>
      </c>
    </row>
    <row r="957" spans="1:8" ht="12.75">
      <c r="A957" s="24" t="s">
        <v>2668</v>
      </c>
      <c r="B957" s="14" t="s">
        <v>2730</v>
      </c>
      <c r="C957" s="792">
        <v>7.906775353451681E-2</v>
      </c>
      <c r="D957" s="18" t="s">
        <v>1370</v>
      </c>
      <c r="E957" s="12">
        <v>1.7000000000000001E-2</v>
      </c>
      <c r="F957" s="12">
        <v>3.15E-2</v>
      </c>
      <c r="G957" s="12">
        <v>9.9999999999999995E-7</v>
      </c>
      <c r="H957" s="12">
        <v>9.0389601227534877E-4</v>
      </c>
    </row>
    <row r="958" spans="1:8" ht="12.75">
      <c r="A958" s="24" t="s">
        <v>2668</v>
      </c>
      <c r="B958" s="14" t="s">
        <v>2730</v>
      </c>
      <c r="C958" s="792">
        <v>7.9067753534516824E-3</v>
      </c>
      <c r="D958" s="18" t="s">
        <v>343</v>
      </c>
      <c r="E958" s="12">
        <v>2.9691872042618299E-2</v>
      </c>
      <c r="F958" s="12">
        <v>7.5368545517799299E-2</v>
      </c>
      <c r="G958" s="12">
        <v>2.9014018691588786E-4</v>
      </c>
      <c r="H958" s="12">
        <v>1.4770983615231311E-3</v>
      </c>
    </row>
    <row r="959" spans="1:8" ht="12.75">
      <c r="A959" s="24" t="s">
        <v>2668</v>
      </c>
      <c r="B959" s="14" t="s">
        <v>2730</v>
      </c>
      <c r="C959" s="810">
        <v>0.26549811198940659</v>
      </c>
      <c r="D959" s="811" t="s">
        <v>72</v>
      </c>
      <c r="E959" s="457">
        <v>0</v>
      </c>
      <c r="F959" s="457">
        <v>0</v>
      </c>
      <c r="G959" s="457">
        <v>0</v>
      </c>
      <c r="H959" s="457">
        <v>0</v>
      </c>
    </row>
    <row r="960" spans="1:8" ht="12.75">
      <c r="A960" s="24" t="s">
        <v>2668</v>
      </c>
      <c r="B960" s="14" t="s">
        <v>2730</v>
      </c>
      <c r="C960" s="792">
        <v>0.29755831246823161</v>
      </c>
      <c r="D960" s="18" t="s">
        <v>2528</v>
      </c>
      <c r="E960" s="12">
        <v>5.5280749052132698E-2</v>
      </c>
      <c r="F960" s="12">
        <v>0.16253532298578199</v>
      </c>
      <c r="G960" s="12">
        <v>1.0836239353080568E-3</v>
      </c>
      <c r="H960" s="12">
        <v>1.0196349526066351E-2</v>
      </c>
    </row>
    <row r="961" spans="1:8" ht="12.75">
      <c r="A961" s="24" t="s">
        <v>2668</v>
      </c>
      <c r="B961" s="14" t="s">
        <v>2730</v>
      </c>
      <c r="C961" s="792" t="s">
        <v>1666</v>
      </c>
      <c r="D961" s="18" t="s">
        <v>1666</v>
      </c>
      <c r="E961" s="454" t="s">
        <v>1666</v>
      </c>
      <c r="F961" s="454" t="s">
        <v>1666</v>
      </c>
      <c r="G961" s="454" t="s">
        <v>1666</v>
      </c>
      <c r="H961" s="454" t="s">
        <v>1666</v>
      </c>
    </row>
    <row r="962" spans="1:8" ht="12.75">
      <c r="A962" s="24" t="s">
        <v>2668</v>
      </c>
      <c r="B962" s="14" t="s">
        <v>2730</v>
      </c>
      <c r="C962" s="792">
        <v>0.14877915623411581</v>
      </c>
      <c r="D962" s="18" t="s">
        <v>324</v>
      </c>
      <c r="E962" s="12">
        <v>1.0652903141570055E-3</v>
      </c>
      <c r="F962" s="12">
        <v>1.7273631840796021E-2</v>
      </c>
      <c r="G962" s="12">
        <v>1.3582399999999999E-4</v>
      </c>
      <c r="H962" s="12">
        <v>2.14E-3</v>
      </c>
    </row>
    <row r="963" spans="1:8" ht="12.75">
      <c r="A963" s="24" t="s">
        <v>2668</v>
      </c>
      <c r="B963" s="14" t="s">
        <v>2730</v>
      </c>
      <c r="C963" s="792">
        <v>0.29755831246823161</v>
      </c>
      <c r="D963" s="18" t="s">
        <v>425</v>
      </c>
      <c r="E963" s="12">
        <v>3.8102374934982654E-3</v>
      </c>
      <c r="F963" s="12">
        <v>0.20470422547079484</v>
      </c>
      <c r="G963" s="12">
        <v>1.210810810810811E-4</v>
      </c>
      <c r="H963" s="12">
        <v>1.0002400855855065E-3</v>
      </c>
    </row>
    <row r="964" spans="1:8" ht="12.75">
      <c r="A964" s="24" t="s">
        <v>2668</v>
      </c>
      <c r="B964" s="14" t="s">
        <v>2730</v>
      </c>
      <c r="C964" s="792">
        <v>0.29755831246823161</v>
      </c>
      <c r="D964" s="18" t="s">
        <v>2523</v>
      </c>
      <c r="E964" s="12">
        <v>4.1127278199052132E-2</v>
      </c>
      <c r="F964" s="12">
        <v>0.12092157867298578</v>
      </c>
      <c r="G964" s="12">
        <v>8.0618486208530824E-4</v>
      </c>
      <c r="H964" s="12">
        <v>7.5857890995260661E-3</v>
      </c>
    </row>
    <row r="965" spans="1:8" ht="12.75">
      <c r="A965" s="24" t="s">
        <v>2668</v>
      </c>
      <c r="B965" s="14" t="s">
        <v>2730</v>
      </c>
      <c r="C965" s="792">
        <v>0.29755831246823161</v>
      </c>
      <c r="D965" s="18" t="s">
        <v>2732</v>
      </c>
      <c r="E965" s="12">
        <v>1.5483515402843602E-2</v>
      </c>
      <c r="F965" s="12">
        <v>4.5524313981042654E-2</v>
      </c>
      <c r="G965" s="12">
        <v>3.0351086374407588E-4</v>
      </c>
      <c r="H965" s="12">
        <v>2.8558827014218014E-3</v>
      </c>
    </row>
    <row r="966" spans="1:8" ht="12.75">
      <c r="A966" s="24" t="s">
        <v>2668</v>
      </c>
      <c r="B966" s="14" t="s">
        <v>2730</v>
      </c>
      <c r="C966" s="792">
        <v>0.14877915623411581</v>
      </c>
      <c r="D966" s="18" t="s">
        <v>2733</v>
      </c>
      <c r="E966" s="12">
        <v>9.6087130421459947E-3</v>
      </c>
      <c r="F966" s="12">
        <v>0.16691911148384272</v>
      </c>
      <c r="G966" s="12">
        <v>1.5345345345345343E-4</v>
      </c>
      <c r="H966" s="12">
        <v>3.6247130630630633E-3</v>
      </c>
    </row>
    <row r="967" spans="1:8" ht="12.75">
      <c r="A967" s="24" t="s">
        <v>2668</v>
      </c>
      <c r="B967" s="14" t="s">
        <v>2730</v>
      </c>
      <c r="C967" s="792">
        <v>0.14877915623411581</v>
      </c>
      <c r="D967" s="18" t="s">
        <v>465</v>
      </c>
      <c r="E967" s="12">
        <v>3.5869956401399267E-3</v>
      </c>
      <c r="F967" s="12">
        <v>5.9424698083949859E-2</v>
      </c>
      <c r="G967" s="12">
        <v>2.0682712335107616E-4</v>
      </c>
      <c r="H967" s="12">
        <v>2.4206091537452754E-3</v>
      </c>
    </row>
    <row r="968" spans="1:8" ht="12.75">
      <c r="A968" s="24" t="s">
        <v>2668</v>
      </c>
      <c r="B968" s="14" t="s">
        <v>2730</v>
      </c>
      <c r="C968" s="792">
        <v>0.14877915623411581</v>
      </c>
      <c r="D968" s="18" t="s">
        <v>2584</v>
      </c>
      <c r="E968" s="12">
        <v>4.7754773653722405E-4</v>
      </c>
      <c r="F968" s="12">
        <v>9.9048845026103102E-3</v>
      </c>
      <c r="G968" s="12">
        <v>1.1598405219282348E-5</v>
      </c>
      <c r="H968" s="12">
        <v>9.908404494382022E-5</v>
      </c>
    </row>
    <row r="969" spans="1:8" ht="12.75">
      <c r="A969" s="794" t="s">
        <v>2668</v>
      </c>
      <c r="B969" s="617" t="s">
        <v>2730</v>
      </c>
      <c r="C969" s="455">
        <v>0.14877915623411581</v>
      </c>
      <c r="D969" s="793" t="s">
        <v>2734</v>
      </c>
      <c r="E969" s="635">
        <v>1.42078990521327E-2</v>
      </c>
      <c r="F969" s="635">
        <v>4.1773772985781985E-2</v>
      </c>
      <c r="G969" s="635">
        <v>2.785059853080569E-4</v>
      </c>
      <c r="H969" s="635">
        <v>2.6205995260663506E-3</v>
      </c>
    </row>
    <row r="970" spans="1:8" ht="12.75">
      <c r="A970" s="24" t="s">
        <v>2668</v>
      </c>
      <c r="B970" s="14" t="s">
        <v>2735</v>
      </c>
      <c r="C970" s="792">
        <v>79.268292682926827</v>
      </c>
      <c r="D970" s="18" t="s">
        <v>2596</v>
      </c>
      <c r="E970" s="12">
        <v>5.5636766460262456E-4</v>
      </c>
      <c r="F970" s="12">
        <v>1.354456626711356E-2</v>
      </c>
      <c r="G970" s="12">
        <v>7.0283975659229207E-5</v>
      </c>
      <c r="H970" s="12">
        <v>7.0431572008113595E-4</v>
      </c>
    </row>
    <row r="971" spans="1:8" ht="12.75">
      <c r="A971" s="24" t="s">
        <v>2668</v>
      </c>
      <c r="B971" s="14" t="s">
        <v>2735</v>
      </c>
      <c r="C971" s="792">
        <v>3.0487804878048781</v>
      </c>
      <c r="D971" s="18" t="s">
        <v>350</v>
      </c>
      <c r="E971" s="12">
        <v>7.6923076923076919E-3</v>
      </c>
      <c r="F971" s="12">
        <v>0.183</v>
      </c>
      <c r="G971" s="12">
        <v>2.8673068893528183E-4</v>
      </c>
      <c r="H971" s="12">
        <v>1.4770983615231311E-3</v>
      </c>
    </row>
    <row r="972" spans="1:8" ht="12.75">
      <c r="A972" s="24" t="s">
        <v>2668</v>
      </c>
      <c r="B972" s="14" t="s">
        <v>2735</v>
      </c>
      <c r="C972" s="792">
        <v>3.0487804878048781</v>
      </c>
      <c r="D972" s="18" t="s">
        <v>2689</v>
      </c>
      <c r="E972" s="12">
        <v>5.2419900086202897E-2</v>
      </c>
      <c r="F972" s="12">
        <v>2.8162483479607547</v>
      </c>
      <c r="G972" s="12">
        <v>1.6256511627906977E-3</v>
      </c>
      <c r="H972" s="12">
        <v>1.194650084062842E-2</v>
      </c>
    </row>
    <row r="973" spans="1:8" ht="12.75">
      <c r="A973" s="24" t="s">
        <v>2668</v>
      </c>
      <c r="B973" s="14" t="s">
        <v>2735</v>
      </c>
      <c r="C973" s="792">
        <v>8.1300813008130088</v>
      </c>
      <c r="D973" s="18" t="s">
        <v>340</v>
      </c>
      <c r="E973" s="12">
        <v>2.1708241661196198E-2</v>
      </c>
      <c r="F973" s="12">
        <v>0.36572952458380198</v>
      </c>
      <c r="G973" s="12">
        <v>4.6350652173913045E-4</v>
      </c>
      <c r="H973" s="12">
        <v>1.6975608035415088E-3</v>
      </c>
    </row>
    <row r="974" spans="1:8" ht="12.75">
      <c r="A974" s="24" t="s">
        <v>2668</v>
      </c>
      <c r="B974" s="14" t="s">
        <v>2735</v>
      </c>
      <c r="C974" s="792">
        <v>0.4065040650406504</v>
      </c>
      <c r="D974" s="18" t="s">
        <v>433</v>
      </c>
      <c r="E974" s="12">
        <v>3.0104466724907065E-4</v>
      </c>
      <c r="F974" s="12">
        <v>1.2500000000000001E-2</v>
      </c>
      <c r="G974" s="12">
        <v>5.1818181818181835E-4</v>
      </c>
      <c r="H974" s="12">
        <v>4.0084080366977777E-4</v>
      </c>
    </row>
    <row r="975" spans="1:8" ht="12.75">
      <c r="A975" s="24" t="s">
        <v>2668</v>
      </c>
      <c r="B975" s="14" t="s">
        <v>2735</v>
      </c>
      <c r="C975" s="792">
        <v>0.4065040650406504</v>
      </c>
      <c r="D975" s="18" t="s">
        <v>83</v>
      </c>
      <c r="E975" s="12">
        <v>0</v>
      </c>
      <c r="F975" s="12">
        <v>0</v>
      </c>
      <c r="G975" s="12">
        <v>0</v>
      </c>
      <c r="H975" s="12">
        <v>0</v>
      </c>
    </row>
    <row r="976" spans="1:8" ht="12.75">
      <c r="A976" s="24" t="s">
        <v>2668</v>
      </c>
      <c r="B976" s="14" t="s">
        <v>2735</v>
      </c>
      <c r="C976" s="792">
        <v>0.4065040650406504</v>
      </c>
      <c r="D976" s="18" t="s">
        <v>2525</v>
      </c>
      <c r="E976" s="12">
        <v>3.8102374934982654E-3</v>
      </c>
      <c r="F976" s="12">
        <v>0.20470422547079484</v>
      </c>
      <c r="G976" s="12">
        <v>1.210810810810811E-4</v>
      </c>
      <c r="H976" s="12">
        <v>1.0002400855855065E-3</v>
      </c>
    </row>
    <row r="977" spans="1:8" ht="12.75">
      <c r="A977" s="24" t="s">
        <v>2668</v>
      </c>
      <c r="B977" s="14" t="s">
        <v>2735</v>
      </c>
      <c r="C977" s="792">
        <v>0.4065040650406504</v>
      </c>
      <c r="D977" s="18" t="s">
        <v>2662</v>
      </c>
      <c r="E977" s="12">
        <v>6.399192301960112E-3</v>
      </c>
      <c r="F977" s="12">
        <v>0.12411340117772937</v>
      </c>
      <c r="G977" s="12">
        <v>9.8749999999999988E-5</v>
      </c>
      <c r="H977" s="12">
        <v>3.8580927353216109E-4</v>
      </c>
    </row>
    <row r="978" spans="1:8" ht="12.75">
      <c r="A978" s="24" t="s">
        <v>2668</v>
      </c>
      <c r="B978" s="14" t="s">
        <v>2735</v>
      </c>
      <c r="C978" s="792">
        <v>0.4065040650406504</v>
      </c>
      <c r="D978" s="18" t="s">
        <v>2584</v>
      </c>
      <c r="E978" s="12">
        <v>4.7754773653722405E-4</v>
      </c>
      <c r="F978" s="12">
        <v>9.9048845026103102E-3</v>
      </c>
      <c r="G978" s="12">
        <v>1.1598405219282348E-5</v>
      </c>
      <c r="H978" s="12">
        <v>9.908404494382022E-5</v>
      </c>
    </row>
    <row r="979" spans="1:8" ht="12.75">
      <c r="A979" s="24" t="s">
        <v>2668</v>
      </c>
      <c r="B979" s="14" t="s">
        <v>2735</v>
      </c>
      <c r="C979" s="792">
        <v>1.0162601626016259</v>
      </c>
      <c r="D979" s="18" t="s">
        <v>86</v>
      </c>
      <c r="E979" s="12">
        <v>0</v>
      </c>
      <c r="F979" s="12">
        <v>0</v>
      </c>
      <c r="G979" s="12">
        <v>0</v>
      </c>
      <c r="H979" s="12">
        <v>0</v>
      </c>
    </row>
    <row r="980" spans="1:8" ht="12.75">
      <c r="A980" s="24" t="s">
        <v>2668</v>
      </c>
      <c r="B980" s="14" t="s">
        <v>2735</v>
      </c>
      <c r="C980" s="792">
        <v>0.2032520325203252</v>
      </c>
      <c r="D980" s="18" t="s">
        <v>432</v>
      </c>
      <c r="E980" s="12">
        <v>2.2558902713754649E-4</v>
      </c>
      <c r="F980" s="12">
        <v>9.3669250645994837E-3</v>
      </c>
      <c r="G980" s="12">
        <v>3.8830162085976054E-4</v>
      </c>
      <c r="H980" s="12">
        <v>3.0037166166469137E-4</v>
      </c>
    </row>
    <row r="981" spans="1:8" ht="12.75">
      <c r="A981" s="24" t="s">
        <v>2668</v>
      </c>
      <c r="B981" s="14" t="s">
        <v>2735</v>
      </c>
      <c r="C981" s="792">
        <v>0.4065040650406504</v>
      </c>
      <c r="D981" s="18" t="s">
        <v>465</v>
      </c>
      <c r="E981" s="12">
        <v>3.5869956401399267E-3</v>
      </c>
      <c r="F981" s="12">
        <v>5.9424698083949859E-2</v>
      </c>
      <c r="G981" s="12">
        <v>2.0682712335107616E-4</v>
      </c>
      <c r="H981" s="12">
        <v>2.4206091537452754E-3</v>
      </c>
    </row>
    <row r="982" spans="1:8" ht="12.75">
      <c r="A982" s="24" t="s">
        <v>2668</v>
      </c>
      <c r="B982" s="14" t="s">
        <v>2735</v>
      </c>
      <c r="C982" s="792">
        <v>0.4065040650406504</v>
      </c>
      <c r="D982" s="18" t="s">
        <v>2736</v>
      </c>
      <c r="E982" s="12">
        <v>4.8057057617005398E-4</v>
      </c>
      <c r="F982" s="12">
        <v>9.8776215197699697E-3</v>
      </c>
      <c r="G982" s="12">
        <v>6.3E-5</v>
      </c>
      <c r="H982" s="12">
        <v>2.4250819999999999E-4</v>
      </c>
    </row>
    <row r="983" spans="1:8" ht="12.75">
      <c r="A983" s="24" t="s">
        <v>2668</v>
      </c>
      <c r="B983" s="14" t="s">
        <v>2735</v>
      </c>
      <c r="C983" s="792">
        <v>0.81300813008130079</v>
      </c>
      <c r="D983" s="18" t="s">
        <v>2530</v>
      </c>
      <c r="E983" s="12">
        <v>2.5055367220000002E-3</v>
      </c>
      <c r="F983" s="12">
        <v>3.8459841414181101E-2</v>
      </c>
      <c r="G983" s="12">
        <v>1.1035422343324251E-4</v>
      </c>
      <c r="H983" s="12">
        <v>8.109653861711444E-4</v>
      </c>
    </row>
    <row r="984" spans="1:8" ht="12.75">
      <c r="A984" s="24" t="s">
        <v>2668</v>
      </c>
      <c r="B984" s="14" t="s">
        <v>2735</v>
      </c>
      <c r="C984" s="792" t="s">
        <v>1666</v>
      </c>
      <c r="D984" s="18" t="s">
        <v>1666</v>
      </c>
      <c r="E984" s="454" t="s">
        <v>1666</v>
      </c>
      <c r="F984" s="454" t="s">
        <v>1666</v>
      </c>
      <c r="G984" s="454" t="s">
        <v>1666</v>
      </c>
      <c r="H984" s="454" t="s">
        <v>1666</v>
      </c>
    </row>
    <row r="985" spans="1:8" ht="12.75">
      <c r="A985" s="24" t="s">
        <v>2668</v>
      </c>
      <c r="B985" s="14" t="s">
        <v>2735</v>
      </c>
      <c r="C985" s="792" t="s">
        <v>1666</v>
      </c>
      <c r="D985" s="18" t="s">
        <v>1666</v>
      </c>
      <c r="E985" s="454" t="s">
        <v>1666</v>
      </c>
      <c r="F985" s="454" t="s">
        <v>1666</v>
      </c>
      <c r="G985" s="454" t="s">
        <v>1666</v>
      </c>
      <c r="H985" s="454" t="s">
        <v>1666</v>
      </c>
    </row>
    <row r="986" spans="1:8" ht="12.75">
      <c r="A986" s="24" t="s">
        <v>2668</v>
      </c>
      <c r="B986" s="14" t="s">
        <v>2735</v>
      </c>
      <c r="C986" s="792">
        <v>0.4065040650406504</v>
      </c>
      <c r="D986" s="18" t="s">
        <v>2712</v>
      </c>
      <c r="E986" s="12">
        <v>4.0401172748815169E-2</v>
      </c>
      <c r="F986" s="12">
        <v>0.11878669834123222</v>
      </c>
      <c r="G986" s="12">
        <v>7.919516026066351E-4</v>
      </c>
      <c r="H986" s="12">
        <v>7.4518613744075819E-3</v>
      </c>
    </row>
    <row r="987" spans="1:8" ht="12.75">
      <c r="A987" s="24" t="s">
        <v>2668</v>
      </c>
      <c r="B987" s="14" t="s">
        <v>2735</v>
      </c>
      <c r="C987" s="792">
        <v>0.4065040650406504</v>
      </c>
      <c r="D987" s="18" t="s">
        <v>2661</v>
      </c>
      <c r="E987" s="12">
        <v>3.0177940758293843E-3</v>
      </c>
      <c r="F987" s="12">
        <v>8.8728561611374421E-3</v>
      </c>
      <c r="G987" s="12">
        <v>5.9155383175355464E-5</v>
      </c>
      <c r="H987" s="12">
        <v>5.56622037914692E-4</v>
      </c>
    </row>
    <row r="988" spans="1:8" ht="12.75">
      <c r="A988" s="24" t="s">
        <v>2668</v>
      </c>
      <c r="B988" s="14" t="s">
        <v>2735</v>
      </c>
      <c r="C988" s="792">
        <v>0.1016260162601626</v>
      </c>
      <c r="D988" s="18" t="s">
        <v>883</v>
      </c>
      <c r="E988" s="12">
        <v>4.8143999999999999E-2</v>
      </c>
      <c r="F988" s="12">
        <v>0.14155200000000001</v>
      </c>
      <c r="G988" s="12">
        <v>9.4372800000000001E-4</v>
      </c>
      <c r="H988" s="12">
        <v>8.8800000000000007E-3</v>
      </c>
    </row>
    <row r="989" spans="1:8" ht="12.75">
      <c r="A989" s="24" t="s">
        <v>2668</v>
      </c>
      <c r="B989" s="14" t="s">
        <v>2735</v>
      </c>
      <c r="C989" s="792">
        <v>0.1016260162601626</v>
      </c>
      <c r="D989" s="18" t="s">
        <v>346</v>
      </c>
      <c r="E989" s="12">
        <v>2.9691872042618299E-2</v>
      </c>
      <c r="F989" s="12">
        <v>7.5368545517799299E-2</v>
      </c>
      <c r="G989" s="12">
        <v>2.9014018691588786E-4</v>
      </c>
      <c r="H989" s="12">
        <v>1.4770983615231311E-3</v>
      </c>
    </row>
    <row r="990" spans="1:8" ht="12.75">
      <c r="A990" s="24" t="s">
        <v>2668</v>
      </c>
      <c r="B990" s="14" t="s">
        <v>2735</v>
      </c>
      <c r="C990" s="792">
        <v>0.1016260162601626</v>
      </c>
      <c r="D990" s="18" t="s">
        <v>324</v>
      </c>
      <c r="E990" s="12">
        <v>1.0652903141570055E-3</v>
      </c>
      <c r="F990" s="12">
        <v>1.7273631840796021E-2</v>
      </c>
      <c r="G990" s="12">
        <v>1.3582399999999999E-4</v>
      </c>
      <c r="H990" s="12">
        <v>2.14E-3</v>
      </c>
    </row>
    <row r="991" spans="1:8" ht="12.75">
      <c r="A991" s="24" t="s">
        <v>2668</v>
      </c>
      <c r="B991" s="14" t="s">
        <v>2735</v>
      </c>
      <c r="C991" s="792" t="s">
        <v>1666</v>
      </c>
      <c r="D991" s="18" t="s">
        <v>1666</v>
      </c>
      <c r="E991" s="454" t="s">
        <v>1666</v>
      </c>
      <c r="F991" s="454" t="s">
        <v>1666</v>
      </c>
      <c r="G991" s="454" t="s">
        <v>1666</v>
      </c>
      <c r="H991" s="454" t="s">
        <v>1666</v>
      </c>
    </row>
    <row r="992" spans="1:8" ht="12.75">
      <c r="A992" s="24" t="s">
        <v>2668</v>
      </c>
      <c r="B992" s="14" t="s">
        <v>2735</v>
      </c>
      <c r="C992" s="792">
        <v>0.2032520325203252</v>
      </c>
      <c r="D992" s="18" t="s">
        <v>92</v>
      </c>
      <c r="E992" s="12">
        <v>4.7583080568720385E-3</v>
      </c>
      <c r="F992" s="12">
        <v>1.399027962085308E-2</v>
      </c>
      <c r="G992" s="12">
        <v>9.3273274881516596E-5</v>
      </c>
      <c r="H992" s="12">
        <v>8.7765402843601901E-4</v>
      </c>
    </row>
    <row r="993" spans="1:8" ht="12.75">
      <c r="A993" s="24" t="s">
        <v>2668</v>
      </c>
      <c r="B993" s="14" t="s">
        <v>2735</v>
      </c>
      <c r="C993" s="792">
        <v>0.1016260162601626</v>
      </c>
      <c r="D993" s="18" t="s">
        <v>128</v>
      </c>
      <c r="E993" s="12">
        <v>1.42078990521327E-2</v>
      </c>
      <c r="F993" s="12">
        <v>4.1773772985781985E-2</v>
      </c>
      <c r="G993" s="12">
        <v>2.785059853080569E-4</v>
      </c>
      <c r="H993" s="12">
        <v>2.6205995260663506E-3</v>
      </c>
    </row>
    <row r="994" spans="1:8" ht="12.75">
      <c r="A994" s="24" t="s">
        <v>2668</v>
      </c>
      <c r="B994" s="14" t="s">
        <v>2735</v>
      </c>
      <c r="C994" s="792" t="s">
        <v>1666</v>
      </c>
      <c r="D994" s="18" t="s">
        <v>1666</v>
      </c>
      <c r="E994" s="220" t="s">
        <v>1666</v>
      </c>
      <c r="F994" s="220" t="s">
        <v>1666</v>
      </c>
      <c r="G994" s="220" t="s">
        <v>1666</v>
      </c>
      <c r="H994" s="220" t="s">
        <v>1666</v>
      </c>
    </row>
    <row r="995" spans="1:8" ht="12.75">
      <c r="A995" s="794" t="s">
        <v>2668</v>
      </c>
      <c r="B995" s="617" t="s">
        <v>2735</v>
      </c>
      <c r="C995" s="455">
        <v>0.2032520325203252</v>
      </c>
      <c r="D995" s="793" t="s">
        <v>121</v>
      </c>
      <c r="E995" s="635">
        <v>4.1127278199052132E-2</v>
      </c>
      <c r="F995" s="635">
        <v>0.12092157867298578</v>
      </c>
      <c r="G995" s="635">
        <v>8.0618486208530824E-4</v>
      </c>
      <c r="H995" s="635">
        <v>7.5857890995260661E-3</v>
      </c>
    </row>
    <row r="996" spans="1:8" ht="12.75">
      <c r="A996" s="24" t="s">
        <v>2668</v>
      </c>
      <c r="B996" s="14" t="s">
        <v>2737</v>
      </c>
      <c r="C996" s="792">
        <v>24.000000000000004</v>
      </c>
      <c r="D996" s="18" t="s">
        <v>2658</v>
      </c>
      <c r="E996" s="12">
        <v>5.0851930036188197E-3</v>
      </c>
      <c r="F996" s="12">
        <v>5.9995417730640897E-2</v>
      </c>
      <c r="G996" s="12">
        <v>3.4699999999999998E-4</v>
      </c>
      <c r="H996" s="12">
        <v>2.9762429672480995E-4</v>
      </c>
    </row>
    <row r="997" spans="1:8" ht="12.75">
      <c r="A997" s="24" t="s">
        <v>2668</v>
      </c>
      <c r="B997" s="14" t="s">
        <v>2737</v>
      </c>
      <c r="C997" s="792">
        <v>5.0000000000000009</v>
      </c>
      <c r="D997" s="18" t="s">
        <v>2662</v>
      </c>
      <c r="E997" s="12">
        <v>6.399192301960112E-3</v>
      </c>
      <c r="F997" s="12">
        <v>0.12411340117772937</v>
      </c>
      <c r="G997" s="12">
        <v>9.8749999999999988E-5</v>
      </c>
      <c r="H997" s="12">
        <v>3.8580927353216109E-4</v>
      </c>
    </row>
    <row r="998" spans="1:8" ht="12.75">
      <c r="A998" s="24" t="s">
        <v>2668</v>
      </c>
      <c r="B998" s="14" t="s">
        <v>2737</v>
      </c>
      <c r="C998" s="792">
        <v>23.500000000000004</v>
      </c>
      <c r="D998" s="18" t="s">
        <v>887</v>
      </c>
      <c r="E998" s="12">
        <v>4.2126000000000004E-2</v>
      </c>
      <c r="F998" s="12">
        <v>0.123858</v>
      </c>
      <c r="G998" s="12">
        <v>8.2576200000000007E-4</v>
      </c>
      <c r="H998" s="12">
        <v>7.77E-3</v>
      </c>
    </row>
    <row r="999" spans="1:8" ht="12.75">
      <c r="A999" s="24" t="s">
        <v>2668</v>
      </c>
      <c r="B999" s="14" t="s">
        <v>2737</v>
      </c>
      <c r="C999" s="792">
        <v>10.000000000000002</v>
      </c>
      <c r="D999" s="18" t="s">
        <v>883</v>
      </c>
      <c r="E999" s="12">
        <v>4.8143999999999999E-2</v>
      </c>
      <c r="F999" s="12">
        <v>0.14155200000000001</v>
      </c>
      <c r="G999" s="12">
        <v>9.4372800000000001E-4</v>
      </c>
      <c r="H999" s="12">
        <v>8.8800000000000007E-3</v>
      </c>
    </row>
    <row r="1000" spans="1:8" ht="12.75">
      <c r="A1000" s="24" t="s">
        <v>2668</v>
      </c>
      <c r="B1000" s="14" t="s">
        <v>2737</v>
      </c>
      <c r="C1000" s="796">
        <v>12.450149551345964</v>
      </c>
      <c r="D1000" s="456" t="s">
        <v>72</v>
      </c>
      <c r="E1000" s="457">
        <v>0</v>
      </c>
      <c r="F1000" s="457">
        <v>0</v>
      </c>
      <c r="G1000" s="457">
        <v>0</v>
      </c>
      <c r="H1000" s="457">
        <v>0</v>
      </c>
    </row>
    <row r="1001" spans="1:8" ht="12.75">
      <c r="A1001" s="24" t="s">
        <v>2668</v>
      </c>
      <c r="B1001" s="14" t="s">
        <v>2737</v>
      </c>
      <c r="C1001" s="792">
        <v>20.072332730560593</v>
      </c>
      <c r="D1001" s="18" t="s">
        <v>506</v>
      </c>
      <c r="E1001" s="12">
        <v>4.8057057617005398E-4</v>
      </c>
      <c r="F1001" s="12">
        <v>9.8776215197699697E-3</v>
      </c>
      <c r="G1001" s="12">
        <v>6.3E-5</v>
      </c>
      <c r="H1001" s="12">
        <v>2.4250819999999999E-4</v>
      </c>
    </row>
    <row r="1002" spans="1:8" ht="12.75">
      <c r="A1002" s="24" t="s">
        <v>2668</v>
      </c>
      <c r="B1002" s="14" t="s">
        <v>2737</v>
      </c>
      <c r="C1002" s="792">
        <v>5.0180831826401544</v>
      </c>
      <c r="D1002" s="18" t="s">
        <v>2584</v>
      </c>
      <c r="E1002" s="12">
        <v>4.7754773653722405E-4</v>
      </c>
      <c r="F1002" s="12">
        <v>9.9048845026103102E-3</v>
      </c>
      <c r="G1002" s="12">
        <v>1.1598405219282348E-5</v>
      </c>
      <c r="H1002" s="12">
        <v>9.908404494382022E-5</v>
      </c>
    </row>
    <row r="1003" spans="1:8" ht="12.75">
      <c r="A1003" s="24" t="s">
        <v>2668</v>
      </c>
      <c r="B1003" s="14" t="s">
        <v>2737</v>
      </c>
      <c r="C1003" s="792">
        <v>2.6595840867992764</v>
      </c>
      <c r="D1003" s="809" t="s">
        <v>2518</v>
      </c>
      <c r="E1003" s="461">
        <v>2.2073766211046637E-2</v>
      </c>
      <c r="F1003" s="461">
        <v>8.7246004352723297E-2</v>
      </c>
      <c r="G1003" s="461">
        <v>5.8202330775582959E-4</v>
      </c>
      <c r="H1003" s="461">
        <v>2.670351142205461E-3</v>
      </c>
    </row>
    <row r="1004" spans="1:8" ht="12.75">
      <c r="A1004" s="24" t="s">
        <v>2668</v>
      </c>
      <c r="B1004" s="14" t="s">
        <v>2737</v>
      </c>
      <c r="C1004" s="792">
        <v>3.5000000000000009</v>
      </c>
      <c r="D1004" s="18" t="s">
        <v>433</v>
      </c>
      <c r="E1004" s="12">
        <v>3.0104466724907065E-4</v>
      </c>
      <c r="F1004" s="12">
        <v>1.2500000000000001E-2</v>
      </c>
      <c r="G1004" s="12">
        <v>5.1818181818181835E-4</v>
      </c>
      <c r="H1004" s="12">
        <v>4.0084080366977777E-4</v>
      </c>
    </row>
    <row r="1005" spans="1:8" ht="12.75">
      <c r="A1005" s="24" t="s">
        <v>2668</v>
      </c>
      <c r="B1005" s="14" t="s">
        <v>2737</v>
      </c>
      <c r="C1005" s="792">
        <v>0.75000000000000011</v>
      </c>
      <c r="D1005" s="18" t="s">
        <v>83</v>
      </c>
      <c r="E1005" s="12">
        <v>0</v>
      </c>
      <c r="F1005" s="12">
        <v>0</v>
      </c>
      <c r="G1005" s="12">
        <v>0</v>
      </c>
      <c r="H1005" s="12">
        <v>0</v>
      </c>
    </row>
    <row r="1006" spans="1:8" ht="12.75">
      <c r="A1006" s="24" t="s">
        <v>2668</v>
      </c>
      <c r="B1006" s="14" t="s">
        <v>2737</v>
      </c>
      <c r="C1006" s="792">
        <v>3.5000000000000004</v>
      </c>
      <c r="D1006" s="18" t="s">
        <v>346</v>
      </c>
      <c r="E1006" s="12">
        <v>2.9691872042618299E-2</v>
      </c>
      <c r="F1006" s="12">
        <v>7.5368545517799299E-2</v>
      </c>
      <c r="G1006" s="12">
        <v>2.9014018691588786E-4</v>
      </c>
      <c r="H1006" s="12">
        <v>1.4770983615231311E-3</v>
      </c>
    </row>
    <row r="1007" spans="1:8" ht="12.75">
      <c r="A1007" s="24" t="s">
        <v>2668</v>
      </c>
      <c r="B1007" s="14" t="s">
        <v>2737</v>
      </c>
      <c r="C1007" s="792">
        <v>0.50000000000000011</v>
      </c>
      <c r="D1007" s="18" t="s">
        <v>321</v>
      </c>
      <c r="E1007" s="12">
        <v>5.2419900086202897E-2</v>
      </c>
      <c r="F1007" s="12">
        <v>2.8162483479607547</v>
      </c>
      <c r="G1007" s="12">
        <v>1.6256511627906977E-3</v>
      </c>
      <c r="H1007" s="12">
        <v>1.194650084062842E-2</v>
      </c>
    </row>
    <row r="1008" spans="1:8" ht="12.75">
      <c r="A1008" s="24" t="s">
        <v>2668</v>
      </c>
      <c r="B1008" s="14" t="s">
        <v>2737</v>
      </c>
      <c r="C1008" s="792">
        <v>0.50000000000000011</v>
      </c>
      <c r="D1008" s="18" t="s">
        <v>332</v>
      </c>
      <c r="E1008" s="12">
        <v>2.3E-3</v>
      </c>
      <c r="F1008" s="12">
        <v>4.7879999999999999E-2</v>
      </c>
      <c r="G1008" s="12">
        <v>9.9999999999999995E-7</v>
      </c>
      <c r="H1008" s="12">
        <v>4.4092488403675551E-4</v>
      </c>
    </row>
    <row r="1009" spans="1:8" ht="12.75">
      <c r="A1009" s="24" t="s">
        <v>2668</v>
      </c>
      <c r="B1009" s="14" t="s">
        <v>2737</v>
      </c>
      <c r="C1009" s="792" t="s">
        <v>1666</v>
      </c>
      <c r="D1009" s="18" t="s">
        <v>1666</v>
      </c>
      <c r="E1009" s="454" t="s">
        <v>1666</v>
      </c>
      <c r="F1009" s="454" t="s">
        <v>1666</v>
      </c>
      <c r="G1009" s="454" t="s">
        <v>1666</v>
      </c>
      <c r="H1009" s="454" t="s">
        <v>1666</v>
      </c>
    </row>
    <row r="1010" spans="1:8" ht="12.75">
      <c r="A1010" s="24" t="s">
        <v>2668</v>
      </c>
      <c r="B1010" s="14" t="s">
        <v>2737</v>
      </c>
      <c r="C1010" s="792">
        <v>0.25000000000000006</v>
      </c>
      <c r="D1010" s="18" t="s">
        <v>324</v>
      </c>
      <c r="E1010" s="12">
        <v>1.0652903141570055E-3</v>
      </c>
      <c r="F1010" s="12">
        <v>1.7273631840796021E-2</v>
      </c>
      <c r="G1010" s="12">
        <v>1.3582399999999999E-4</v>
      </c>
      <c r="H1010" s="12">
        <v>2.14E-3</v>
      </c>
    </row>
    <row r="1011" spans="1:8" ht="12.75">
      <c r="A1011" s="794" t="s">
        <v>2668</v>
      </c>
      <c r="B1011" s="617" t="s">
        <v>2737</v>
      </c>
      <c r="C1011" s="455">
        <v>0.75000000000000011</v>
      </c>
      <c r="D1011" s="793" t="s">
        <v>86</v>
      </c>
      <c r="E1011" s="635">
        <v>0</v>
      </c>
      <c r="F1011" s="635">
        <v>0</v>
      </c>
      <c r="G1011" s="635">
        <v>0</v>
      </c>
      <c r="H1011" s="635">
        <v>0</v>
      </c>
    </row>
    <row r="1012" spans="1:8" ht="12.75">
      <c r="A1012" s="799" t="s">
        <v>2738</v>
      </c>
      <c r="B1012" s="617" t="s">
        <v>2739</v>
      </c>
      <c r="C1012" s="455">
        <v>100</v>
      </c>
      <c r="D1012" s="793" t="s">
        <v>2740</v>
      </c>
      <c r="E1012" s="635">
        <v>0</v>
      </c>
      <c r="F1012" s="635">
        <v>0</v>
      </c>
      <c r="G1012" s="635">
        <v>0</v>
      </c>
      <c r="H1012" s="635">
        <v>0</v>
      </c>
    </row>
    <row r="1013" spans="1:8" ht="12.75">
      <c r="A1013" s="799" t="s">
        <v>2738</v>
      </c>
      <c r="B1013" s="617" t="s">
        <v>2741</v>
      </c>
      <c r="C1013" s="455">
        <v>100</v>
      </c>
      <c r="D1013" s="793" t="s">
        <v>2742</v>
      </c>
      <c r="E1013" s="635">
        <v>0</v>
      </c>
      <c r="F1013" s="635">
        <v>0</v>
      </c>
      <c r="G1013" s="635">
        <v>0</v>
      </c>
      <c r="H1013" s="635">
        <v>0</v>
      </c>
    </row>
    <row r="1014" spans="1:8" ht="12.75">
      <c r="A1014" s="799" t="s">
        <v>2738</v>
      </c>
      <c r="B1014" s="617" t="s">
        <v>2743</v>
      </c>
      <c r="C1014" s="455">
        <v>100</v>
      </c>
      <c r="D1014" s="793" t="s">
        <v>2744</v>
      </c>
      <c r="E1014" s="635">
        <v>5.408949017510318E-4</v>
      </c>
      <c r="F1014" s="635">
        <v>2.9059467320077442E-2</v>
      </c>
      <c r="G1014" s="635">
        <v>1.7188466484573448E-5</v>
      </c>
      <c r="H1014" s="635">
        <v>1.4199239909412813E-4</v>
      </c>
    </row>
    <row r="1015" spans="1:8" ht="12.75">
      <c r="A1015" s="799" t="s">
        <v>2738</v>
      </c>
      <c r="B1015" s="617" t="s">
        <v>2745</v>
      </c>
      <c r="C1015" s="455">
        <v>100</v>
      </c>
      <c r="D1015" s="793" t="s">
        <v>2746</v>
      </c>
      <c r="E1015" s="635">
        <v>5.408949017510318E-4</v>
      </c>
      <c r="F1015" s="635">
        <v>2.9059467320077442E-2</v>
      </c>
      <c r="G1015" s="635">
        <v>1.7188466484573448E-5</v>
      </c>
      <c r="H1015" s="635">
        <v>1.4199239909412813E-4</v>
      </c>
    </row>
    <row r="1016" spans="1:8" ht="12.75">
      <c r="A1016" s="24" t="s">
        <v>2738</v>
      </c>
      <c r="B1016" s="14" t="s">
        <v>2747</v>
      </c>
      <c r="C1016" s="792">
        <v>15.061046511627907</v>
      </c>
      <c r="D1016" s="18" t="s">
        <v>425</v>
      </c>
      <c r="E1016" s="12">
        <v>3.8102374934982654E-3</v>
      </c>
      <c r="F1016" s="12">
        <v>0.20470422547079484</v>
      </c>
      <c r="G1016" s="12">
        <v>1.210810810810811E-4</v>
      </c>
      <c r="H1016" s="12">
        <v>1.0002400855855065E-3</v>
      </c>
    </row>
    <row r="1017" spans="1:8" ht="12.75">
      <c r="A1017" s="24" t="s">
        <v>2738</v>
      </c>
      <c r="B1017" s="14" t="s">
        <v>2747</v>
      </c>
      <c r="C1017" s="792">
        <v>16.061046511627907</v>
      </c>
      <c r="D1017" s="18" t="s">
        <v>433</v>
      </c>
      <c r="E1017" s="12">
        <v>3.0104466724907065E-4</v>
      </c>
      <c r="F1017" s="12">
        <v>1.2500000000000001E-2</v>
      </c>
      <c r="G1017" s="12">
        <v>5.1818181818181835E-4</v>
      </c>
      <c r="H1017" s="12">
        <v>4.0084080366977777E-4</v>
      </c>
    </row>
    <row r="1018" spans="1:8" ht="12.75">
      <c r="A1018" s="24" t="s">
        <v>2738</v>
      </c>
      <c r="B1018" s="14" t="s">
        <v>2747</v>
      </c>
      <c r="C1018" s="796">
        <v>77.240408163265315</v>
      </c>
      <c r="D1018" s="456" t="s">
        <v>72</v>
      </c>
      <c r="E1018" s="457">
        <v>0</v>
      </c>
      <c r="F1018" s="457">
        <v>0</v>
      </c>
      <c r="G1018" s="457">
        <v>0</v>
      </c>
      <c r="H1018" s="457">
        <v>0</v>
      </c>
    </row>
    <row r="1019" spans="1:8" ht="12.75">
      <c r="A1019" s="24" t="s">
        <v>2738</v>
      </c>
      <c r="B1019" s="14" t="s">
        <v>2747</v>
      </c>
      <c r="C1019" s="792">
        <v>17.459302325581397</v>
      </c>
      <c r="D1019" s="18" t="s">
        <v>38</v>
      </c>
      <c r="E1019" s="12">
        <v>1.6939344187576338E-2</v>
      </c>
      <c r="F1019" s="12">
        <v>0.12747220842521731</v>
      </c>
      <c r="G1019" s="12">
        <v>6.4159613314729389E-4</v>
      </c>
      <c r="H1019" s="12">
        <v>1.9596661512744689E-4</v>
      </c>
    </row>
    <row r="1020" spans="1:8" ht="12.75">
      <c r="A1020" s="24" t="s">
        <v>2738</v>
      </c>
      <c r="B1020" s="14" t="s">
        <v>2747</v>
      </c>
      <c r="C1020" s="792" t="s">
        <v>1666</v>
      </c>
      <c r="D1020" s="18" t="s">
        <v>1666</v>
      </c>
      <c r="E1020" s="454" t="s">
        <v>1666</v>
      </c>
      <c r="F1020" s="454" t="s">
        <v>1666</v>
      </c>
      <c r="G1020" s="454" t="s">
        <v>1666</v>
      </c>
      <c r="H1020" s="454" t="s">
        <v>1666</v>
      </c>
    </row>
    <row r="1021" spans="1:8" ht="12.75">
      <c r="A1021" s="24" t="s">
        <v>2738</v>
      </c>
      <c r="B1021" s="14" t="s">
        <v>2747</v>
      </c>
      <c r="C1021" s="792">
        <v>9.2093023255813975</v>
      </c>
      <c r="D1021" s="18" t="s">
        <v>690</v>
      </c>
      <c r="E1021" s="12">
        <v>1.9306129458663359E-3</v>
      </c>
      <c r="F1021" s="12">
        <v>3.9248033695195798E-2</v>
      </c>
      <c r="G1021" s="12">
        <v>2.2000000000000001E-4</v>
      </c>
      <c r="H1021" s="12">
        <v>2.1384856875782642E-3</v>
      </c>
    </row>
    <row r="1022" spans="1:8" ht="12.75">
      <c r="A1022" s="24" t="s">
        <v>2738</v>
      </c>
      <c r="B1022" s="14" t="s">
        <v>2747</v>
      </c>
      <c r="C1022" s="792" t="s">
        <v>1666</v>
      </c>
      <c r="D1022" s="18" t="s">
        <v>1666</v>
      </c>
      <c r="E1022" s="454" t="s">
        <v>1666</v>
      </c>
      <c r="F1022" s="454" t="s">
        <v>1666</v>
      </c>
      <c r="G1022" s="454" t="s">
        <v>1666</v>
      </c>
      <c r="H1022" s="454" t="s">
        <v>1666</v>
      </c>
    </row>
    <row r="1023" spans="1:8" ht="12.75">
      <c r="A1023" s="24" t="s">
        <v>2738</v>
      </c>
      <c r="B1023" s="14" t="s">
        <v>2747</v>
      </c>
      <c r="C1023" s="792">
        <v>9.2093023255813975</v>
      </c>
      <c r="D1023" s="18" t="s">
        <v>36</v>
      </c>
      <c r="E1023" s="12">
        <v>2.4184492523326444E-3</v>
      </c>
      <c r="F1023" s="12">
        <v>3.5176357141887118E-2</v>
      </c>
      <c r="G1023" s="12">
        <v>1.8888888888888888E-4</v>
      </c>
      <c r="H1023" s="12">
        <v>8.5327130333333323E-4</v>
      </c>
    </row>
    <row r="1024" spans="1:8" ht="12.75">
      <c r="A1024" s="24" t="s">
        <v>2738</v>
      </c>
      <c r="B1024" s="14" t="s">
        <v>2747</v>
      </c>
      <c r="C1024" s="792" t="s">
        <v>1666</v>
      </c>
      <c r="D1024" s="18" t="s">
        <v>1666</v>
      </c>
      <c r="E1024" s="454" t="s">
        <v>1666</v>
      </c>
      <c r="F1024" s="454" t="s">
        <v>1666</v>
      </c>
      <c r="G1024" s="454" t="s">
        <v>1666</v>
      </c>
      <c r="H1024" s="454" t="s">
        <v>1666</v>
      </c>
    </row>
    <row r="1025" spans="1:8" ht="12.75">
      <c r="A1025" s="24" t="s">
        <v>2738</v>
      </c>
      <c r="B1025" s="14" t="s">
        <v>2747</v>
      </c>
      <c r="C1025" s="792" t="s">
        <v>1666</v>
      </c>
      <c r="D1025" s="18" t="s">
        <v>1666</v>
      </c>
      <c r="E1025" s="454" t="s">
        <v>1666</v>
      </c>
      <c r="F1025" s="454" t="s">
        <v>1666</v>
      </c>
      <c r="G1025" s="454" t="s">
        <v>1666</v>
      </c>
      <c r="H1025" s="454" t="s">
        <v>1666</v>
      </c>
    </row>
    <row r="1026" spans="1:8" ht="12.75">
      <c r="A1026" s="13" t="s">
        <v>2738</v>
      </c>
      <c r="B1026" s="14" t="s">
        <v>2747</v>
      </c>
      <c r="C1026" s="792">
        <v>0.99999999999999978</v>
      </c>
      <c r="D1026" s="18" t="s">
        <v>67</v>
      </c>
      <c r="E1026" s="12">
        <v>5.5830754650352915E-5</v>
      </c>
      <c r="F1026" s="12">
        <v>1.5310196905766523E-3</v>
      </c>
      <c r="G1026" s="12">
        <v>7.5780590717299575E-6</v>
      </c>
      <c r="H1026" s="12">
        <v>3.6275960326593231E-5</v>
      </c>
    </row>
    <row r="1027" spans="1:8" ht="12.75">
      <c r="A1027" s="13" t="s">
        <v>2738</v>
      </c>
      <c r="B1027" s="14" t="s">
        <v>2747</v>
      </c>
      <c r="C1027" s="792" t="s">
        <v>1666</v>
      </c>
      <c r="D1027" s="18" t="s">
        <v>1666</v>
      </c>
      <c r="E1027" s="454" t="s">
        <v>1666</v>
      </c>
      <c r="F1027" s="454" t="s">
        <v>1666</v>
      </c>
      <c r="G1027" s="454" t="s">
        <v>1666</v>
      </c>
      <c r="H1027" s="454" t="s">
        <v>1666</v>
      </c>
    </row>
    <row r="1028" spans="1:8" ht="12.75">
      <c r="A1028" s="13" t="s">
        <v>2738</v>
      </c>
      <c r="B1028" s="14" t="s">
        <v>2747</v>
      </c>
      <c r="C1028" s="792">
        <v>0.99999999999999978</v>
      </c>
      <c r="D1028" s="809" t="s">
        <v>2748</v>
      </c>
      <c r="E1028" s="461">
        <v>2.2073766211046637E-2</v>
      </c>
      <c r="F1028" s="461">
        <v>8.7246004352723297E-2</v>
      </c>
      <c r="G1028" s="461">
        <v>5.8202330775582959E-4</v>
      </c>
      <c r="H1028" s="461">
        <v>2.670351142205461E-3</v>
      </c>
    </row>
    <row r="1029" spans="1:8" ht="12.75">
      <c r="A1029" s="799" t="s">
        <v>2738</v>
      </c>
      <c r="B1029" s="617" t="s">
        <v>2747</v>
      </c>
      <c r="C1029" s="455" t="s">
        <v>1666</v>
      </c>
      <c r="D1029" s="793" t="s">
        <v>1666</v>
      </c>
      <c r="E1029" s="808" t="s">
        <v>1666</v>
      </c>
      <c r="F1029" s="808" t="s">
        <v>1666</v>
      </c>
      <c r="G1029" s="808" t="s">
        <v>1666</v>
      </c>
      <c r="H1029" s="808" t="s">
        <v>1666</v>
      </c>
    </row>
    <row r="1030" spans="1:8" ht="12.75">
      <c r="A1030" s="799" t="s">
        <v>2738</v>
      </c>
      <c r="B1030" s="617" t="s">
        <v>2749</v>
      </c>
      <c r="C1030" s="455">
        <v>100</v>
      </c>
      <c r="D1030" s="793" t="s">
        <v>17</v>
      </c>
      <c r="E1030" s="635">
        <v>2.0863187909805599E-3</v>
      </c>
      <c r="F1030" s="635">
        <v>1.5149371069182389E-2</v>
      </c>
      <c r="G1030" s="635">
        <v>3.0135276985835671E-4</v>
      </c>
      <c r="H1030" s="635">
        <v>3.5347185290550941E-4</v>
      </c>
    </row>
    <row r="1031" spans="1:8" ht="12.75">
      <c r="A1031" s="799" t="s">
        <v>2738</v>
      </c>
      <c r="B1031" s="617" t="s">
        <v>2750</v>
      </c>
      <c r="C1031" s="455">
        <v>100</v>
      </c>
      <c r="D1031" s="793" t="s">
        <v>2751</v>
      </c>
      <c r="E1031" s="635">
        <v>3.0935071728332439E-3</v>
      </c>
      <c r="F1031" s="635">
        <v>2.2462860550856643E-2</v>
      </c>
      <c r="G1031" s="635">
        <v>4.4683341737618407E-4</v>
      </c>
      <c r="H1031" s="635">
        <v>3.0935071729999999E-3</v>
      </c>
    </row>
    <row r="1032" spans="1:8" ht="12.75">
      <c r="A1032" s="799" t="s">
        <v>2738</v>
      </c>
      <c r="B1032" s="617" t="s">
        <v>2752</v>
      </c>
      <c r="C1032" s="455">
        <v>100</v>
      </c>
      <c r="D1032" s="793" t="s">
        <v>2753</v>
      </c>
      <c r="E1032" s="635">
        <v>1.5676635966133333E-3</v>
      </c>
      <c r="F1032" s="635">
        <v>7.7472873595999994E-3</v>
      </c>
      <c r="G1032" s="635">
        <v>1.4584397163120569E-4</v>
      </c>
      <c r="H1032" s="635">
        <v>7.7344115366430246E-4</v>
      </c>
    </row>
    <row r="1033" spans="1:8" ht="12.75">
      <c r="A1033" s="13" t="s">
        <v>2738</v>
      </c>
      <c r="B1033" s="14" t="s">
        <v>2754</v>
      </c>
      <c r="C1033" s="455">
        <v>100</v>
      </c>
      <c r="D1033" s="18" t="s">
        <v>2755</v>
      </c>
      <c r="E1033" s="12">
        <v>1.7747135055999998E-3</v>
      </c>
      <c r="F1033" s="12">
        <v>8.7705139919999984E-3</v>
      </c>
      <c r="G1033" s="12">
        <v>1.651063829787234E-4</v>
      </c>
      <c r="H1033" s="12">
        <v>6.7545804255319153E-4</v>
      </c>
    </row>
    <row r="1034" spans="1:8" ht="12.75">
      <c r="A1034" s="805" t="s">
        <v>2738</v>
      </c>
      <c r="B1034" s="753" t="s">
        <v>2756</v>
      </c>
      <c r="C1034" s="455">
        <v>100</v>
      </c>
      <c r="D1034" s="806" t="s">
        <v>2757</v>
      </c>
      <c r="E1034" s="804">
        <v>1.6135489016096731E-2</v>
      </c>
      <c r="F1034" s="804">
        <v>0.11716450599224061</v>
      </c>
      <c r="G1034" s="804">
        <v>2.3306478040234853E-3</v>
      </c>
      <c r="H1034" s="804">
        <v>2.7337342810278844E-3</v>
      </c>
    </row>
    <row r="1035" spans="1:8" ht="12.75">
      <c r="A1035" s="805" t="s">
        <v>2738</v>
      </c>
      <c r="B1035" s="753" t="s">
        <v>2758</v>
      </c>
      <c r="C1035" s="459">
        <v>100</v>
      </c>
      <c r="D1035" s="815" t="s">
        <v>72</v>
      </c>
      <c r="E1035" s="802">
        <v>0</v>
      </c>
      <c r="F1035" s="802">
        <v>0</v>
      </c>
      <c r="G1035" s="802">
        <v>0</v>
      </c>
      <c r="H1035" s="802">
        <v>0</v>
      </c>
    </row>
    <row r="1036" spans="1:8" ht="12.75">
      <c r="A1036" s="13" t="s">
        <v>2738</v>
      </c>
      <c r="B1036" s="14" t="s">
        <v>2759</v>
      </c>
      <c r="C1036" s="796">
        <v>100</v>
      </c>
      <c r="D1036" s="456" t="s">
        <v>72</v>
      </c>
      <c r="E1036" s="457">
        <v>0</v>
      </c>
      <c r="F1036" s="457">
        <v>0</v>
      </c>
      <c r="G1036" s="457">
        <v>0</v>
      </c>
      <c r="H1036" s="457">
        <v>0</v>
      </c>
    </row>
    <row r="1037" spans="1:8" ht="12.75">
      <c r="A1037" s="799" t="s">
        <v>2738</v>
      </c>
      <c r="B1037" s="617" t="s">
        <v>2759</v>
      </c>
      <c r="C1037" s="455">
        <v>100</v>
      </c>
      <c r="D1037" s="793" t="s">
        <v>2760</v>
      </c>
      <c r="E1037" s="635">
        <v>5.5830754650352915E-5</v>
      </c>
      <c r="F1037" s="635">
        <v>1.5310196905766523E-3</v>
      </c>
      <c r="G1037" s="635">
        <v>7.5780590717299575E-6</v>
      </c>
      <c r="H1037" s="635">
        <v>3.6275960326593231E-5</v>
      </c>
    </row>
    <row r="1038" spans="1:8" ht="12.75">
      <c r="A1038" s="799" t="s">
        <v>2738</v>
      </c>
      <c r="B1038" s="617" t="s">
        <v>2761</v>
      </c>
      <c r="C1038" s="455">
        <v>100</v>
      </c>
      <c r="D1038" s="793" t="s">
        <v>67</v>
      </c>
      <c r="E1038" s="635">
        <v>5.5830754650352915E-5</v>
      </c>
      <c r="F1038" s="635">
        <v>1.5310196905766523E-3</v>
      </c>
      <c r="G1038" s="635">
        <v>7.5780590717299575E-6</v>
      </c>
      <c r="H1038" s="635">
        <v>3.6275960326593231E-5</v>
      </c>
    </row>
    <row r="1039" spans="1:8" ht="12.75">
      <c r="A1039" s="799" t="s">
        <v>2738</v>
      </c>
      <c r="B1039" s="617" t="s">
        <v>2762</v>
      </c>
      <c r="C1039" s="455">
        <v>100</v>
      </c>
      <c r="D1039" s="793" t="s">
        <v>2763</v>
      </c>
      <c r="E1039" s="635">
        <v>3.9296258940033015E-4</v>
      </c>
      <c r="F1039" s="635">
        <v>7.1519191270860089E-3</v>
      </c>
      <c r="G1039" s="816">
        <v>9.0111690160025949E-6</v>
      </c>
      <c r="H1039" s="635">
        <v>1.2844553836475908E-4</v>
      </c>
    </row>
    <row r="1040" spans="1:8" ht="12.75">
      <c r="A1040" s="799" t="s">
        <v>2738</v>
      </c>
      <c r="B1040" s="617" t="s">
        <v>2764</v>
      </c>
      <c r="C1040" s="455">
        <v>100</v>
      </c>
      <c r="D1040" s="793" t="s">
        <v>27</v>
      </c>
      <c r="E1040" s="635">
        <v>3.9296258940033015E-4</v>
      </c>
      <c r="F1040" s="635">
        <v>7.1519191270860089E-3</v>
      </c>
      <c r="G1040" s="817">
        <v>9.0111690160025949E-6</v>
      </c>
      <c r="H1040" s="635">
        <v>1.2844553836475908E-4</v>
      </c>
    </row>
    <row r="1041" spans="1:8" ht="12.75">
      <c r="A1041" s="24" t="s">
        <v>2738</v>
      </c>
      <c r="B1041" s="14" t="s">
        <v>2765</v>
      </c>
      <c r="C1041" s="792">
        <v>29.892486772486773</v>
      </c>
      <c r="D1041" s="18" t="s">
        <v>2766</v>
      </c>
      <c r="E1041" s="12">
        <v>2.4451005562687207E-3</v>
      </c>
      <c r="F1041" s="12">
        <v>4.4500830124090722E-2</v>
      </c>
      <c r="G1041" s="12">
        <v>5.6069496099571696E-5</v>
      </c>
      <c r="H1041" s="12">
        <v>7.9921668315850096E-4</v>
      </c>
    </row>
    <row r="1042" spans="1:8" ht="12.75">
      <c r="A1042" s="24" t="s">
        <v>2738</v>
      </c>
      <c r="B1042" s="14" t="s">
        <v>2765</v>
      </c>
      <c r="C1042" s="792">
        <v>65.197460317460326</v>
      </c>
      <c r="D1042" s="18" t="s">
        <v>118</v>
      </c>
      <c r="E1042" s="12">
        <v>5.2598080568720387E-3</v>
      </c>
      <c r="F1042" s="12">
        <v>1.5464779620853082E-2</v>
      </c>
      <c r="G1042" s="12">
        <v>1.0310377488151661E-4</v>
      </c>
      <c r="H1042" s="12">
        <v>9.7015402843601893E-4</v>
      </c>
    </row>
    <row r="1043" spans="1:8" ht="12.75">
      <c r="A1043" s="24" t="s">
        <v>2738</v>
      </c>
      <c r="B1043" s="14" t="s">
        <v>2765</v>
      </c>
      <c r="C1043" s="792" t="s">
        <v>1666</v>
      </c>
      <c r="D1043" s="466" t="s">
        <v>1666</v>
      </c>
      <c r="E1043" s="454" t="s">
        <v>1666</v>
      </c>
      <c r="F1043" s="454" t="s">
        <v>1666</v>
      </c>
      <c r="G1043" s="454" t="s">
        <v>1666</v>
      </c>
      <c r="H1043" s="454" t="s">
        <v>1666</v>
      </c>
    </row>
    <row r="1044" spans="1:8" ht="12.75">
      <c r="A1044" s="24" t="s">
        <v>2738</v>
      </c>
      <c r="B1044" s="14" t="s">
        <v>2765</v>
      </c>
      <c r="C1044" s="792" t="s">
        <v>1666</v>
      </c>
      <c r="D1044" s="466" t="s">
        <v>1666</v>
      </c>
      <c r="E1044" s="454" t="s">
        <v>1666</v>
      </c>
      <c r="F1044" s="454" t="s">
        <v>1666</v>
      </c>
      <c r="G1044" s="454" t="s">
        <v>1666</v>
      </c>
      <c r="H1044" s="454" t="s">
        <v>1666</v>
      </c>
    </row>
    <row r="1045" spans="1:8" ht="12.75">
      <c r="A1045" s="24" t="s">
        <v>2738</v>
      </c>
      <c r="B1045" s="14" t="s">
        <v>2765</v>
      </c>
      <c r="C1045" s="792">
        <v>1.1851851851851851</v>
      </c>
      <c r="D1045" s="466" t="s">
        <v>433</v>
      </c>
      <c r="E1045" s="12">
        <v>3.0104466724907065E-4</v>
      </c>
      <c r="F1045" s="12">
        <v>1.2500000000000001E-2</v>
      </c>
      <c r="G1045" s="12">
        <v>5.1818181818181835E-4</v>
      </c>
      <c r="H1045" s="12">
        <v>4.0084080366977777E-4</v>
      </c>
    </row>
    <row r="1046" spans="1:8" ht="12.75">
      <c r="A1046" s="24" t="s">
        <v>2738</v>
      </c>
      <c r="B1046" s="14" t="s">
        <v>2765</v>
      </c>
      <c r="C1046" s="792">
        <v>1.0158730158730158</v>
      </c>
      <c r="D1046" s="18" t="s">
        <v>421</v>
      </c>
      <c r="E1046" s="12">
        <v>3.372204299368619E-2</v>
      </c>
      <c r="F1046" s="12">
        <v>6.4584205812988751E-2</v>
      </c>
      <c r="G1046" s="12">
        <v>3.9999999999999998E-6</v>
      </c>
      <c r="H1046" s="12">
        <v>1.477309663377164E-3</v>
      </c>
    </row>
    <row r="1047" spans="1:8" ht="12.75">
      <c r="A1047" s="794" t="s">
        <v>2738</v>
      </c>
      <c r="B1047" s="617" t="s">
        <v>2765</v>
      </c>
      <c r="C1047" s="792">
        <v>2.7089947089947088</v>
      </c>
      <c r="D1047" s="793" t="s">
        <v>2767</v>
      </c>
      <c r="E1047" s="12">
        <v>1.7908303554502368E-2</v>
      </c>
      <c r="F1047" s="12">
        <v>5.2653626303317533E-2</v>
      </c>
      <c r="G1047" s="12">
        <v>3.5104203009478677E-4</v>
      </c>
      <c r="H1047" s="12">
        <v>3.3031267772511848E-3</v>
      </c>
    </row>
    <row r="1048" spans="1:8" ht="12.75">
      <c r="A1048" s="805" t="s">
        <v>2768</v>
      </c>
      <c r="B1048" s="753" t="s">
        <v>2769</v>
      </c>
      <c r="C1048" s="807">
        <v>100</v>
      </c>
      <c r="D1048" s="806" t="s">
        <v>1668</v>
      </c>
      <c r="E1048" s="804">
        <v>3.372204299368619E-2</v>
      </c>
      <c r="F1048" s="804">
        <v>6.4584205812988751E-2</v>
      </c>
      <c r="G1048" s="804">
        <v>3.9999999999999998E-6</v>
      </c>
      <c r="H1048" s="804">
        <v>1.477309663377164E-3</v>
      </c>
    </row>
    <row r="1049" spans="1:8" ht="12.75">
      <c r="A1049" s="805" t="s">
        <v>2768</v>
      </c>
      <c r="B1049" s="753" t="s">
        <v>2770</v>
      </c>
      <c r="C1049" s="807">
        <v>100</v>
      </c>
      <c r="D1049" s="806" t="s">
        <v>416</v>
      </c>
      <c r="E1049" s="635">
        <v>3.372204299368619E-2</v>
      </c>
      <c r="F1049" s="635">
        <v>6.4584205812988751E-2</v>
      </c>
      <c r="G1049" s="635">
        <v>3.9999999999999998E-6</v>
      </c>
      <c r="H1049" s="635">
        <v>1.477309663377164E-3</v>
      </c>
    </row>
    <row r="1050" spans="1:8" ht="12.75">
      <c r="A1050" s="24" t="s">
        <v>2768</v>
      </c>
      <c r="B1050" s="14" t="s">
        <v>2771</v>
      </c>
      <c r="C1050" s="792">
        <v>40</v>
      </c>
      <c r="D1050" s="18" t="s">
        <v>1668</v>
      </c>
      <c r="E1050" s="12">
        <v>3.372204299368619E-2</v>
      </c>
      <c r="F1050" s="12">
        <v>6.4584205812988751E-2</v>
      </c>
      <c r="G1050" s="12">
        <v>3.9999999999999998E-6</v>
      </c>
      <c r="H1050" s="12">
        <v>1.477309663377164E-3</v>
      </c>
    </row>
    <row r="1051" spans="1:8" ht="12.75">
      <c r="A1051" s="24" t="s">
        <v>2768</v>
      </c>
      <c r="B1051" s="14" t="s">
        <v>2771</v>
      </c>
      <c r="C1051" s="792">
        <v>25</v>
      </c>
      <c r="D1051" s="18" t="s">
        <v>2772</v>
      </c>
      <c r="E1051" s="12">
        <v>3.8427539589960401E-3</v>
      </c>
      <c r="F1051" s="12">
        <v>1.5537788094869101E-2</v>
      </c>
      <c r="G1051" s="12">
        <v>2.14E-4</v>
      </c>
      <c r="H1051" s="12">
        <v>5.7320234924778215E-4</v>
      </c>
    </row>
    <row r="1052" spans="1:8" ht="12.75">
      <c r="A1052" s="24" t="s">
        <v>2768</v>
      </c>
      <c r="B1052" s="14" t="s">
        <v>2771</v>
      </c>
      <c r="C1052" s="792">
        <v>25</v>
      </c>
      <c r="D1052" s="18" t="s">
        <v>425</v>
      </c>
      <c r="E1052" s="12">
        <v>3.8102374934982654E-3</v>
      </c>
      <c r="F1052" s="12">
        <v>0.20470422547079484</v>
      </c>
      <c r="G1052" s="12">
        <v>1.210810810810811E-4</v>
      </c>
      <c r="H1052" s="12">
        <v>1.0002400855855065E-3</v>
      </c>
    </row>
    <row r="1053" spans="1:8" ht="12.75">
      <c r="A1053" s="794" t="s">
        <v>2768</v>
      </c>
      <c r="B1053" s="617" t="s">
        <v>2771</v>
      </c>
      <c r="C1053" s="455">
        <v>10</v>
      </c>
      <c r="D1053" s="793" t="s">
        <v>433</v>
      </c>
      <c r="E1053" s="635">
        <v>3.0104466724907065E-4</v>
      </c>
      <c r="F1053" s="635">
        <v>1.2500000000000001E-2</v>
      </c>
      <c r="G1053" s="635">
        <v>5.1818181818181835E-4</v>
      </c>
      <c r="H1053" s="635">
        <v>4.0084080366977777E-4</v>
      </c>
    </row>
    <row r="1054" spans="1:8" ht="12.75">
      <c r="A1054" s="24" t="s">
        <v>2768</v>
      </c>
      <c r="B1054" s="14" t="s">
        <v>2773</v>
      </c>
      <c r="C1054" s="792">
        <v>75.757575757575751</v>
      </c>
      <c r="D1054" s="18" t="s">
        <v>433</v>
      </c>
      <c r="E1054" s="12">
        <v>3.0104466724907065E-4</v>
      </c>
      <c r="F1054" s="12">
        <v>1.2500000000000001E-2</v>
      </c>
      <c r="G1054" s="12">
        <v>5.1818181818181835E-4</v>
      </c>
      <c r="H1054" s="12">
        <v>4.0084080366977777E-4</v>
      </c>
    </row>
    <row r="1055" spans="1:8" ht="12.75">
      <c r="A1055" s="794" t="s">
        <v>2768</v>
      </c>
      <c r="B1055" s="617" t="s">
        <v>2773</v>
      </c>
      <c r="C1055" s="455">
        <v>24.242424242424242</v>
      </c>
      <c r="D1055" s="793" t="s">
        <v>425</v>
      </c>
      <c r="E1055" s="635">
        <v>3.8102374934982654E-3</v>
      </c>
      <c r="F1055" s="635">
        <v>0.20470422547079484</v>
      </c>
      <c r="G1055" s="635">
        <v>1.210810810810811E-4</v>
      </c>
      <c r="H1055" s="635">
        <v>1.0002400855855065E-3</v>
      </c>
    </row>
    <row r="1056" spans="1:8" ht="12.75">
      <c r="A1056" s="24" t="s">
        <v>2768</v>
      </c>
      <c r="B1056" s="14" t="s">
        <v>2774</v>
      </c>
      <c r="C1056" s="792">
        <v>41.810380600769861</v>
      </c>
      <c r="D1056" s="18" t="s">
        <v>2658</v>
      </c>
      <c r="E1056" s="12">
        <v>5.0851930036188197E-3</v>
      </c>
      <c r="F1056" s="12">
        <v>5.9995417730640897E-2</v>
      </c>
      <c r="G1056" s="12">
        <v>3.4699999999999998E-4</v>
      </c>
      <c r="H1056" s="12">
        <v>2.9762429672480995E-4</v>
      </c>
    </row>
    <row r="1057" spans="1:8" ht="12.75">
      <c r="A1057" s="24" t="s">
        <v>2768</v>
      </c>
      <c r="B1057" s="14" t="s">
        <v>2774</v>
      </c>
      <c r="C1057" s="792">
        <v>26.523706017430484</v>
      </c>
      <c r="D1057" s="18" t="s">
        <v>433</v>
      </c>
      <c r="E1057" s="12">
        <v>3.0104466724907065E-4</v>
      </c>
      <c r="F1057" s="12">
        <v>1.2500000000000001E-2</v>
      </c>
      <c r="G1057" s="12">
        <v>5.1818181818181835E-4</v>
      </c>
      <c r="H1057" s="12">
        <v>4.0084080366977777E-4</v>
      </c>
    </row>
    <row r="1058" spans="1:8" ht="12.75">
      <c r="A1058" s="24" t="s">
        <v>2768</v>
      </c>
      <c r="B1058" s="14" t="s">
        <v>2774</v>
      </c>
      <c r="C1058" s="792">
        <v>10.92</v>
      </c>
      <c r="D1058" s="18" t="s">
        <v>1668</v>
      </c>
      <c r="E1058" s="12">
        <v>3.372204299368619E-2</v>
      </c>
      <c r="F1058" s="12">
        <v>6.4584205812988751E-2</v>
      </c>
      <c r="G1058" s="12">
        <v>3.9999999999999998E-6</v>
      </c>
      <c r="H1058" s="12">
        <v>1.477309663377164E-3</v>
      </c>
    </row>
    <row r="1059" spans="1:8" ht="12.75">
      <c r="A1059" s="24" t="s">
        <v>2768</v>
      </c>
      <c r="B1059" s="14" t="s">
        <v>2774</v>
      </c>
      <c r="C1059" s="792">
        <v>5.8975298531722933</v>
      </c>
      <c r="D1059" s="18" t="s">
        <v>2715</v>
      </c>
      <c r="E1059" s="12">
        <v>2.9691872042618299E-2</v>
      </c>
      <c r="F1059" s="12">
        <v>7.5368545517799299E-2</v>
      </c>
      <c r="G1059" s="12">
        <v>2.9014018691588786E-4</v>
      </c>
      <c r="H1059" s="12">
        <v>1.4770983615231311E-3</v>
      </c>
    </row>
    <row r="1060" spans="1:8" ht="12.75">
      <c r="A1060" s="24" t="s">
        <v>2768</v>
      </c>
      <c r="B1060" s="14" t="s">
        <v>2774</v>
      </c>
      <c r="C1060" s="792">
        <v>1.82</v>
      </c>
      <c r="D1060" s="18" t="s">
        <v>2775</v>
      </c>
      <c r="E1060" s="12">
        <v>8.22790593034603E-2</v>
      </c>
      <c r="F1060" s="12">
        <v>0.15758024213268212</v>
      </c>
      <c r="G1060" s="12">
        <v>9.7596766979824417E-6</v>
      </c>
      <c r="H1060" s="12">
        <v>3.6045161743415983E-3</v>
      </c>
    </row>
    <row r="1061" spans="1:8" ht="12.75">
      <c r="A1061" s="24" t="s">
        <v>2768</v>
      </c>
      <c r="B1061" s="14" t="s">
        <v>2774</v>
      </c>
      <c r="C1061" s="792">
        <v>6.4740675581378486</v>
      </c>
      <c r="D1061" s="18" t="s">
        <v>425</v>
      </c>
      <c r="E1061" s="12">
        <v>3.8102374934982654E-3</v>
      </c>
      <c r="F1061" s="12">
        <v>0.20470422547079484</v>
      </c>
      <c r="G1061" s="12">
        <v>1.210810810810811E-4</v>
      </c>
      <c r="H1061" s="12">
        <v>1.0002400855855065E-3</v>
      </c>
    </row>
    <row r="1062" spans="1:8" ht="12.75">
      <c r="A1062" s="24" t="s">
        <v>2768</v>
      </c>
      <c r="B1062" s="14" t="s">
        <v>2774</v>
      </c>
      <c r="C1062" s="792" t="s">
        <v>1666</v>
      </c>
      <c r="D1062" s="466" t="s">
        <v>1666</v>
      </c>
      <c r="E1062" s="454" t="s">
        <v>1666</v>
      </c>
      <c r="F1062" s="454" t="s">
        <v>1666</v>
      </c>
      <c r="G1062" s="454" t="s">
        <v>1666</v>
      </c>
      <c r="H1062" s="454" t="s">
        <v>1666</v>
      </c>
    </row>
    <row r="1063" spans="1:8" ht="12.75">
      <c r="A1063" s="24" t="s">
        <v>2768</v>
      </c>
      <c r="B1063" s="14" t="s">
        <v>2774</v>
      </c>
      <c r="C1063" s="792" t="s">
        <v>1666</v>
      </c>
      <c r="D1063" s="466" t="s">
        <v>1666</v>
      </c>
      <c r="E1063" s="454" t="s">
        <v>1666</v>
      </c>
      <c r="F1063" s="454" t="s">
        <v>1666</v>
      </c>
      <c r="G1063" s="454" t="s">
        <v>1666</v>
      </c>
      <c r="H1063" s="454" t="s">
        <v>1666</v>
      </c>
    </row>
    <row r="1064" spans="1:8" ht="12.75">
      <c r="A1064" s="24" t="s">
        <v>2768</v>
      </c>
      <c r="B1064" s="14" t="s">
        <v>2774</v>
      </c>
      <c r="C1064" s="792">
        <v>2.3169766558235168</v>
      </c>
      <c r="D1064" s="466" t="s">
        <v>324</v>
      </c>
      <c r="E1064" s="12">
        <v>1.0652903141570055E-3</v>
      </c>
      <c r="F1064" s="12">
        <v>1.7273631840796021E-2</v>
      </c>
      <c r="G1064" s="12">
        <v>1.3582399999999999E-4</v>
      </c>
      <c r="H1064" s="12">
        <v>2.14E-3</v>
      </c>
    </row>
    <row r="1065" spans="1:8" ht="12.75">
      <c r="A1065" s="24" t="s">
        <v>2768</v>
      </c>
      <c r="B1065" s="14" t="s">
        <v>2774</v>
      </c>
      <c r="C1065" s="792">
        <v>1.4094458708719591</v>
      </c>
      <c r="D1065" s="466" t="s">
        <v>332</v>
      </c>
      <c r="E1065" s="12">
        <v>2.3E-3</v>
      </c>
      <c r="F1065" s="12">
        <v>4.7879999999999999E-2</v>
      </c>
      <c r="G1065" s="12">
        <v>9.9999999999999995E-7</v>
      </c>
      <c r="H1065" s="12">
        <v>4.4092488403675551E-4</v>
      </c>
    </row>
    <row r="1066" spans="1:8" ht="12.75">
      <c r="A1066" s="24" t="s">
        <v>2768</v>
      </c>
      <c r="B1066" s="14" t="s">
        <v>2774</v>
      </c>
      <c r="C1066" s="792">
        <v>0.91</v>
      </c>
      <c r="D1066" s="466" t="s">
        <v>83</v>
      </c>
      <c r="E1066" s="12">
        <v>0</v>
      </c>
      <c r="F1066" s="12">
        <v>0</v>
      </c>
      <c r="G1066" s="12">
        <v>0</v>
      </c>
      <c r="H1066" s="12">
        <v>0</v>
      </c>
    </row>
    <row r="1067" spans="1:8" ht="12.75">
      <c r="A1067" s="24" t="s">
        <v>2768</v>
      </c>
      <c r="B1067" s="14" t="s">
        <v>2774</v>
      </c>
      <c r="C1067" s="792">
        <v>0.22750000000000001</v>
      </c>
      <c r="D1067" s="466" t="s">
        <v>2712</v>
      </c>
      <c r="E1067" s="12">
        <v>4.0401172748815169E-2</v>
      </c>
      <c r="F1067" s="12">
        <v>0.11878669834123222</v>
      </c>
      <c r="G1067" s="12">
        <v>7.919516026066351E-4</v>
      </c>
      <c r="H1067" s="12">
        <v>7.4518613744075819E-3</v>
      </c>
    </row>
    <row r="1068" spans="1:8" ht="12.75">
      <c r="A1068" s="24" t="s">
        <v>2768</v>
      </c>
      <c r="B1068" s="14" t="s">
        <v>2774</v>
      </c>
      <c r="C1068" s="792">
        <v>0.22750000000000001</v>
      </c>
      <c r="D1068" s="466" t="s">
        <v>2776</v>
      </c>
      <c r="E1068" s="12">
        <v>1.5483515402843602E-2</v>
      </c>
      <c r="F1068" s="12">
        <v>4.5524313981042654E-2</v>
      </c>
      <c r="G1068" s="12">
        <v>3.0351086374407588E-4</v>
      </c>
      <c r="H1068" s="12">
        <v>2.8558827014218014E-3</v>
      </c>
    </row>
    <row r="1069" spans="1:8" ht="12.75">
      <c r="A1069" s="24" t="s">
        <v>2768</v>
      </c>
      <c r="B1069" s="14" t="s">
        <v>2774</v>
      </c>
      <c r="C1069" s="792" t="s">
        <v>1666</v>
      </c>
      <c r="D1069" s="466" t="s">
        <v>1666</v>
      </c>
      <c r="E1069" s="454" t="s">
        <v>1666</v>
      </c>
      <c r="F1069" s="454" t="s">
        <v>1666</v>
      </c>
      <c r="G1069" s="454" t="s">
        <v>1666</v>
      </c>
      <c r="H1069" s="454" t="s">
        <v>1666</v>
      </c>
    </row>
    <row r="1070" spans="1:8" ht="12.75">
      <c r="A1070" s="24" t="s">
        <v>2768</v>
      </c>
      <c r="B1070" s="14" t="s">
        <v>2774</v>
      </c>
      <c r="C1070" s="792" t="s">
        <v>1666</v>
      </c>
      <c r="D1070" s="466" t="s">
        <v>1666</v>
      </c>
      <c r="E1070" s="454" t="s">
        <v>1666</v>
      </c>
      <c r="F1070" s="454" t="s">
        <v>1666</v>
      </c>
      <c r="G1070" s="454" t="s">
        <v>1666</v>
      </c>
      <c r="H1070" s="454" t="s">
        <v>1666</v>
      </c>
    </row>
    <row r="1071" spans="1:8" ht="12.75">
      <c r="A1071" s="24" t="s">
        <v>2768</v>
      </c>
      <c r="B1071" s="14" t="s">
        <v>2774</v>
      </c>
      <c r="C1071" s="792" t="s">
        <v>1666</v>
      </c>
      <c r="D1071" s="466" t="s">
        <v>1666</v>
      </c>
      <c r="E1071" s="454" t="s">
        <v>1666</v>
      </c>
      <c r="F1071" s="454" t="s">
        <v>1666</v>
      </c>
      <c r="G1071" s="454" t="s">
        <v>1666</v>
      </c>
      <c r="H1071" s="454" t="s">
        <v>1666</v>
      </c>
    </row>
    <row r="1072" spans="1:8" ht="12.75">
      <c r="A1072" s="24" t="s">
        <v>2768</v>
      </c>
      <c r="B1072" s="14" t="s">
        <v>2774</v>
      </c>
      <c r="C1072" s="792" t="s">
        <v>1666</v>
      </c>
      <c r="D1072" s="466" t="s">
        <v>1666</v>
      </c>
      <c r="E1072" s="454" t="s">
        <v>1666</v>
      </c>
      <c r="F1072" s="454" t="s">
        <v>1666</v>
      </c>
      <c r="G1072" s="454" t="s">
        <v>1666</v>
      </c>
      <c r="H1072" s="454" t="s">
        <v>1666</v>
      </c>
    </row>
    <row r="1073" spans="1:8" ht="12.75">
      <c r="A1073" s="24" t="s">
        <v>2768</v>
      </c>
      <c r="B1073" s="14" t="s">
        <v>2774</v>
      </c>
      <c r="C1073" s="792">
        <v>0.20499143798387809</v>
      </c>
      <c r="D1073" s="18" t="s">
        <v>2777</v>
      </c>
      <c r="E1073" s="12">
        <v>3.372204299368619E-2</v>
      </c>
      <c r="F1073" s="12">
        <v>6.4584205812988751E-2</v>
      </c>
      <c r="G1073" s="12">
        <v>3.9999999999999998E-6</v>
      </c>
      <c r="H1073" s="12">
        <v>1.477309663377164E-3</v>
      </c>
    </row>
    <row r="1074" spans="1:8" ht="12.75">
      <c r="A1074" s="24" t="s">
        <v>2768</v>
      </c>
      <c r="B1074" s="14" t="s">
        <v>2774</v>
      </c>
      <c r="C1074" s="796">
        <v>0.18257540871533853</v>
      </c>
      <c r="D1074" s="818" t="s">
        <v>72</v>
      </c>
      <c r="E1074" s="464">
        <v>0</v>
      </c>
      <c r="F1074" s="464">
        <v>0</v>
      </c>
      <c r="G1074" s="464">
        <v>0</v>
      </c>
      <c r="H1074" s="464">
        <v>0</v>
      </c>
    </row>
    <row r="1075" spans="1:8" ht="12.75">
      <c r="A1075" s="24" t="s">
        <v>2768</v>
      </c>
      <c r="B1075" s="14" t="s">
        <v>2774</v>
      </c>
      <c r="C1075" s="792">
        <v>9.3177926356308213E-2</v>
      </c>
      <c r="D1075" s="466" t="s">
        <v>2662</v>
      </c>
      <c r="E1075" s="12">
        <v>6.399192301960112E-3</v>
      </c>
      <c r="F1075" s="12">
        <v>0.12411340117772937</v>
      </c>
      <c r="G1075" s="12">
        <v>9.8749999999999988E-5</v>
      </c>
      <c r="H1075" s="12">
        <v>3.8580927353216109E-4</v>
      </c>
    </row>
    <row r="1076" spans="1:8" ht="12.75">
      <c r="A1076" s="24" t="s">
        <v>2768</v>
      </c>
      <c r="B1076" s="14" t="s">
        <v>2774</v>
      </c>
      <c r="C1076" s="792" t="s">
        <v>1666</v>
      </c>
      <c r="D1076" s="466" t="s">
        <v>1666</v>
      </c>
      <c r="E1076" s="454" t="s">
        <v>1666</v>
      </c>
      <c r="F1076" s="454" t="s">
        <v>1666</v>
      </c>
      <c r="G1076" s="454" t="s">
        <v>1666</v>
      </c>
      <c r="H1076" s="454" t="s">
        <v>1666</v>
      </c>
    </row>
    <row r="1077" spans="1:8" ht="12.75">
      <c r="A1077" s="24" t="s">
        <v>2768</v>
      </c>
      <c r="B1077" s="14" t="s">
        <v>2774</v>
      </c>
      <c r="C1077" s="792">
        <v>0.18635585271261643</v>
      </c>
      <c r="D1077" s="18" t="s">
        <v>2530</v>
      </c>
      <c r="E1077" s="12">
        <v>2.5055367220000002E-3</v>
      </c>
      <c r="F1077" s="12">
        <v>3.8459841414181101E-2</v>
      </c>
      <c r="G1077" s="12">
        <v>1.1035422343324251E-4</v>
      </c>
      <c r="H1077" s="12">
        <v>8.109653861711444E-4</v>
      </c>
    </row>
    <row r="1078" spans="1:8" ht="12.75">
      <c r="A1078" s="24" t="s">
        <v>2768</v>
      </c>
      <c r="B1078" s="14" t="s">
        <v>2774</v>
      </c>
      <c r="C1078" s="792" t="s">
        <v>1666</v>
      </c>
      <c r="D1078" s="466" t="s">
        <v>1666</v>
      </c>
      <c r="E1078" s="454" t="s">
        <v>1666</v>
      </c>
      <c r="F1078" s="454" t="s">
        <v>1666</v>
      </c>
      <c r="G1078" s="454" t="s">
        <v>1666</v>
      </c>
      <c r="H1078" s="454" t="s">
        <v>1666</v>
      </c>
    </row>
    <row r="1079" spans="1:8" ht="12.75">
      <c r="A1079" s="24" t="s">
        <v>2768</v>
      </c>
      <c r="B1079" s="14" t="s">
        <v>2774</v>
      </c>
      <c r="C1079" s="792" t="s">
        <v>1666</v>
      </c>
      <c r="D1079" s="466" t="s">
        <v>1666</v>
      </c>
      <c r="E1079" s="454" t="s">
        <v>1666</v>
      </c>
      <c r="F1079" s="454" t="s">
        <v>1666</v>
      </c>
      <c r="G1079" s="454" t="s">
        <v>1666</v>
      </c>
      <c r="H1079" s="454" t="s">
        <v>1666</v>
      </c>
    </row>
    <row r="1080" spans="1:8" ht="12.75">
      <c r="A1080" s="24" t="s">
        <v>2768</v>
      </c>
      <c r="B1080" s="14" t="s">
        <v>2774</v>
      </c>
      <c r="C1080" s="792" t="s">
        <v>1666</v>
      </c>
      <c r="D1080" s="466" t="s">
        <v>1666</v>
      </c>
      <c r="E1080" s="454" t="s">
        <v>1666</v>
      </c>
      <c r="F1080" s="454" t="s">
        <v>1666</v>
      </c>
      <c r="G1080" s="454" t="s">
        <v>1666</v>
      </c>
      <c r="H1080" s="454" t="s">
        <v>1666</v>
      </c>
    </row>
    <row r="1081" spans="1:8" ht="12.75">
      <c r="A1081" s="24" t="s">
        <v>2768</v>
      </c>
      <c r="B1081" s="14" t="s">
        <v>2774</v>
      </c>
      <c r="C1081" s="792" t="s">
        <v>1666</v>
      </c>
      <c r="D1081" s="466" t="s">
        <v>1666</v>
      </c>
      <c r="E1081" s="454" t="s">
        <v>1666</v>
      </c>
      <c r="F1081" s="454" t="s">
        <v>1666</v>
      </c>
      <c r="G1081" s="454" t="s">
        <v>1666</v>
      </c>
      <c r="H1081" s="454" t="s">
        <v>1666</v>
      </c>
    </row>
    <row r="1082" spans="1:8" ht="12.75">
      <c r="A1082" s="24" t="s">
        <v>2768</v>
      </c>
      <c r="B1082" s="14" t="s">
        <v>2774</v>
      </c>
      <c r="C1082" s="792" t="s">
        <v>1666</v>
      </c>
      <c r="D1082" s="466" t="s">
        <v>1666</v>
      </c>
      <c r="E1082" s="454" t="s">
        <v>1666</v>
      </c>
      <c r="F1082" s="454" t="s">
        <v>1666</v>
      </c>
      <c r="G1082" s="454" t="s">
        <v>1666</v>
      </c>
      <c r="H1082" s="454" t="s">
        <v>1666</v>
      </c>
    </row>
    <row r="1083" spans="1:8" ht="12.75">
      <c r="A1083" s="24" t="s">
        <v>2768</v>
      </c>
      <c r="B1083" s="14" t="s">
        <v>2774</v>
      </c>
      <c r="C1083" s="792" t="s">
        <v>1666</v>
      </c>
      <c r="D1083" s="466" t="s">
        <v>1666</v>
      </c>
      <c r="E1083" s="454" t="s">
        <v>1666</v>
      </c>
      <c r="F1083" s="454" t="s">
        <v>1666</v>
      </c>
      <c r="G1083" s="454" t="s">
        <v>1666</v>
      </c>
      <c r="H1083" s="454" t="s">
        <v>1666</v>
      </c>
    </row>
    <row r="1084" spans="1:8" ht="12.75">
      <c r="A1084" s="24" t="s">
        <v>2768</v>
      </c>
      <c r="B1084" s="14" t="s">
        <v>2774</v>
      </c>
      <c r="C1084" s="792" t="s">
        <v>1666</v>
      </c>
      <c r="D1084" s="466" t="s">
        <v>1666</v>
      </c>
      <c r="E1084" s="454" t="s">
        <v>1666</v>
      </c>
      <c r="F1084" s="454" t="s">
        <v>1666</v>
      </c>
      <c r="G1084" s="454" t="s">
        <v>1666</v>
      </c>
      <c r="H1084" s="454" t="s">
        <v>1666</v>
      </c>
    </row>
    <row r="1085" spans="1:8" ht="12.75">
      <c r="A1085" s="24" t="s">
        <v>2768</v>
      </c>
      <c r="B1085" s="14" t="s">
        <v>2774</v>
      </c>
      <c r="C1085" s="792" t="s">
        <v>1666</v>
      </c>
      <c r="D1085" s="466" t="s">
        <v>1666</v>
      </c>
      <c r="E1085" s="454" t="s">
        <v>1666</v>
      </c>
      <c r="F1085" s="454" t="s">
        <v>1666</v>
      </c>
      <c r="G1085" s="454" t="s">
        <v>1666</v>
      </c>
      <c r="H1085" s="454" t="s">
        <v>1666</v>
      </c>
    </row>
    <row r="1086" spans="1:8" ht="12.75">
      <c r="A1086" s="24" t="s">
        <v>2768</v>
      </c>
      <c r="B1086" s="14" t="s">
        <v>2774</v>
      </c>
      <c r="C1086" s="792" t="s">
        <v>1666</v>
      </c>
      <c r="D1086" s="466" t="s">
        <v>1666</v>
      </c>
      <c r="E1086" s="454" t="s">
        <v>1666</v>
      </c>
      <c r="F1086" s="454" t="s">
        <v>1666</v>
      </c>
      <c r="G1086" s="454" t="s">
        <v>1666</v>
      </c>
      <c r="H1086" s="454" t="s">
        <v>1666</v>
      </c>
    </row>
    <row r="1087" spans="1:8" ht="12.75">
      <c r="A1087" s="24" t="s">
        <v>2768</v>
      </c>
      <c r="B1087" s="14" t="s">
        <v>2774</v>
      </c>
      <c r="C1087" s="792">
        <v>0.97836822674123602</v>
      </c>
      <c r="D1087" s="18" t="s">
        <v>139</v>
      </c>
      <c r="E1087" s="12">
        <v>4.0165275294130297E-3</v>
      </c>
      <c r="F1087" s="12">
        <v>3.2725331200335404E-2</v>
      </c>
      <c r="G1087" s="12">
        <v>2.4399999999999999E-4</v>
      </c>
      <c r="H1087" s="12">
        <v>2.0392735E-3</v>
      </c>
    </row>
    <row r="1088" spans="1:8" ht="12.75">
      <c r="A1088" s="794" t="s">
        <v>2768</v>
      </c>
      <c r="B1088" s="617" t="s">
        <v>2774</v>
      </c>
      <c r="C1088" s="455" t="s">
        <v>1666</v>
      </c>
      <c r="D1088" s="819" t="s">
        <v>1666</v>
      </c>
      <c r="E1088" s="808" t="s">
        <v>1666</v>
      </c>
      <c r="F1088" s="808" t="s">
        <v>1666</v>
      </c>
      <c r="G1088" s="808" t="s">
        <v>1666</v>
      </c>
      <c r="H1088" s="808" t="s">
        <v>1666</v>
      </c>
    </row>
    <row r="1089" spans="1:8" ht="12.75">
      <c r="A1089" s="24" t="s">
        <v>2768</v>
      </c>
      <c r="B1089" s="142" t="s">
        <v>2778</v>
      </c>
      <c r="C1089" s="792">
        <v>29.465328176981515</v>
      </c>
      <c r="D1089" s="18" t="s">
        <v>2779</v>
      </c>
      <c r="E1089" s="12">
        <v>5.0851930036188197E-3</v>
      </c>
      <c r="F1089" s="12">
        <v>5.9995417730640897E-2</v>
      </c>
      <c r="G1089" s="12">
        <v>3.4699999999999998E-4</v>
      </c>
      <c r="H1089" s="12">
        <v>2.9762429672480995E-4</v>
      </c>
    </row>
    <row r="1090" spans="1:8" ht="12.75">
      <c r="A1090" s="24" t="s">
        <v>2768</v>
      </c>
      <c r="B1090" s="142" t="s">
        <v>2778</v>
      </c>
      <c r="C1090" s="792">
        <v>28.944215900520899</v>
      </c>
      <c r="D1090" s="18" t="s">
        <v>433</v>
      </c>
      <c r="E1090" s="12">
        <v>3.0104466724907065E-4</v>
      </c>
      <c r="F1090" s="12">
        <v>1.2500000000000001E-2</v>
      </c>
      <c r="G1090" s="12">
        <v>5.1818181818181835E-4</v>
      </c>
      <c r="H1090" s="12">
        <v>4.0084080366977777E-4</v>
      </c>
    </row>
    <row r="1091" spans="1:8" ht="12.75">
      <c r="A1091" s="24" t="s">
        <v>2768</v>
      </c>
      <c r="B1091" s="142" t="s">
        <v>2778</v>
      </c>
      <c r="C1091" s="792">
        <v>5.1347799764825481</v>
      </c>
      <c r="D1091" s="18" t="s">
        <v>2780</v>
      </c>
      <c r="E1091" s="12">
        <v>3.372204299368619E-2</v>
      </c>
      <c r="F1091" s="12">
        <v>6.4584205812988751E-2</v>
      </c>
      <c r="G1091" s="12">
        <v>3.9999999999999998E-6</v>
      </c>
      <c r="H1091" s="12">
        <v>1.477309663377164E-3</v>
      </c>
    </row>
    <row r="1092" spans="1:8" ht="12.75">
      <c r="A1092" s="24" t="s">
        <v>2768</v>
      </c>
      <c r="B1092" s="142" t="s">
        <v>2778</v>
      </c>
      <c r="C1092" s="792">
        <v>1.8467343459036907</v>
      </c>
      <c r="D1092" s="18" t="s">
        <v>2775</v>
      </c>
      <c r="E1092" s="12">
        <v>8.22790593034603E-2</v>
      </c>
      <c r="F1092" s="12">
        <v>0.15758024213268212</v>
      </c>
      <c r="G1092" s="12">
        <v>9.7596766979824417E-6</v>
      </c>
      <c r="H1092" s="12">
        <v>3.6045161743415983E-3</v>
      </c>
    </row>
    <row r="1093" spans="1:8" ht="12.75">
      <c r="A1093" s="24" t="s">
        <v>2768</v>
      </c>
      <c r="B1093" s="142" t="s">
        <v>2778</v>
      </c>
      <c r="C1093" s="792">
        <v>7.0018995161508837</v>
      </c>
      <c r="D1093" s="18" t="s">
        <v>2694</v>
      </c>
      <c r="E1093" s="12">
        <v>2.9691872042618299E-2</v>
      </c>
      <c r="F1093" s="12">
        <v>7.5368545517799299E-2</v>
      </c>
      <c r="G1093" s="12">
        <v>2.9014018691588786E-4</v>
      </c>
      <c r="H1093" s="12">
        <v>1.4770983615231311E-3</v>
      </c>
    </row>
    <row r="1094" spans="1:8" ht="12.75">
      <c r="A1094" s="24" t="s">
        <v>2768</v>
      </c>
      <c r="B1094" s="142" t="s">
        <v>2778</v>
      </c>
      <c r="C1094" s="792">
        <v>0.74352366716492269</v>
      </c>
      <c r="D1094" s="458" t="s">
        <v>2781</v>
      </c>
      <c r="E1094" s="12">
        <v>3.372204299368619E-2</v>
      </c>
      <c r="F1094" s="12">
        <v>6.4584205812988751E-2</v>
      </c>
      <c r="G1094" s="12">
        <v>3.9999999999999998E-6</v>
      </c>
      <c r="H1094" s="12">
        <v>1.477309663377164E-3</v>
      </c>
    </row>
    <row r="1095" spans="1:8" ht="12.75">
      <c r="A1095" s="24" t="s">
        <v>2768</v>
      </c>
      <c r="B1095" s="142" t="s">
        <v>2778</v>
      </c>
      <c r="C1095" s="792" t="s">
        <v>1666</v>
      </c>
      <c r="D1095" s="466" t="s">
        <v>1666</v>
      </c>
      <c r="E1095" s="454" t="s">
        <v>1666</v>
      </c>
      <c r="F1095" s="454" t="s">
        <v>1666</v>
      </c>
      <c r="G1095" s="454" t="s">
        <v>1666</v>
      </c>
      <c r="H1095" s="454" t="s">
        <v>1666</v>
      </c>
    </row>
    <row r="1096" spans="1:8" ht="12.75">
      <c r="A1096" s="24" t="s">
        <v>2768</v>
      </c>
      <c r="B1096" s="142" t="s">
        <v>2778</v>
      </c>
      <c r="C1096" s="792" t="s">
        <v>1666</v>
      </c>
      <c r="D1096" s="466" t="s">
        <v>1666</v>
      </c>
      <c r="E1096" s="454" t="s">
        <v>1666</v>
      </c>
      <c r="F1096" s="454" t="s">
        <v>1666</v>
      </c>
      <c r="G1096" s="454" t="s">
        <v>1666</v>
      </c>
      <c r="H1096" s="454" t="s">
        <v>1666</v>
      </c>
    </row>
    <row r="1097" spans="1:8" ht="12.75">
      <c r="A1097" s="24" t="s">
        <v>2768</v>
      </c>
      <c r="B1097" s="142" t="s">
        <v>2778</v>
      </c>
      <c r="C1097" s="792">
        <v>2.1225710014947685</v>
      </c>
      <c r="D1097" s="466" t="s">
        <v>340</v>
      </c>
      <c r="E1097" s="12">
        <v>2.1708241661196198E-2</v>
      </c>
      <c r="F1097" s="12">
        <v>0.36572952458380198</v>
      </c>
      <c r="G1097" s="12">
        <v>4.6350652173913045E-4</v>
      </c>
      <c r="H1097" s="12">
        <v>1.6975608035415088E-3</v>
      </c>
    </row>
    <row r="1098" spans="1:8" ht="12.75">
      <c r="A1098" s="24" t="s">
        <v>2768</v>
      </c>
      <c r="B1098" s="142" t="s">
        <v>2778</v>
      </c>
      <c r="C1098" s="792">
        <v>2.4721668739981832</v>
      </c>
      <c r="D1098" s="18" t="s">
        <v>2777</v>
      </c>
      <c r="E1098" s="12">
        <v>3.372204299368619E-2</v>
      </c>
      <c r="F1098" s="12">
        <v>6.4584205812988751E-2</v>
      </c>
      <c r="G1098" s="12">
        <v>3.9999999999999998E-6</v>
      </c>
      <c r="H1098" s="12">
        <v>1.477309663377164E-3</v>
      </c>
    </row>
    <row r="1099" spans="1:8" ht="12.75">
      <c r="A1099" s="24" t="s">
        <v>2768</v>
      </c>
      <c r="B1099" s="142" t="s">
        <v>2778</v>
      </c>
      <c r="C1099" s="792">
        <v>4.2285710014947666</v>
      </c>
      <c r="D1099" s="18" t="s">
        <v>2525</v>
      </c>
      <c r="E1099" s="12">
        <v>3.8102374934982654E-3</v>
      </c>
      <c r="F1099" s="12">
        <v>0.20470422547079484</v>
      </c>
      <c r="G1099" s="12">
        <v>1.210810810810811E-4</v>
      </c>
      <c r="H1099" s="12">
        <v>1.0002400855855065E-3</v>
      </c>
    </row>
    <row r="1100" spans="1:8" ht="12.75">
      <c r="A1100" s="24" t="s">
        <v>2768</v>
      </c>
      <c r="B1100" s="142" t="s">
        <v>2778</v>
      </c>
      <c r="C1100" s="792">
        <v>2.1945710014947686</v>
      </c>
      <c r="D1100" s="18" t="s">
        <v>2530</v>
      </c>
      <c r="E1100" s="12">
        <v>2.5055367220000002E-3</v>
      </c>
      <c r="F1100" s="12">
        <v>3.8459841414181101E-2</v>
      </c>
      <c r="G1100" s="12">
        <v>1.1035422343324251E-4</v>
      </c>
      <c r="H1100" s="12">
        <v>8.109653861711444E-4</v>
      </c>
    </row>
    <row r="1101" spans="1:8" ht="12.75">
      <c r="A1101" s="24" t="s">
        <v>2768</v>
      </c>
      <c r="B1101" s="142" t="s">
        <v>2778</v>
      </c>
      <c r="C1101" s="792">
        <v>5.7845396933021496</v>
      </c>
      <c r="D1101" s="18" t="s">
        <v>2782</v>
      </c>
      <c r="E1101" s="12">
        <v>2.3E-3</v>
      </c>
      <c r="F1101" s="12">
        <v>4.7879999999999999E-2</v>
      </c>
      <c r="G1101" s="12">
        <v>9.9999999999999995E-7</v>
      </c>
      <c r="H1101" s="12">
        <v>4.4092488403675551E-4</v>
      </c>
    </row>
    <row r="1102" spans="1:8" ht="12.75">
      <c r="A1102" s="24" t="s">
        <v>2768</v>
      </c>
      <c r="B1102" s="142" t="s">
        <v>2778</v>
      </c>
      <c r="C1102" s="792" t="s">
        <v>1666</v>
      </c>
      <c r="D1102" s="466" t="s">
        <v>1666</v>
      </c>
      <c r="E1102" s="454" t="s">
        <v>1666</v>
      </c>
      <c r="F1102" s="454" t="s">
        <v>1666</v>
      </c>
      <c r="G1102" s="454" t="s">
        <v>1666</v>
      </c>
      <c r="H1102" s="454" t="s">
        <v>1666</v>
      </c>
    </row>
    <row r="1103" spans="1:8" ht="12.75">
      <c r="A1103" s="24" t="s">
        <v>2768</v>
      </c>
      <c r="B1103" s="142" t="s">
        <v>2778</v>
      </c>
      <c r="C1103" s="792" t="s">
        <v>1666</v>
      </c>
      <c r="D1103" s="466" t="s">
        <v>1666</v>
      </c>
      <c r="E1103" s="454" t="s">
        <v>1666</v>
      </c>
      <c r="F1103" s="454" t="s">
        <v>1666</v>
      </c>
      <c r="G1103" s="454" t="s">
        <v>1666</v>
      </c>
      <c r="H1103" s="454" t="s">
        <v>1666</v>
      </c>
    </row>
    <row r="1104" spans="1:8" ht="12.75">
      <c r="A1104" s="24" t="s">
        <v>2768</v>
      </c>
      <c r="B1104" s="142" t="s">
        <v>2778</v>
      </c>
      <c r="C1104" s="792">
        <v>0.56601893373193823</v>
      </c>
      <c r="D1104" s="466" t="s">
        <v>2661</v>
      </c>
      <c r="E1104" s="12">
        <v>3.0177940758293843E-3</v>
      </c>
      <c r="F1104" s="12">
        <v>8.8728561611374421E-3</v>
      </c>
      <c r="G1104" s="12">
        <v>5.9155383175355464E-5</v>
      </c>
      <c r="H1104" s="12">
        <v>5.56622037914692E-4</v>
      </c>
    </row>
    <row r="1105" spans="1:8" ht="12.75">
      <c r="A1105" s="24" t="s">
        <v>2768</v>
      </c>
      <c r="B1105" s="142" t="s">
        <v>2778</v>
      </c>
      <c r="C1105" s="792">
        <v>1.4150473343298455</v>
      </c>
      <c r="D1105" s="466" t="s">
        <v>990</v>
      </c>
      <c r="E1105" s="12">
        <v>4.8065157443333336E-3</v>
      </c>
      <c r="F1105" s="12">
        <v>2.3753475394999998E-2</v>
      </c>
      <c r="G1105" s="12">
        <v>4.4716312056737589E-4</v>
      </c>
      <c r="H1105" s="12">
        <v>1.378834501718213E-3</v>
      </c>
    </row>
    <row r="1106" spans="1:8" ht="12.75">
      <c r="A1106" s="24" t="s">
        <v>2768</v>
      </c>
      <c r="B1106" s="142" t="s">
        <v>2778</v>
      </c>
      <c r="C1106" s="792">
        <v>1.4150473343298455</v>
      </c>
      <c r="D1106" s="466" t="s">
        <v>2703</v>
      </c>
      <c r="E1106" s="12">
        <v>7.6594132480302998E-3</v>
      </c>
      <c r="F1106" s="12">
        <v>0.25452159072024799</v>
      </c>
      <c r="G1106" s="12">
        <v>2.4499999999999999E-4</v>
      </c>
      <c r="H1106" s="12">
        <v>3.0864741882572887E-4</v>
      </c>
    </row>
    <row r="1107" spans="1:8" ht="12.75">
      <c r="A1107" s="24" t="s">
        <v>2768</v>
      </c>
      <c r="B1107" s="142" t="s">
        <v>2778</v>
      </c>
      <c r="C1107" s="792">
        <v>2.3321370859820285</v>
      </c>
      <c r="D1107" s="466" t="s">
        <v>139</v>
      </c>
      <c r="E1107" s="12">
        <v>4.0165275294130297E-3</v>
      </c>
      <c r="F1107" s="12">
        <v>3.2725331200335404E-2</v>
      </c>
      <c r="G1107" s="12">
        <v>2.4399999999999999E-4</v>
      </c>
      <c r="H1107" s="12">
        <v>2.0392735E-3</v>
      </c>
    </row>
    <row r="1108" spans="1:8" ht="12.75">
      <c r="A1108" s="24" t="s">
        <v>2768</v>
      </c>
      <c r="B1108" s="142" t="s">
        <v>2778</v>
      </c>
      <c r="C1108" s="792" t="s">
        <v>1666</v>
      </c>
      <c r="D1108" s="466" t="s">
        <v>1666</v>
      </c>
      <c r="E1108" s="454" t="s">
        <v>1666</v>
      </c>
      <c r="F1108" s="454" t="s">
        <v>1666</v>
      </c>
      <c r="G1108" s="454" t="s">
        <v>1666</v>
      </c>
      <c r="H1108" s="454" t="s">
        <v>1666</v>
      </c>
    </row>
    <row r="1109" spans="1:8" ht="12.75">
      <c r="A1109" s="24" t="s">
        <v>2768</v>
      </c>
      <c r="B1109" s="142" t="s">
        <v>2778</v>
      </c>
      <c r="C1109" s="792" t="s">
        <v>1666</v>
      </c>
      <c r="D1109" s="466" t="s">
        <v>1666</v>
      </c>
      <c r="E1109" s="454" t="s">
        <v>1666</v>
      </c>
      <c r="F1109" s="454" t="s">
        <v>1666</v>
      </c>
      <c r="G1109" s="454" t="s">
        <v>1666</v>
      </c>
      <c r="H1109" s="454" t="s">
        <v>1666</v>
      </c>
    </row>
    <row r="1110" spans="1:8" ht="12.75">
      <c r="A1110" s="24" t="s">
        <v>2768</v>
      </c>
      <c r="B1110" s="142" t="s">
        <v>2778</v>
      </c>
      <c r="C1110" s="792">
        <v>1.1625637304748446</v>
      </c>
      <c r="D1110" s="18" t="s">
        <v>2529</v>
      </c>
      <c r="E1110" s="12">
        <v>2.2558902713754649E-4</v>
      </c>
      <c r="F1110" s="12">
        <v>9.3669250645994837E-3</v>
      </c>
      <c r="G1110" s="12">
        <v>3.8830162085976054E-4</v>
      </c>
      <c r="H1110" s="12">
        <v>3.0037166166469137E-4</v>
      </c>
    </row>
    <row r="1111" spans="1:8" ht="12.75">
      <c r="A1111" s="24" t="s">
        <v>2768</v>
      </c>
      <c r="B1111" s="142" t="s">
        <v>2778</v>
      </c>
      <c r="C1111" s="792">
        <v>0.56105649060516893</v>
      </c>
      <c r="D1111" s="467" t="s">
        <v>2783</v>
      </c>
      <c r="E1111" s="461">
        <v>2.2073766211046637E-2</v>
      </c>
      <c r="F1111" s="461">
        <v>8.7246004352723297E-2</v>
      </c>
      <c r="G1111" s="461">
        <v>5.8202330775582959E-4</v>
      </c>
      <c r="H1111" s="461">
        <v>2.670351142205461E-3</v>
      </c>
    </row>
    <row r="1112" spans="1:8" ht="12.75">
      <c r="A1112" s="24" t="s">
        <v>2768</v>
      </c>
      <c r="B1112" s="142" t="s">
        <v>2778</v>
      </c>
      <c r="C1112" s="792">
        <v>0.51685297265289165</v>
      </c>
      <c r="D1112" s="466" t="s">
        <v>83</v>
      </c>
      <c r="E1112" s="12">
        <v>0</v>
      </c>
      <c r="F1112" s="12">
        <v>0</v>
      </c>
      <c r="G1112" s="12">
        <v>0</v>
      </c>
      <c r="H1112" s="12">
        <v>0</v>
      </c>
    </row>
    <row r="1113" spans="1:8" ht="12.75">
      <c r="A1113" s="24" t="s">
        <v>2768</v>
      </c>
      <c r="B1113" s="142" t="s">
        <v>2778</v>
      </c>
      <c r="C1113" s="792" t="s">
        <v>1666</v>
      </c>
      <c r="D1113" s="466" t="s">
        <v>1666</v>
      </c>
      <c r="E1113" s="454" t="s">
        <v>1666</v>
      </c>
      <c r="F1113" s="454" t="s">
        <v>1666</v>
      </c>
      <c r="G1113" s="454" t="s">
        <v>1666</v>
      </c>
      <c r="H1113" s="454" t="s">
        <v>1666</v>
      </c>
    </row>
    <row r="1114" spans="1:8" ht="12.75">
      <c r="A1114" s="24" t="s">
        <v>2768</v>
      </c>
      <c r="B1114" s="142" t="s">
        <v>2778</v>
      </c>
      <c r="C1114" s="792" t="s">
        <v>1666</v>
      </c>
      <c r="D1114" s="466" t="s">
        <v>1666</v>
      </c>
      <c r="E1114" s="454" t="s">
        <v>1666</v>
      </c>
      <c r="F1114" s="454" t="s">
        <v>1666</v>
      </c>
      <c r="G1114" s="454" t="s">
        <v>1666</v>
      </c>
      <c r="H1114" s="454" t="s">
        <v>1666</v>
      </c>
    </row>
    <row r="1115" spans="1:8" ht="12.75">
      <c r="A1115" s="24" t="s">
        <v>2768</v>
      </c>
      <c r="B1115" s="142" t="s">
        <v>2778</v>
      </c>
      <c r="C1115" s="792" t="s">
        <v>1666</v>
      </c>
      <c r="D1115" s="466" t="s">
        <v>1666</v>
      </c>
      <c r="E1115" s="454" t="s">
        <v>1666</v>
      </c>
      <c r="F1115" s="454" t="s">
        <v>1666</v>
      </c>
      <c r="G1115" s="454" t="s">
        <v>1666</v>
      </c>
      <c r="H1115" s="454" t="s">
        <v>1666</v>
      </c>
    </row>
    <row r="1116" spans="1:8" ht="12.75">
      <c r="A1116" s="24" t="s">
        <v>2768</v>
      </c>
      <c r="B1116" s="142" t="s">
        <v>2778</v>
      </c>
      <c r="C1116" s="792" t="s">
        <v>1666</v>
      </c>
      <c r="D1116" s="466" t="s">
        <v>1666</v>
      </c>
      <c r="E1116" s="454" t="s">
        <v>1666</v>
      </c>
      <c r="F1116" s="454" t="s">
        <v>1666</v>
      </c>
      <c r="G1116" s="454" t="s">
        <v>1666</v>
      </c>
      <c r="H1116" s="454" t="s">
        <v>1666</v>
      </c>
    </row>
    <row r="1117" spans="1:8" ht="12.75">
      <c r="A1117" s="24" t="s">
        <v>2768</v>
      </c>
      <c r="B1117" s="142" t="s">
        <v>2778</v>
      </c>
      <c r="C1117" s="792" t="s">
        <v>1666</v>
      </c>
      <c r="D1117" s="466" t="s">
        <v>1666</v>
      </c>
      <c r="E1117" s="454" t="s">
        <v>1666</v>
      </c>
      <c r="F1117" s="454" t="s">
        <v>1666</v>
      </c>
      <c r="G1117" s="454" t="s">
        <v>1666</v>
      </c>
      <c r="H1117" s="454" t="s">
        <v>1666</v>
      </c>
    </row>
    <row r="1118" spans="1:8" ht="12.75">
      <c r="A1118" s="24" t="s">
        <v>2768</v>
      </c>
      <c r="B1118" s="142" t="s">
        <v>2778</v>
      </c>
      <c r="C1118" s="792" t="s">
        <v>1666</v>
      </c>
      <c r="D1118" s="466" t="s">
        <v>1666</v>
      </c>
      <c r="E1118" s="454" t="s">
        <v>1666</v>
      </c>
      <c r="F1118" s="454" t="s">
        <v>1666</v>
      </c>
      <c r="G1118" s="454" t="s">
        <v>1666</v>
      </c>
      <c r="H1118" s="454" t="s">
        <v>1666</v>
      </c>
    </row>
    <row r="1119" spans="1:8" ht="12.75">
      <c r="A1119" s="24" t="s">
        <v>2768</v>
      </c>
      <c r="B1119" s="142" t="s">
        <v>2778</v>
      </c>
      <c r="C1119" s="792" t="s">
        <v>1666</v>
      </c>
      <c r="D1119" s="466" t="s">
        <v>1666</v>
      </c>
      <c r="E1119" s="454" t="s">
        <v>1666</v>
      </c>
      <c r="F1119" s="454" t="s">
        <v>1666</v>
      </c>
      <c r="G1119" s="454" t="s">
        <v>1666</v>
      </c>
      <c r="H1119" s="454" t="s">
        <v>1666</v>
      </c>
    </row>
    <row r="1120" spans="1:8" ht="12.75">
      <c r="A1120" s="24" t="s">
        <v>2768</v>
      </c>
      <c r="B1120" s="142" t="s">
        <v>2778</v>
      </c>
      <c r="C1120" s="792" t="s">
        <v>1666</v>
      </c>
      <c r="D1120" s="466" t="s">
        <v>1666</v>
      </c>
      <c r="E1120" s="454" t="s">
        <v>1666</v>
      </c>
      <c r="F1120" s="454" t="s">
        <v>1666</v>
      </c>
      <c r="G1120" s="454" t="s">
        <v>1666</v>
      </c>
      <c r="H1120" s="454" t="s">
        <v>1666</v>
      </c>
    </row>
    <row r="1121" spans="1:8" ht="12.75">
      <c r="A1121" s="24" t="s">
        <v>2768</v>
      </c>
      <c r="B1121" s="142" t="s">
        <v>2778</v>
      </c>
      <c r="C1121" s="792" t="s">
        <v>1666</v>
      </c>
      <c r="D1121" s="466" t="s">
        <v>1666</v>
      </c>
      <c r="E1121" s="454" t="s">
        <v>1666</v>
      </c>
      <c r="F1121" s="454" t="s">
        <v>1666</v>
      </c>
      <c r="G1121" s="454" t="s">
        <v>1666</v>
      </c>
      <c r="H1121" s="454" t="s">
        <v>1666</v>
      </c>
    </row>
    <row r="1122" spans="1:8" ht="12.75">
      <c r="A1122" s="24" t="s">
        <v>2768</v>
      </c>
      <c r="B1122" s="142" t="s">
        <v>2778</v>
      </c>
      <c r="C1122" s="792" t="s">
        <v>1666</v>
      </c>
      <c r="D1122" s="466" t="s">
        <v>1666</v>
      </c>
      <c r="E1122" s="454" t="s">
        <v>1666</v>
      </c>
      <c r="F1122" s="454" t="s">
        <v>1666</v>
      </c>
      <c r="G1122" s="454" t="s">
        <v>1666</v>
      </c>
      <c r="H1122" s="454" t="s">
        <v>1666</v>
      </c>
    </row>
    <row r="1123" spans="1:8" ht="12.75">
      <c r="A1123" s="24" t="s">
        <v>2768</v>
      </c>
      <c r="B1123" s="142" t="s">
        <v>2778</v>
      </c>
      <c r="C1123" s="792">
        <v>0.20234350578692256</v>
      </c>
      <c r="D1123" s="458" t="s">
        <v>2784</v>
      </c>
      <c r="E1123" s="12">
        <v>1.7000000000000001E-2</v>
      </c>
      <c r="F1123" s="12">
        <v>3.15E-2</v>
      </c>
      <c r="G1123" s="12">
        <v>9.9999999999999995E-7</v>
      </c>
      <c r="H1123" s="12">
        <v>9.0389601227534877E-4</v>
      </c>
    </row>
    <row r="1124" spans="1:8" ht="12.75">
      <c r="A1124" s="24" t="s">
        <v>2768</v>
      </c>
      <c r="B1124" s="142" t="s">
        <v>2778</v>
      </c>
      <c r="C1124" s="792" t="s">
        <v>1666</v>
      </c>
      <c r="D1124" s="466" t="s">
        <v>1666</v>
      </c>
      <c r="E1124" s="454" t="s">
        <v>1666</v>
      </c>
      <c r="F1124" s="454" t="s">
        <v>1666</v>
      </c>
      <c r="G1124" s="454" t="s">
        <v>1666</v>
      </c>
      <c r="H1124" s="454" t="s">
        <v>1666</v>
      </c>
    </row>
    <row r="1125" spans="1:8" ht="12.75">
      <c r="A1125" s="24" t="s">
        <v>2768</v>
      </c>
      <c r="B1125" s="142" t="s">
        <v>2778</v>
      </c>
      <c r="C1125" s="792" t="s">
        <v>1666</v>
      </c>
      <c r="D1125" s="466" t="s">
        <v>1666</v>
      </c>
      <c r="E1125" s="454" t="s">
        <v>1666</v>
      </c>
      <c r="F1125" s="454" t="s">
        <v>1666</v>
      </c>
      <c r="G1125" s="454" t="s">
        <v>1666</v>
      </c>
      <c r="H1125" s="454" t="s">
        <v>1666</v>
      </c>
    </row>
    <row r="1126" spans="1:8" ht="12.75">
      <c r="A1126" s="24" t="s">
        <v>2768</v>
      </c>
      <c r="B1126" s="142" t="s">
        <v>2778</v>
      </c>
      <c r="C1126" s="792" t="s">
        <v>1666</v>
      </c>
      <c r="D1126" s="466" t="s">
        <v>1666</v>
      </c>
      <c r="E1126" s="454" t="s">
        <v>1666</v>
      </c>
      <c r="F1126" s="454" t="s">
        <v>1666</v>
      </c>
      <c r="G1126" s="454" t="s">
        <v>1666</v>
      </c>
      <c r="H1126" s="454" t="s">
        <v>1666</v>
      </c>
    </row>
    <row r="1127" spans="1:8" ht="12.75">
      <c r="A1127" s="24" t="s">
        <v>2768</v>
      </c>
      <c r="B1127" s="142" t="s">
        <v>2778</v>
      </c>
      <c r="C1127" s="792">
        <v>1.7181392818280736</v>
      </c>
      <c r="D1127" s="466" t="s">
        <v>2785</v>
      </c>
      <c r="E1127" s="12">
        <v>1.0652903141570055E-3</v>
      </c>
      <c r="F1127" s="12">
        <v>1.7273631840796021E-2</v>
      </c>
      <c r="G1127" s="12">
        <v>1.3582399999999999E-4</v>
      </c>
      <c r="H1127" s="12">
        <v>2.14E-3</v>
      </c>
    </row>
    <row r="1128" spans="1:8" ht="12.75">
      <c r="A1128" s="24" t="s">
        <v>2768</v>
      </c>
      <c r="B1128" s="142" t="s">
        <v>2778</v>
      </c>
      <c r="C1128" s="792" t="s">
        <v>1666</v>
      </c>
      <c r="D1128" s="466" t="s">
        <v>1666</v>
      </c>
      <c r="E1128" s="454" t="s">
        <v>1666</v>
      </c>
      <c r="F1128" s="454" t="s">
        <v>1666</v>
      </c>
      <c r="G1128" s="454" t="s">
        <v>1666</v>
      </c>
      <c r="H1128" s="454" t="s">
        <v>1666</v>
      </c>
    </row>
    <row r="1129" spans="1:8" ht="12.75">
      <c r="A1129" s="24" t="s">
        <v>2768</v>
      </c>
      <c r="B1129" s="142" t="s">
        <v>2778</v>
      </c>
      <c r="C1129" s="792" t="s">
        <v>1666</v>
      </c>
      <c r="D1129" s="466" t="s">
        <v>1666</v>
      </c>
      <c r="E1129" s="454" t="s">
        <v>1666</v>
      </c>
      <c r="F1129" s="454" t="s">
        <v>1666</v>
      </c>
      <c r="G1129" s="454" t="s">
        <v>1666</v>
      </c>
      <c r="H1129" s="454" t="s">
        <v>1666</v>
      </c>
    </row>
    <row r="1130" spans="1:8" ht="12.75">
      <c r="A1130" s="24" t="s">
        <v>2768</v>
      </c>
      <c r="B1130" s="142" t="s">
        <v>2778</v>
      </c>
      <c r="C1130" s="792" t="s">
        <v>1666</v>
      </c>
      <c r="D1130" s="466" t="s">
        <v>1666</v>
      </c>
      <c r="E1130" s="454" t="s">
        <v>1666</v>
      </c>
      <c r="F1130" s="454" t="s">
        <v>1666</v>
      </c>
      <c r="G1130" s="454" t="s">
        <v>1666</v>
      </c>
      <c r="H1130" s="454" t="s">
        <v>1666</v>
      </c>
    </row>
    <row r="1131" spans="1:8" ht="12.75">
      <c r="A1131" s="24" t="s">
        <v>2768</v>
      </c>
      <c r="B1131" s="142" t="s">
        <v>2778</v>
      </c>
      <c r="C1131" s="792" t="s">
        <v>1666</v>
      </c>
      <c r="D1131" s="466" t="s">
        <v>1666</v>
      </c>
      <c r="E1131" s="454" t="s">
        <v>1666</v>
      </c>
      <c r="F1131" s="454" t="s">
        <v>1666</v>
      </c>
      <c r="G1131" s="454" t="s">
        <v>1666</v>
      </c>
      <c r="H1131" s="454" t="s">
        <v>1666</v>
      </c>
    </row>
    <row r="1132" spans="1:8" ht="12.75">
      <c r="A1132" s="24" t="s">
        <v>2768</v>
      </c>
      <c r="B1132" s="142" t="s">
        <v>2778</v>
      </c>
      <c r="C1132" s="792" t="s">
        <v>1666</v>
      </c>
      <c r="D1132" s="466" t="s">
        <v>1666</v>
      </c>
      <c r="E1132" s="454" t="s">
        <v>1666</v>
      </c>
      <c r="F1132" s="454" t="s">
        <v>1666</v>
      </c>
      <c r="G1132" s="454" t="s">
        <v>1666</v>
      </c>
      <c r="H1132" s="454" t="s">
        <v>1666</v>
      </c>
    </row>
    <row r="1133" spans="1:8" ht="12.75">
      <c r="A1133" s="24" t="s">
        <v>2768</v>
      </c>
      <c r="B1133" s="142" t="s">
        <v>2778</v>
      </c>
      <c r="C1133" s="792">
        <v>9.8921752893461282E-3</v>
      </c>
      <c r="D1133" s="466" t="s">
        <v>124</v>
      </c>
      <c r="E1133" s="12">
        <v>3.9416473933649287E-3</v>
      </c>
      <c r="F1133" s="12">
        <v>1.1589150710900475E-2</v>
      </c>
      <c r="G1133" s="12">
        <v>7.7264934597156404E-5</v>
      </c>
      <c r="H1133" s="12">
        <v>7.2702369668246447E-4</v>
      </c>
    </row>
    <row r="1134" spans="1:8" ht="12.75">
      <c r="A1134" s="24" t="s">
        <v>2768</v>
      </c>
      <c r="B1134" s="142" t="s">
        <v>2778</v>
      </c>
      <c r="C1134" s="792" t="s">
        <v>1624</v>
      </c>
      <c r="D1134" s="466" t="s">
        <v>1624</v>
      </c>
      <c r="E1134" s="454" t="s">
        <v>1624</v>
      </c>
      <c r="F1134" s="454" t="s">
        <v>1624</v>
      </c>
      <c r="G1134" s="454" t="s">
        <v>1624</v>
      </c>
      <c r="H1134" s="454" t="s">
        <v>1624</v>
      </c>
    </row>
    <row r="1135" spans="1:8" ht="12.75">
      <c r="A1135" s="24" t="s">
        <v>2768</v>
      </c>
      <c r="B1135" s="142" t="s">
        <v>2778</v>
      </c>
      <c r="C1135" s="792" t="s">
        <v>1624</v>
      </c>
      <c r="D1135" s="466" t="s">
        <v>1624</v>
      </c>
      <c r="E1135" s="454" t="s">
        <v>1624</v>
      </c>
      <c r="F1135" s="454" t="s">
        <v>1624</v>
      </c>
      <c r="G1135" s="454" t="s">
        <v>1624</v>
      </c>
      <c r="H1135" s="454" t="s">
        <v>1624</v>
      </c>
    </row>
    <row r="1136" spans="1:8" ht="12.75">
      <c r="A1136" s="24" t="s">
        <v>2768</v>
      </c>
      <c r="B1136" s="142" t="s">
        <v>2778</v>
      </c>
      <c r="C1136" s="792" t="s">
        <v>1666</v>
      </c>
      <c r="D1136" s="466" t="s">
        <v>1666</v>
      </c>
      <c r="E1136" s="454" t="s">
        <v>1666</v>
      </c>
      <c r="F1136" s="454" t="s">
        <v>1666</v>
      </c>
      <c r="G1136" s="454" t="s">
        <v>1666</v>
      </c>
      <c r="H1136" s="454" t="s">
        <v>1666</v>
      </c>
    </row>
    <row r="1137" spans="1:8" ht="12.75">
      <c r="A1137" s="24" t="s">
        <v>2768</v>
      </c>
      <c r="B1137" s="142" t="s">
        <v>2778</v>
      </c>
      <c r="C1137" s="792" t="s">
        <v>1666</v>
      </c>
      <c r="D1137" s="466" t="s">
        <v>1666</v>
      </c>
      <c r="E1137" s="454" t="s">
        <v>1666</v>
      </c>
      <c r="F1137" s="454" t="s">
        <v>1666</v>
      </c>
      <c r="G1137" s="454" t="s">
        <v>1666</v>
      </c>
      <c r="H1137" s="454" t="s">
        <v>1666</v>
      </c>
    </row>
    <row r="1138" spans="1:8" ht="12.75">
      <c r="A1138" s="24" t="s">
        <v>2768</v>
      </c>
      <c r="B1138" s="142" t="s">
        <v>2778</v>
      </c>
      <c r="C1138" s="792" t="s">
        <v>1666</v>
      </c>
      <c r="D1138" s="466" t="s">
        <v>1666</v>
      </c>
      <c r="E1138" s="454" t="s">
        <v>1666</v>
      </c>
      <c r="F1138" s="454" t="s">
        <v>1666</v>
      </c>
      <c r="G1138" s="454" t="s">
        <v>1666</v>
      </c>
      <c r="H1138" s="454" t="s">
        <v>1666</v>
      </c>
    </row>
    <row r="1139" spans="1:8" ht="12.75">
      <c r="A1139" s="24" t="s">
        <v>2768</v>
      </c>
      <c r="B1139" s="142" t="s">
        <v>2778</v>
      </c>
      <c r="C1139" s="792" t="s">
        <v>1666</v>
      </c>
      <c r="D1139" s="466" t="s">
        <v>1666</v>
      </c>
      <c r="E1139" s="454" t="s">
        <v>1666</v>
      </c>
      <c r="F1139" s="454" t="s">
        <v>1666</v>
      </c>
      <c r="G1139" s="454" t="s">
        <v>1666</v>
      </c>
      <c r="H1139" s="454" t="s">
        <v>1666</v>
      </c>
    </row>
    <row r="1140" spans="1:8" ht="12.75">
      <c r="A1140" s="24" t="s">
        <v>2768</v>
      </c>
      <c r="B1140" s="142" t="s">
        <v>2778</v>
      </c>
      <c r="C1140" s="792" t="s">
        <v>1666</v>
      </c>
      <c r="D1140" s="466" t="s">
        <v>1666</v>
      </c>
      <c r="E1140" s="454" t="s">
        <v>1666</v>
      </c>
      <c r="F1140" s="454" t="s">
        <v>1666</v>
      </c>
      <c r="G1140" s="454" t="s">
        <v>1666</v>
      </c>
      <c r="H1140" s="454" t="s">
        <v>1666</v>
      </c>
    </row>
    <row r="1141" spans="1:8" ht="12.75">
      <c r="A1141" s="24" t="s">
        <v>2768</v>
      </c>
      <c r="B1141" s="142" t="s">
        <v>2778</v>
      </c>
      <c r="C1141" s="792" t="s">
        <v>1666</v>
      </c>
      <c r="D1141" s="466" t="s">
        <v>1666</v>
      </c>
      <c r="E1141" s="454" t="s">
        <v>1666</v>
      </c>
      <c r="F1141" s="454" t="s">
        <v>1666</v>
      </c>
      <c r="G1141" s="454" t="s">
        <v>1666</v>
      </c>
      <c r="H1141" s="454" t="s">
        <v>1666</v>
      </c>
    </row>
    <row r="1142" spans="1:8" ht="12.75">
      <c r="A1142" s="24" t="s">
        <v>2768</v>
      </c>
      <c r="B1142" s="142" t="s">
        <v>2778</v>
      </c>
      <c r="C1142" s="792" t="s">
        <v>1666</v>
      </c>
      <c r="D1142" s="466" t="s">
        <v>1666</v>
      </c>
      <c r="E1142" s="454" t="s">
        <v>1666</v>
      </c>
      <c r="F1142" s="454" t="s">
        <v>1666</v>
      </c>
      <c r="G1142" s="454" t="s">
        <v>1666</v>
      </c>
      <c r="H1142" s="454" t="s">
        <v>1666</v>
      </c>
    </row>
    <row r="1143" spans="1:8" ht="12.75">
      <c r="A1143" s="24" t="s">
        <v>2768</v>
      </c>
      <c r="B1143" s="142" t="s">
        <v>2778</v>
      </c>
      <c r="C1143" s="792" t="s">
        <v>1666</v>
      </c>
      <c r="D1143" s="466" t="s">
        <v>1666</v>
      </c>
      <c r="E1143" s="454" t="s">
        <v>1666</v>
      </c>
      <c r="F1143" s="454" t="s">
        <v>1666</v>
      </c>
      <c r="G1143" s="454" t="s">
        <v>1666</v>
      </c>
      <c r="H1143" s="454" t="s">
        <v>1666</v>
      </c>
    </row>
    <row r="1144" spans="1:8" ht="12.75">
      <c r="A1144" s="24" t="s">
        <v>2768</v>
      </c>
      <c r="B1144" s="142" t="s">
        <v>2778</v>
      </c>
      <c r="C1144" s="792" t="s">
        <v>1666</v>
      </c>
      <c r="D1144" s="466" t="s">
        <v>1666</v>
      </c>
      <c r="E1144" s="454" t="s">
        <v>1666</v>
      </c>
      <c r="F1144" s="454" t="s">
        <v>1666</v>
      </c>
      <c r="G1144" s="454" t="s">
        <v>1666</v>
      </c>
      <c r="H1144" s="454" t="s">
        <v>1666</v>
      </c>
    </row>
    <row r="1145" spans="1:8" ht="12.75">
      <c r="A1145" s="24" t="s">
        <v>2768</v>
      </c>
      <c r="B1145" s="142" t="s">
        <v>2778</v>
      </c>
      <c r="C1145" s="792" t="s">
        <v>1666</v>
      </c>
      <c r="D1145" s="466" t="s">
        <v>1666</v>
      </c>
      <c r="E1145" s="454" t="s">
        <v>1666</v>
      </c>
      <c r="F1145" s="454" t="s">
        <v>1666</v>
      </c>
      <c r="G1145" s="454" t="s">
        <v>1666</v>
      </c>
      <c r="H1145" s="454" t="s">
        <v>1666</v>
      </c>
    </row>
    <row r="1146" spans="1:8" ht="12.75">
      <c r="A1146" s="24" t="s">
        <v>2768</v>
      </c>
      <c r="B1146" s="142" t="s">
        <v>2778</v>
      </c>
      <c r="C1146" s="792" t="s">
        <v>1666</v>
      </c>
      <c r="D1146" s="466" t="s">
        <v>1666</v>
      </c>
      <c r="E1146" s="454" t="s">
        <v>1666</v>
      </c>
      <c r="F1146" s="454" t="s">
        <v>1666</v>
      </c>
      <c r="G1146" s="454" t="s">
        <v>1666</v>
      </c>
      <c r="H1146" s="454" t="s">
        <v>1666</v>
      </c>
    </row>
    <row r="1147" spans="1:8" ht="12.75">
      <c r="A1147" s="24" t="s">
        <v>2768</v>
      </c>
      <c r="B1147" s="142" t="s">
        <v>2778</v>
      </c>
      <c r="C1147" s="792" t="s">
        <v>1666</v>
      </c>
      <c r="D1147" s="466" t="s">
        <v>1666</v>
      </c>
      <c r="E1147" s="454" t="s">
        <v>1666</v>
      </c>
      <c r="F1147" s="454" t="s">
        <v>1666</v>
      </c>
      <c r="G1147" s="454" t="s">
        <v>1666</v>
      </c>
      <c r="H1147" s="454" t="s">
        <v>1666</v>
      </c>
    </row>
    <row r="1148" spans="1:8" ht="12.75">
      <c r="A1148" s="24" t="s">
        <v>2768</v>
      </c>
      <c r="B1148" s="142" t="s">
        <v>2778</v>
      </c>
      <c r="C1148" s="792">
        <v>8.0999999999999933E-2</v>
      </c>
      <c r="D1148" s="466" t="s">
        <v>2688</v>
      </c>
      <c r="E1148" s="12">
        <v>3.2210986719999998E-3</v>
      </c>
      <c r="F1148" s="12">
        <v>3.9434345900000001E-2</v>
      </c>
      <c r="G1148" s="12">
        <v>2.4510000000000001E-3</v>
      </c>
      <c r="H1148" s="12">
        <v>9.0389601229999995E-4</v>
      </c>
    </row>
    <row r="1149" spans="1:8" ht="12.75">
      <c r="A1149" s="24" t="s">
        <v>2768</v>
      </c>
      <c r="B1149" s="142" t="s">
        <v>2778</v>
      </c>
      <c r="C1149" s="792" t="s">
        <v>1666</v>
      </c>
      <c r="D1149" s="466" t="s">
        <v>1666</v>
      </c>
      <c r="E1149" s="454" t="s">
        <v>1666</v>
      </c>
      <c r="F1149" s="454" t="s">
        <v>1666</v>
      </c>
      <c r="G1149" s="454" t="s">
        <v>1666</v>
      </c>
      <c r="H1149" s="454" t="s">
        <v>1666</v>
      </c>
    </row>
    <row r="1150" spans="1:8" ht="12.75">
      <c r="A1150" s="24" t="s">
        <v>2768</v>
      </c>
      <c r="B1150" s="142" t="s">
        <v>2778</v>
      </c>
      <c r="C1150" s="792" t="s">
        <v>1666</v>
      </c>
      <c r="D1150" s="466" t="s">
        <v>1666</v>
      </c>
      <c r="E1150" s="454" t="s">
        <v>1666</v>
      </c>
      <c r="F1150" s="454" t="s">
        <v>1666</v>
      </c>
      <c r="G1150" s="454" t="s">
        <v>1666</v>
      </c>
      <c r="H1150" s="454" t="s">
        <v>1666</v>
      </c>
    </row>
    <row r="1151" spans="1:8" ht="12.75">
      <c r="A1151" s="24" t="s">
        <v>2768</v>
      </c>
      <c r="B1151" s="142" t="s">
        <v>2778</v>
      </c>
      <c r="C1151" s="792" t="s">
        <v>1666</v>
      </c>
      <c r="D1151" s="466" t="s">
        <v>1666</v>
      </c>
      <c r="E1151" s="454" t="s">
        <v>1666</v>
      </c>
      <c r="F1151" s="454" t="s">
        <v>1666</v>
      </c>
      <c r="G1151" s="454" t="s">
        <v>1666</v>
      </c>
      <c r="H1151" s="454" t="s">
        <v>1666</v>
      </c>
    </row>
    <row r="1152" spans="1:8" ht="12.75">
      <c r="A1152" s="24" t="s">
        <v>2768</v>
      </c>
      <c r="B1152" s="142" t="s">
        <v>2778</v>
      </c>
      <c r="C1152" s="792" t="s">
        <v>1666</v>
      </c>
      <c r="D1152" s="466" t="s">
        <v>1666</v>
      </c>
      <c r="E1152" s="454" t="s">
        <v>1666</v>
      </c>
      <c r="F1152" s="454" t="s">
        <v>1666</v>
      </c>
      <c r="G1152" s="454" t="s">
        <v>1666</v>
      </c>
      <c r="H1152" s="454" t="s">
        <v>1666</v>
      </c>
    </row>
    <row r="1153" spans="1:8" ht="12.75">
      <c r="A1153" s="24" t="s">
        <v>2768</v>
      </c>
      <c r="B1153" s="142" t="s">
        <v>2778</v>
      </c>
      <c r="C1153" s="792" t="s">
        <v>1666</v>
      </c>
      <c r="D1153" s="466" t="s">
        <v>1666</v>
      </c>
      <c r="E1153" s="454" t="s">
        <v>1666</v>
      </c>
      <c r="F1153" s="454" t="s">
        <v>1666</v>
      </c>
      <c r="G1153" s="454" t="s">
        <v>1666</v>
      </c>
      <c r="H1153" s="454" t="s">
        <v>1666</v>
      </c>
    </row>
    <row r="1154" spans="1:8" ht="12.75">
      <c r="A1154" s="24" t="s">
        <v>2768</v>
      </c>
      <c r="B1154" s="142" t="s">
        <v>2778</v>
      </c>
      <c r="C1154" s="792">
        <v>3.599999999999997E-2</v>
      </c>
      <c r="D1154" s="466" t="s">
        <v>876</v>
      </c>
      <c r="E1154" s="12">
        <v>6.0179999999999999E-3</v>
      </c>
      <c r="F1154" s="23">
        <v>1.7694000000000001E-2</v>
      </c>
      <c r="G1154" s="12">
        <v>1.17966E-4</v>
      </c>
      <c r="H1154" s="12">
        <v>1.1100000000000001E-3</v>
      </c>
    </row>
    <row r="1155" spans="1:8" ht="12.75">
      <c r="A1155" s="24" t="s">
        <v>2768</v>
      </c>
      <c r="B1155" s="142" t="s">
        <v>2778</v>
      </c>
      <c r="C1155" s="792" t="s">
        <v>1666</v>
      </c>
      <c r="D1155" s="466" t="s">
        <v>1666</v>
      </c>
      <c r="E1155" s="454" t="s">
        <v>1666</v>
      </c>
      <c r="F1155" s="454" t="s">
        <v>1666</v>
      </c>
      <c r="G1155" s="454" t="s">
        <v>1666</v>
      </c>
      <c r="H1155" s="454" t="s">
        <v>1666</v>
      </c>
    </row>
    <row r="1156" spans="1:8" ht="12.75">
      <c r="A1156" s="24" t="s">
        <v>2768</v>
      </c>
      <c r="B1156" s="142" t="s">
        <v>2778</v>
      </c>
      <c r="C1156" s="792" t="s">
        <v>1666</v>
      </c>
      <c r="D1156" s="466" t="s">
        <v>1666</v>
      </c>
      <c r="E1156" s="454" t="s">
        <v>1666</v>
      </c>
      <c r="F1156" s="454" t="s">
        <v>1666</v>
      </c>
      <c r="G1156" s="454" t="s">
        <v>1666</v>
      </c>
      <c r="H1156" s="454" t="s">
        <v>1666</v>
      </c>
    </row>
    <row r="1157" spans="1:8" ht="12.75">
      <c r="A1157" s="24" t="s">
        <v>2768</v>
      </c>
      <c r="B1157" s="142" t="s">
        <v>2778</v>
      </c>
      <c r="C1157" s="792" t="s">
        <v>1666</v>
      </c>
      <c r="D1157" s="466" t="s">
        <v>1666</v>
      </c>
      <c r="E1157" s="454" t="s">
        <v>1666</v>
      </c>
      <c r="F1157" s="454" t="s">
        <v>1666</v>
      </c>
      <c r="G1157" s="454" t="s">
        <v>1666</v>
      </c>
      <c r="H1157" s="454" t="s">
        <v>1666</v>
      </c>
    </row>
    <row r="1158" spans="1:8" ht="12.75">
      <c r="A1158" s="24" t="s">
        <v>2768</v>
      </c>
      <c r="B1158" s="142" t="s">
        <v>2778</v>
      </c>
      <c r="C1158" s="792">
        <v>3.599999999999997E-2</v>
      </c>
      <c r="D1158" s="466" t="s">
        <v>2712</v>
      </c>
      <c r="E1158" s="12">
        <v>4.0401172748815169E-2</v>
      </c>
      <c r="F1158" s="12">
        <v>0.11878669834123222</v>
      </c>
      <c r="G1158" s="12">
        <v>7.919516026066351E-4</v>
      </c>
      <c r="H1158" s="12">
        <v>7.4518613744075819E-3</v>
      </c>
    </row>
    <row r="1159" spans="1:8" ht="12.75">
      <c r="A1159" s="24" t="s">
        <v>2768</v>
      </c>
      <c r="B1159" s="142" t="s">
        <v>2778</v>
      </c>
      <c r="C1159" s="792" t="s">
        <v>1666</v>
      </c>
      <c r="D1159" s="466" t="s">
        <v>1666</v>
      </c>
      <c r="E1159" s="454" t="s">
        <v>1666</v>
      </c>
      <c r="F1159" s="454" t="s">
        <v>1666</v>
      </c>
      <c r="G1159" s="454" t="s">
        <v>1666</v>
      </c>
      <c r="H1159" s="454" t="s">
        <v>1666</v>
      </c>
    </row>
    <row r="1160" spans="1:8" ht="12.75">
      <c r="A1160" s="24" t="s">
        <v>2768</v>
      </c>
      <c r="B1160" s="142" t="s">
        <v>2778</v>
      </c>
      <c r="C1160" s="792" t="s">
        <v>1666</v>
      </c>
      <c r="D1160" s="466" t="s">
        <v>1666</v>
      </c>
      <c r="E1160" s="454" t="s">
        <v>1666</v>
      </c>
      <c r="F1160" s="454" t="s">
        <v>1666</v>
      </c>
      <c r="G1160" s="454" t="s">
        <v>1666</v>
      </c>
      <c r="H1160" s="454" t="s">
        <v>1666</v>
      </c>
    </row>
    <row r="1161" spans="1:8" ht="12.75">
      <c r="A1161" s="24" t="s">
        <v>2768</v>
      </c>
      <c r="B1161" s="142" t="s">
        <v>2778</v>
      </c>
      <c r="C1161" s="792" t="s">
        <v>1666</v>
      </c>
      <c r="D1161" s="466" t="s">
        <v>1666</v>
      </c>
      <c r="E1161" s="454" t="s">
        <v>1666</v>
      </c>
      <c r="F1161" s="454" t="s">
        <v>1666</v>
      </c>
      <c r="G1161" s="454" t="s">
        <v>1666</v>
      </c>
      <c r="H1161" s="454" t="s">
        <v>1666</v>
      </c>
    </row>
    <row r="1162" spans="1:8" ht="12.75">
      <c r="A1162" s="24" t="s">
        <v>2768</v>
      </c>
      <c r="B1162" s="142" t="s">
        <v>2778</v>
      </c>
      <c r="C1162" s="792" t="s">
        <v>1666</v>
      </c>
      <c r="D1162" s="466" t="s">
        <v>1666</v>
      </c>
      <c r="E1162" s="454" t="s">
        <v>1666</v>
      </c>
      <c r="F1162" s="454" t="s">
        <v>1666</v>
      </c>
      <c r="G1162" s="454" t="s">
        <v>1666</v>
      </c>
      <c r="H1162" s="454" t="s">
        <v>1666</v>
      </c>
    </row>
    <row r="1163" spans="1:8" ht="12.75">
      <c r="A1163" s="24" t="s">
        <v>2768</v>
      </c>
      <c r="B1163" s="142" t="s">
        <v>2778</v>
      </c>
      <c r="C1163" s="792" t="s">
        <v>1666</v>
      </c>
      <c r="D1163" s="466" t="s">
        <v>1666</v>
      </c>
      <c r="E1163" s="454" t="s">
        <v>1666</v>
      </c>
      <c r="F1163" s="454" t="s">
        <v>1666</v>
      </c>
      <c r="G1163" s="454" t="s">
        <v>1666</v>
      </c>
      <c r="H1163" s="454" t="s">
        <v>1666</v>
      </c>
    </row>
    <row r="1164" spans="1:8" ht="12.75">
      <c r="A1164" s="24" t="s">
        <v>2768</v>
      </c>
      <c r="B1164" s="142" t="s">
        <v>2778</v>
      </c>
      <c r="C1164" s="792" t="s">
        <v>1624</v>
      </c>
      <c r="D1164" s="466" t="s">
        <v>1624</v>
      </c>
      <c r="E1164" s="454" t="s">
        <v>1624</v>
      </c>
      <c r="F1164" s="454" t="s">
        <v>1624</v>
      </c>
      <c r="G1164" s="454" t="s">
        <v>1624</v>
      </c>
      <c r="H1164" s="454" t="s">
        <v>1624</v>
      </c>
    </row>
    <row r="1165" spans="1:8" ht="12.75">
      <c r="A1165" s="24" t="s">
        <v>2768</v>
      </c>
      <c r="B1165" s="142" t="s">
        <v>2778</v>
      </c>
      <c r="C1165" s="792" t="s">
        <v>1624</v>
      </c>
      <c r="D1165" s="466" t="s">
        <v>1624</v>
      </c>
      <c r="E1165" s="454" t="s">
        <v>1624</v>
      </c>
      <c r="F1165" s="454" t="s">
        <v>1624</v>
      </c>
      <c r="G1165" s="454" t="s">
        <v>1624</v>
      </c>
      <c r="H1165" s="454" t="s">
        <v>1624</v>
      </c>
    </row>
    <row r="1166" spans="1:8" ht="12.75">
      <c r="A1166" s="24" t="s">
        <v>2768</v>
      </c>
      <c r="B1166" s="142" t="s">
        <v>2778</v>
      </c>
      <c r="C1166" s="792" t="s">
        <v>1666</v>
      </c>
      <c r="D1166" s="466" t="s">
        <v>1666</v>
      </c>
      <c r="E1166" s="454" t="s">
        <v>1666</v>
      </c>
      <c r="F1166" s="454" t="s">
        <v>1666</v>
      </c>
      <c r="G1166" s="454" t="s">
        <v>1666</v>
      </c>
      <c r="H1166" s="454" t="s">
        <v>1666</v>
      </c>
    </row>
    <row r="1167" spans="1:8" ht="12.75">
      <c r="A1167" s="24" t="s">
        <v>2768</v>
      </c>
      <c r="B1167" s="142" t="s">
        <v>2778</v>
      </c>
      <c r="C1167" s="792" t="s">
        <v>1666</v>
      </c>
      <c r="D1167" s="466" t="s">
        <v>1666</v>
      </c>
      <c r="E1167" s="454" t="s">
        <v>1666</v>
      </c>
      <c r="F1167" s="454" t="s">
        <v>1666</v>
      </c>
      <c r="G1167" s="454" t="s">
        <v>1666</v>
      </c>
      <c r="H1167" s="454" t="s">
        <v>1666</v>
      </c>
    </row>
    <row r="1168" spans="1:8" ht="12.75">
      <c r="A1168" s="24" t="s">
        <v>2768</v>
      </c>
      <c r="B1168" s="142" t="s">
        <v>2778</v>
      </c>
      <c r="C1168" s="792" t="s">
        <v>1666</v>
      </c>
      <c r="D1168" s="466" t="s">
        <v>1666</v>
      </c>
      <c r="E1168" s="454" t="s">
        <v>1666</v>
      </c>
      <c r="F1168" s="454" t="s">
        <v>1666</v>
      </c>
      <c r="G1168" s="454" t="s">
        <v>1666</v>
      </c>
      <c r="H1168" s="454" t="s">
        <v>1666</v>
      </c>
    </row>
    <row r="1169" spans="1:8" ht="12.75">
      <c r="A1169" s="24" t="s">
        <v>2768</v>
      </c>
      <c r="B1169" s="142" t="s">
        <v>2778</v>
      </c>
      <c r="C1169" s="792">
        <v>4.4999999999999962E-3</v>
      </c>
      <c r="D1169" s="466" t="s">
        <v>314</v>
      </c>
      <c r="E1169" s="12">
        <v>5.5052259063149899E-3</v>
      </c>
      <c r="F1169" s="12">
        <v>8.2856018088169489E-2</v>
      </c>
      <c r="G1169" s="12">
        <v>3.8159999999999999E-3</v>
      </c>
      <c r="H1169" s="12">
        <v>1.8959770013580487E-3</v>
      </c>
    </row>
    <row r="1170" spans="1:8" ht="12.75">
      <c r="A1170" s="24" t="s">
        <v>2768</v>
      </c>
      <c r="B1170" s="142" t="s">
        <v>2778</v>
      </c>
      <c r="C1170" s="792">
        <v>4.4999999999999962E-3</v>
      </c>
      <c r="D1170" s="458" t="s">
        <v>81</v>
      </c>
      <c r="E1170" s="12">
        <v>1.9912385503783353E-2</v>
      </c>
      <c r="F1170" s="12">
        <v>5.6949422540820388E-2</v>
      </c>
      <c r="G1170" s="12">
        <v>3.8829151732377542E-3</v>
      </c>
      <c r="H1170" s="12">
        <v>5.6321186778176026E-3</v>
      </c>
    </row>
    <row r="1171" spans="1:8" ht="12.75">
      <c r="A1171" s="24" t="s">
        <v>2768</v>
      </c>
      <c r="B1171" s="142" t="s">
        <v>2778</v>
      </c>
      <c r="C1171" s="792" t="s">
        <v>1666</v>
      </c>
      <c r="D1171" s="466" t="s">
        <v>1666</v>
      </c>
      <c r="E1171" s="454" t="s">
        <v>1666</v>
      </c>
      <c r="F1171" s="454" t="s">
        <v>1666</v>
      </c>
      <c r="G1171" s="454" t="s">
        <v>1666</v>
      </c>
      <c r="H1171" s="454" t="s">
        <v>1666</v>
      </c>
    </row>
    <row r="1172" spans="1:8" ht="12.75">
      <c r="A1172" s="794" t="s">
        <v>2768</v>
      </c>
      <c r="B1172" s="820" t="s">
        <v>2778</v>
      </c>
      <c r="C1172" s="455" t="s">
        <v>1666</v>
      </c>
      <c r="D1172" s="819" t="s">
        <v>1666</v>
      </c>
      <c r="E1172" s="808" t="s">
        <v>1666</v>
      </c>
      <c r="F1172" s="808" t="s">
        <v>1666</v>
      </c>
      <c r="G1172" s="808" t="s">
        <v>1666</v>
      </c>
      <c r="H1172" s="808" t="s">
        <v>1666</v>
      </c>
    </row>
    <row r="1173" spans="1:8" ht="12.75">
      <c r="A1173" s="24" t="s">
        <v>2768</v>
      </c>
      <c r="B1173" s="142" t="s">
        <v>2786</v>
      </c>
      <c r="C1173" s="792">
        <v>21.463531213557495</v>
      </c>
      <c r="D1173" s="18" t="s">
        <v>433</v>
      </c>
      <c r="E1173" s="12">
        <v>3.0104466724907065E-4</v>
      </c>
      <c r="F1173" s="12">
        <v>1.2500000000000001E-2</v>
      </c>
      <c r="G1173" s="12">
        <v>5.1818181818181835E-4</v>
      </c>
      <c r="H1173" s="12">
        <v>4.0084080366977777E-4</v>
      </c>
    </row>
    <row r="1174" spans="1:8" ht="12.75">
      <c r="A1174" s="24" t="s">
        <v>2768</v>
      </c>
      <c r="B1174" s="142" t="s">
        <v>2786</v>
      </c>
      <c r="C1174" s="792">
        <v>18.817106354155722</v>
      </c>
      <c r="D1174" s="18" t="s">
        <v>2526</v>
      </c>
      <c r="E1174" s="12">
        <v>5.0851930036188197E-3</v>
      </c>
      <c r="F1174" s="12">
        <v>5.9995417730640897E-2</v>
      </c>
      <c r="G1174" s="12">
        <v>3.4699999999999998E-4</v>
      </c>
      <c r="H1174" s="12">
        <v>2.9762429672480995E-4</v>
      </c>
    </row>
    <row r="1175" spans="1:8" ht="12.75">
      <c r="A1175" s="24" t="s">
        <v>2768</v>
      </c>
      <c r="B1175" s="142" t="s">
        <v>2786</v>
      </c>
      <c r="C1175" s="792">
        <v>1.614906832298137</v>
      </c>
      <c r="D1175" s="466" t="s">
        <v>425</v>
      </c>
      <c r="E1175" s="12">
        <v>3.8102374934982654E-3</v>
      </c>
      <c r="F1175" s="12">
        <v>0.20470422547079484</v>
      </c>
      <c r="G1175" s="12">
        <v>1.210810810810811E-4</v>
      </c>
      <c r="H1175" s="12">
        <v>1.0002400855855065E-3</v>
      </c>
    </row>
    <row r="1176" spans="1:8" ht="12.75">
      <c r="A1176" s="24" t="s">
        <v>2768</v>
      </c>
      <c r="B1176" s="142" t="s">
        <v>2786</v>
      </c>
      <c r="C1176" s="792" t="s">
        <v>1666</v>
      </c>
      <c r="D1176" s="466" t="s">
        <v>1666</v>
      </c>
      <c r="E1176" s="454" t="s">
        <v>1666</v>
      </c>
      <c r="F1176" s="454" t="s">
        <v>1666</v>
      </c>
      <c r="G1176" s="454" t="s">
        <v>1666</v>
      </c>
      <c r="H1176" s="454" t="s">
        <v>1666</v>
      </c>
    </row>
    <row r="1177" spans="1:8" ht="12.75">
      <c r="A1177" s="24" t="s">
        <v>2768</v>
      </c>
      <c r="B1177" s="142" t="s">
        <v>2786</v>
      </c>
      <c r="C1177" s="792">
        <v>0.59213250517598359</v>
      </c>
      <c r="D1177" s="458" t="s">
        <v>2777</v>
      </c>
      <c r="E1177" s="12">
        <v>3.372204299368619E-2</v>
      </c>
      <c r="F1177" s="12">
        <v>6.4584205812988751E-2</v>
      </c>
      <c r="G1177" s="12">
        <v>3.9999999999999998E-6</v>
      </c>
      <c r="H1177" s="12">
        <v>1.477309663377164E-3</v>
      </c>
    </row>
    <row r="1178" spans="1:8" ht="12.75">
      <c r="A1178" s="24" t="s">
        <v>2768</v>
      </c>
      <c r="B1178" s="142" t="s">
        <v>2786</v>
      </c>
      <c r="C1178" s="796">
        <v>0.52738336713995937</v>
      </c>
      <c r="D1178" s="818" t="s">
        <v>72</v>
      </c>
      <c r="E1178" s="457">
        <v>0</v>
      </c>
      <c r="F1178" s="457">
        <v>0</v>
      </c>
      <c r="G1178" s="457">
        <v>0</v>
      </c>
      <c r="H1178" s="457">
        <v>0</v>
      </c>
    </row>
    <row r="1179" spans="1:8" ht="12.75">
      <c r="A1179" s="24" t="s">
        <v>2768</v>
      </c>
      <c r="B1179" s="142" t="s">
        <v>2786</v>
      </c>
      <c r="C1179" s="792">
        <v>0.2691511387163561</v>
      </c>
      <c r="D1179" s="466" t="s">
        <v>2662</v>
      </c>
      <c r="E1179" s="12">
        <v>6.399192301960112E-3</v>
      </c>
      <c r="F1179" s="12">
        <v>0.12411340117772937</v>
      </c>
      <c r="G1179" s="12">
        <v>9.8749999999999988E-5</v>
      </c>
      <c r="H1179" s="12">
        <v>3.8580927353216109E-4</v>
      </c>
    </row>
    <row r="1180" spans="1:8" ht="12.75">
      <c r="A1180" s="24" t="s">
        <v>2768</v>
      </c>
      <c r="B1180" s="142" t="s">
        <v>2786</v>
      </c>
      <c r="C1180" s="792" t="s">
        <v>1666</v>
      </c>
      <c r="D1180" s="466" t="s">
        <v>1666</v>
      </c>
      <c r="E1180" s="454" t="s">
        <v>1666</v>
      </c>
      <c r="F1180" s="454" t="s">
        <v>1666</v>
      </c>
      <c r="G1180" s="454" t="s">
        <v>1666</v>
      </c>
      <c r="H1180" s="454" t="s">
        <v>1666</v>
      </c>
    </row>
    <row r="1181" spans="1:8" ht="12.75">
      <c r="A1181" s="24" t="s">
        <v>2768</v>
      </c>
      <c r="B1181" s="142" t="s">
        <v>2786</v>
      </c>
      <c r="C1181" s="792">
        <v>0.5383022774327122</v>
      </c>
      <c r="D1181" s="466" t="s">
        <v>227</v>
      </c>
      <c r="E1181" s="12">
        <v>2.5055367220000002E-3</v>
      </c>
      <c r="F1181" s="12">
        <v>3.8459841414181101E-2</v>
      </c>
      <c r="G1181" s="12">
        <v>1.1035422343324251E-4</v>
      </c>
      <c r="H1181" s="12">
        <v>8.109653861711444E-4</v>
      </c>
    </row>
    <row r="1182" spans="1:8" ht="12.75">
      <c r="A1182" s="24" t="s">
        <v>2768</v>
      </c>
      <c r="B1182" s="142" t="s">
        <v>2786</v>
      </c>
      <c r="C1182" s="792" t="s">
        <v>1666</v>
      </c>
      <c r="D1182" s="466" t="s">
        <v>1666</v>
      </c>
      <c r="E1182" s="454" t="s">
        <v>1666</v>
      </c>
      <c r="F1182" s="454" t="s">
        <v>1666</v>
      </c>
      <c r="G1182" s="454" t="s">
        <v>1666</v>
      </c>
      <c r="H1182" s="454" t="s">
        <v>1666</v>
      </c>
    </row>
    <row r="1183" spans="1:8" ht="12.75">
      <c r="A1183" s="24" t="s">
        <v>2768</v>
      </c>
      <c r="B1183" s="142" t="s">
        <v>2786</v>
      </c>
      <c r="C1183" s="792" t="s">
        <v>1666</v>
      </c>
      <c r="D1183" s="466" t="s">
        <v>1666</v>
      </c>
      <c r="E1183" s="454" t="s">
        <v>1666</v>
      </c>
      <c r="F1183" s="454" t="s">
        <v>1666</v>
      </c>
      <c r="G1183" s="454" t="s">
        <v>1666</v>
      </c>
      <c r="H1183" s="454" t="s">
        <v>1666</v>
      </c>
    </row>
    <row r="1184" spans="1:8" ht="12.75">
      <c r="A1184" s="24" t="s">
        <v>2768</v>
      </c>
      <c r="B1184" s="142" t="s">
        <v>2786</v>
      </c>
      <c r="C1184" s="792" t="s">
        <v>1666</v>
      </c>
      <c r="D1184" s="466" t="s">
        <v>1666</v>
      </c>
      <c r="E1184" s="454" t="s">
        <v>1666</v>
      </c>
      <c r="F1184" s="454" t="s">
        <v>1666</v>
      </c>
      <c r="G1184" s="454" t="s">
        <v>1666</v>
      </c>
      <c r="H1184" s="454" t="s">
        <v>1666</v>
      </c>
    </row>
    <row r="1185" spans="1:8" ht="12.75">
      <c r="A1185" s="24" t="s">
        <v>2768</v>
      </c>
      <c r="B1185" s="142" t="s">
        <v>2786</v>
      </c>
      <c r="C1185" s="792">
        <v>3.8952898550724639</v>
      </c>
      <c r="D1185" s="466" t="s">
        <v>2787</v>
      </c>
      <c r="E1185" s="12">
        <v>2.9691872042618299E-2</v>
      </c>
      <c r="F1185" s="12">
        <v>7.5368545517799299E-2</v>
      </c>
      <c r="G1185" s="12">
        <v>2.9014018691588786E-4</v>
      </c>
      <c r="H1185" s="12">
        <v>1.4770983615231311E-3</v>
      </c>
    </row>
    <row r="1186" spans="1:8" ht="12.75">
      <c r="A1186" s="24" t="s">
        <v>2768</v>
      </c>
      <c r="B1186" s="142" t="s">
        <v>2786</v>
      </c>
      <c r="C1186" s="792" t="s">
        <v>1666</v>
      </c>
      <c r="D1186" s="466" t="s">
        <v>1666</v>
      </c>
      <c r="E1186" s="454" t="s">
        <v>1666</v>
      </c>
      <c r="F1186" s="454" t="s">
        <v>1666</v>
      </c>
      <c r="G1186" s="454" t="s">
        <v>1666</v>
      </c>
      <c r="H1186" s="454" t="s">
        <v>1666</v>
      </c>
    </row>
    <row r="1187" spans="1:8" ht="12.75">
      <c r="A1187" s="24" t="s">
        <v>2768</v>
      </c>
      <c r="B1187" s="142" t="s">
        <v>2786</v>
      </c>
      <c r="C1187" s="792" t="s">
        <v>1666</v>
      </c>
      <c r="D1187" s="466" t="s">
        <v>1666</v>
      </c>
      <c r="E1187" s="454" t="s">
        <v>1666</v>
      </c>
      <c r="F1187" s="454" t="s">
        <v>1666</v>
      </c>
      <c r="G1187" s="454" t="s">
        <v>1666</v>
      </c>
      <c r="H1187" s="454" t="s">
        <v>1666</v>
      </c>
    </row>
    <row r="1188" spans="1:8" ht="12.75">
      <c r="A1188" s="24" t="s">
        <v>2768</v>
      </c>
      <c r="B1188" s="142" t="s">
        <v>2786</v>
      </c>
      <c r="C1188" s="792">
        <v>0.12838509316770186</v>
      </c>
      <c r="D1188" s="466" t="s">
        <v>332</v>
      </c>
      <c r="E1188" s="12">
        <v>2.3E-3</v>
      </c>
      <c r="F1188" s="12">
        <v>4.7879999999999999E-2</v>
      </c>
      <c r="G1188" s="12">
        <v>9.9999999999999995E-7</v>
      </c>
      <c r="H1188" s="12">
        <v>4.4092488403675551E-4</v>
      </c>
    </row>
    <row r="1189" spans="1:8" ht="12.75">
      <c r="A1189" s="24" t="s">
        <v>2768</v>
      </c>
      <c r="B1189" s="142" t="s">
        <v>2786</v>
      </c>
      <c r="C1189" s="792">
        <v>0.12125258799171847</v>
      </c>
      <c r="D1189" s="466" t="s">
        <v>324</v>
      </c>
      <c r="E1189" s="12">
        <v>1.0652903141570055E-3</v>
      </c>
      <c r="F1189" s="12">
        <v>1.7273631840796021E-2</v>
      </c>
      <c r="G1189" s="12">
        <v>1.3582399999999999E-4</v>
      </c>
      <c r="H1189" s="12">
        <v>2.14E-3</v>
      </c>
    </row>
    <row r="1190" spans="1:8" ht="12.75">
      <c r="A1190" s="24" t="s">
        <v>2768</v>
      </c>
      <c r="B1190" s="142" t="s">
        <v>2786</v>
      </c>
      <c r="C1190" s="792" t="s">
        <v>1666</v>
      </c>
      <c r="D1190" s="466" t="s">
        <v>1666</v>
      </c>
      <c r="E1190" s="454" t="s">
        <v>1666</v>
      </c>
      <c r="F1190" s="454" t="s">
        <v>1666</v>
      </c>
      <c r="G1190" s="454" t="s">
        <v>1666</v>
      </c>
      <c r="H1190" s="454" t="s">
        <v>1666</v>
      </c>
    </row>
    <row r="1191" spans="1:8" ht="12.75">
      <c r="A1191" s="24" t="s">
        <v>2768</v>
      </c>
      <c r="B1191" s="142" t="s">
        <v>2786</v>
      </c>
      <c r="C1191" s="792">
        <v>8.1075420042942739</v>
      </c>
      <c r="D1191" s="458" t="s">
        <v>139</v>
      </c>
      <c r="E1191" s="12">
        <v>4.0165275294130297E-3</v>
      </c>
      <c r="F1191" s="12">
        <v>3.2725331200335404E-2</v>
      </c>
      <c r="G1191" s="12">
        <v>2.4399999999999999E-4</v>
      </c>
      <c r="H1191" s="12">
        <v>2.0392735E-3</v>
      </c>
    </row>
    <row r="1192" spans="1:8" ht="12.75">
      <c r="A1192" s="24" t="s">
        <v>2768</v>
      </c>
      <c r="B1192" s="142" t="s">
        <v>2786</v>
      </c>
      <c r="C1192" s="792" t="s">
        <v>1666</v>
      </c>
      <c r="D1192" s="466" t="s">
        <v>1666</v>
      </c>
      <c r="E1192" s="454" t="s">
        <v>1666</v>
      </c>
      <c r="F1192" s="454" t="s">
        <v>1666</v>
      </c>
      <c r="G1192" s="454" t="s">
        <v>1666</v>
      </c>
      <c r="H1192" s="454" t="s">
        <v>1666</v>
      </c>
    </row>
    <row r="1193" spans="1:8" ht="12.75">
      <c r="A1193" s="24" t="s">
        <v>2768</v>
      </c>
      <c r="B1193" s="142" t="s">
        <v>2786</v>
      </c>
      <c r="C1193" s="792">
        <v>11.612064003683665</v>
      </c>
      <c r="D1193" s="466" t="s">
        <v>1588</v>
      </c>
      <c r="E1193" s="12">
        <v>2.9559941486988851E-4</v>
      </c>
      <c r="F1193" s="12">
        <v>1.227390180878553E-2</v>
      </c>
      <c r="G1193" s="12">
        <v>5.0880902043692758E-4</v>
      </c>
      <c r="H1193" s="12">
        <v>3.9359045321580248E-4</v>
      </c>
    </row>
    <row r="1194" spans="1:8" ht="12.75">
      <c r="A1194" s="24" t="s">
        <v>2768</v>
      </c>
      <c r="B1194" s="142" t="s">
        <v>2786</v>
      </c>
      <c r="C1194" s="792" t="s">
        <v>1666</v>
      </c>
      <c r="D1194" s="466" t="s">
        <v>1666</v>
      </c>
      <c r="E1194" s="454" t="s">
        <v>1666</v>
      </c>
      <c r="F1194" s="454" t="s">
        <v>1666</v>
      </c>
      <c r="G1194" s="454" t="s">
        <v>1666</v>
      </c>
      <c r="H1194" s="454" t="s">
        <v>1666</v>
      </c>
    </row>
    <row r="1195" spans="1:8" ht="12.75">
      <c r="A1195" s="24" t="s">
        <v>2768</v>
      </c>
      <c r="B1195" s="142" t="s">
        <v>2786</v>
      </c>
      <c r="C1195" s="792" t="s">
        <v>1666</v>
      </c>
      <c r="D1195" s="466" t="s">
        <v>1666</v>
      </c>
      <c r="E1195" s="454" t="s">
        <v>1666</v>
      </c>
      <c r="F1195" s="454" t="s">
        <v>1666</v>
      </c>
      <c r="G1195" s="454" t="s">
        <v>1666</v>
      </c>
      <c r="H1195" s="454" t="s">
        <v>1666</v>
      </c>
    </row>
    <row r="1196" spans="1:8" ht="12.75">
      <c r="A1196" s="24" t="s">
        <v>2768</v>
      </c>
      <c r="B1196" s="142" t="s">
        <v>2786</v>
      </c>
      <c r="C1196" s="792" t="s">
        <v>1666</v>
      </c>
      <c r="D1196" s="466" t="s">
        <v>1666</v>
      </c>
      <c r="E1196" s="454" t="s">
        <v>1666</v>
      </c>
      <c r="F1196" s="454" t="s">
        <v>1666</v>
      </c>
      <c r="G1196" s="454" t="s">
        <v>1666</v>
      </c>
      <c r="H1196" s="454" t="s">
        <v>1666</v>
      </c>
    </row>
    <row r="1197" spans="1:8" ht="12.75">
      <c r="A1197" s="24" t="s">
        <v>2768</v>
      </c>
      <c r="B1197" s="142" t="s">
        <v>2786</v>
      </c>
      <c r="C1197" s="792">
        <v>0.28548405663635318</v>
      </c>
      <c r="D1197" s="458" t="s">
        <v>83</v>
      </c>
      <c r="E1197" s="12">
        <v>0</v>
      </c>
      <c r="F1197" s="12">
        <v>0</v>
      </c>
      <c r="G1197" s="12">
        <v>0</v>
      </c>
      <c r="H1197" s="12">
        <v>0</v>
      </c>
    </row>
    <row r="1198" spans="1:8" ht="12.75">
      <c r="A1198" s="24" t="s">
        <v>2768</v>
      </c>
      <c r="B1198" s="142" t="s">
        <v>2786</v>
      </c>
      <c r="C1198" s="792">
        <v>11.562104293772306</v>
      </c>
      <c r="D1198" s="458" t="s">
        <v>2688</v>
      </c>
      <c r="E1198" s="12">
        <v>3.2210986719999998E-3</v>
      </c>
      <c r="F1198" s="12">
        <v>3.9434345900000001E-2</v>
      </c>
      <c r="G1198" s="12">
        <v>2.4510000000000001E-3</v>
      </c>
      <c r="H1198" s="12">
        <v>9.0389601229999995E-4</v>
      </c>
    </row>
    <row r="1199" spans="1:8" ht="12.75">
      <c r="A1199" s="24" t="s">
        <v>2768</v>
      </c>
      <c r="B1199" s="142" t="s">
        <v>2786</v>
      </c>
      <c r="C1199" s="792">
        <v>8.9927477840451253</v>
      </c>
      <c r="D1199" s="458" t="s">
        <v>410</v>
      </c>
      <c r="E1199" s="12">
        <v>3.372204299368619E-2</v>
      </c>
      <c r="F1199" s="12">
        <v>6.4584205812988751E-2</v>
      </c>
      <c r="G1199" s="12">
        <v>3.9999999999999998E-6</v>
      </c>
      <c r="H1199" s="12">
        <v>1.477309663377164E-3</v>
      </c>
    </row>
    <row r="1200" spans="1:8" ht="12.75">
      <c r="A1200" s="799" t="s">
        <v>2768</v>
      </c>
      <c r="B1200" s="799" t="s">
        <v>2786</v>
      </c>
      <c r="C1200" s="455">
        <v>12</v>
      </c>
      <c r="D1200" s="821" t="s">
        <v>88</v>
      </c>
      <c r="E1200" s="635">
        <v>5.5280749052132698E-2</v>
      </c>
      <c r="F1200" s="635">
        <v>0.16253532298578199</v>
      </c>
      <c r="G1200" s="635">
        <v>1.0836239353080568E-3</v>
      </c>
      <c r="H1200" s="635">
        <v>1.0196349526066351E-2</v>
      </c>
    </row>
    <row r="1201" spans="1:8" ht="12.75">
      <c r="A1201" s="24" t="s">
        <v>2768</v>
      </c>
      <c r="B1201" s="14" t="s">
        <v>2788</v>
      </c>
      <c r="C1201" s="792">
        <v>27.473148671565866</v>
      </c>
      <c r="D1201" s="18" t="s">
        <v>2526</v>
      </c>
      <c r="E1201" s="12">
        <v>5.0851930036188197E-3</v>
      </c>
      <c r="F1201" s="12">
        <v>5.9995417730640897E-2</v>
      </c>
      <c r="G1201" s="12">
        <v>3.4699999999999998E-4</v>
      </c>
      <c r="H1201" s="12">
        <v>2.9762429672480995E-4</v>
      </c>
    </row>
    <row r="1202" spans="1:8" ht="12.75">
      <c r="A1202" s="24" t="s">
        <v>2768</v>
      </c>
      <c r="B1202" s="14" t="s">
        <v>2788</v>
      </c>
      <c r="C1202" s="792">
        <v>20.350480497456196</v>
      </c>
      <c r="D1202" s="18" t="s">
        <v>433</v>
      </c>
      <c r="E1202" s="12">
        <v>3.0104466724907065E-4</v>
      </c>
      <c r="F1202" s="12">
        <v>1.2500000000000001E-2</v>
      </c>
      <c r="G1202" s="12">
        <v>5.1818181818181835E-4</v>
      </c>
      <c r="H1202" s="12">
        <v>4.0084080366977777E-4</v>
      </c>
    </row>
    <row r="1203" spans="1:8" ht="12.75">
      <c r="A1203" s="24" t="s">
        <v>2768</v>
      </c>
      <c r="B1203" s="14" t="s">
        <v>2788</v>
      </c>
      <c r="C1203" s="792">
        <v>9.2142453363482204</v>
      </c>
      <c r="D1203" s="18" t="s">
        <v>425</v>
      </c>
      <c r="E1203" s="12">
        <v>3.8102374934982654E-3</v>
      </c>
      <c r="F1203" s="12">
        <v>0.20470422547079484</v>
      </c>
      <c r="G1203" s="12">
        <v>1.210810810810811E-4</v>
      </c>
      <c r="H1203" s="12">
        <v>1.0002400855855065E-3</v>
      </c>
    </row>
    <row r="1204" spans="1:8" ht="12.75">
      <c r="A1204" s="24" t="s">
        <v>2768</v>
      </c>
      <c r="B1204" s="14" t="s">
        <v>2788</v>
      </c>
      <c r="C1204" s="810">
        <v>11.060834590246358</v>
      </c>
      <c r="D1204" s="456" t="s">
        <v>72</v>
      </c>
      <c r="E1204" s="457">
        <v>0</v>
      </c>
      <c r="F1204" s="457">
        <v>0</v>
      </c>
      <c r="G1204" s="457">
        <v>0</v>
      </c>
      <c r="H1204" s="457">
        <v>0</v>
      </c>
    </row>
    <row r="1205" spans="1:8" ht="12.75">
      <c r="A1205" s="24" t="s">
        <v>2768</v>
      </c>
      <c r="B1205" s="14" t="s">
        <v>2788</v>
      </c>
      <c r="C1205" s="792">
        <v>17.015262860373095</v>
      </c>
      <c r="D1205" s="18" t="s">
        <v>2789</v>
      </c>
      <c r="E1205" s="12">
        <v>2.3E-3</v>
      </c>
      <c r="F1205" s="12">
        <v>4.7879999999999999E-2</v>
      </c>
      <c r="G1205" s="12">
        <v>9.9999999999999995E-7</v>
      </c>
      <c r="H1205" s="12">
        <v>4.4092488403675551E-4</v>
      </c>
    </row>
    <row r="1206" spans="1:8" ht="12.75">
      <c r="A1206" s="24" t="s">
        <v>2768</v>
      </c>
      <c r="B1206" s="14" t="s">
        <v>2788</v>
      </c>
      <c r="C1206" s="792" t="s">
        <v>1666</v>
      </c>
      <c r="D1206" s="466" t="s">
        <v>1666</v>
      </c>
      <c r="E1206" s="454" t="s">
        <v>1666</v>
      </c>
      <c r="F1206" s="454" t="s">
        <v>1666</v>
      </c>
      <c r="G1206" s="454" t="s">
        <v>1666</v>
      </c>
      <c r="H1206" s="454" t="s">
        <v>1666</v>
      </c>
    </row>
    <row r="1207" spans="1:8" ht="12.75">
      <c r="A1207" s="24" t="s">
        <v>2768</v>
      </c>
      <c r="B1207" s="14" t="s">
        <v>2788</v>
      </c>
      <c r="C1207" s="792">
        <v>5.7094403617863208</v>
      </c>
      <c r="D1207" s="18" t="s">
        <v>2790</v>
      </c>
      <c r="E1207" s="12">
        <v>2.9691872042618299E-2</v>
      </c>
      <c r="F1207" s="12">
        <v>7.5368545517799299E-2</v>
      </c>
      <c r="G1207" s="12">
        <v>2.9014018691588786E-4</v>
      </c>
      <c r="H1207" s="12">
        <v>1.4770983615231311E-3</v>
      </c>
    </row>
    <row r="1208" spans="1:8" ht="12.75">
      <c r="A1208" s="24" t="s">
        <v>2768</v>
      </c>
      <c r="B1208" s="14" t="s">
        <v>2788</v>
      </c>
      <c r="C1208" s="792" t="s">
        <v>1666</v>
      </c>
      <c r="D1208" s="466" t="s">
        <v>1666</v>
      </c>
      <c r="E1208" s="454" t="s">
        <v>1666</v>
      </c>
      <c r="F1208" s="454" t="s">
        <v>1666</v>
      </c>
      <c r="G1208" s="454" t="s">
        <v>1666</v>
      </c>
      <c r="H1208" s="454" t="s">
        <v>1666</v>
      </c>
    </row>
    <row r="1209" spans="1:8" ht="12.75">
      <c r="A1209" s="24" t="s">
        <v>2768</v>
      </c>
      <c r="B1209" s="14" t="s">
        <v>2788</v>
      </c>
      <c r="C1209" s="792">
        <v>1.1871113623516114</v>
      </c>
      <c r="D1209" s="466" t="s">
        <v>324</v>
      </c>
      <c r="E1209" s="12">
        <v>1.0652903141570055E-3</v>
      </c>
      <c r="F1209" s="12">
        <v>1.7273631840796021E-2</v>
      </c>
      <c r="G1209" s="12">
        <v>1.3582399999999999E-4</v>
      </c>
      <c r="H1209" s="12">
        <v>2.14E-3</v>
      </c>
    </row>
    <row r="1210" spans="1:8" ht="12.75">
      <c r="A1210" s="24" t="s">
        <v>2768</v>
      </c>
      <c r="B1210" s="14" t="s">
        <v>2788</v>
      </c>
      <c r="C1210" s="792">
        <v>2.261164499717355</v>
      </c>
      <c r="D1210" s="18" t="s">
        <v>2791</v>
      </c>
      <c r="E1210" s="12">
        <v>1.7000000000000001E-2</v>
      </c>
      <c r="F1210" s="12">
        <v>3.15E-2</v>
      </c>
      <c r="G1210" s="12">
        <v>9.9999999999999995E-7</v>
      </c>
      <c r="H1210" s="12">
        <v>9.0389601227534877E-4</v>
      </c>
    </row>
    <row r="1211" spans="1:8" ht="12.75">
      <c r="A1211" s="24" t="s">
        <v>2768</v>
      </c>
      <c r="B1211" s="14" t="s">
        <v>2788</v>
      </c>
      <c r="C1211" s="792">
        <v>2.261164499717355</v>
      </c>
      <c r="D1211" s="466" t="s">
        <v>319</v>
      </c>
      <c r="E1211" s="12">
        <v>1.4285714285714287E-2</v>
      </c>
      <c r="F1211" s="12">
        <v>6.2E-2</v>
      </c>
      <c r="G1211" s="12">
        <v>3.0000000000000001E-6</v>
      </c>
      <c r="H1211" s="12">
        <v>8.9999999999999998E-4</v>
      </c>
    </row>
    <row r="1212" spans="1:8" ht="12.75">
      <c r="A1212" s="24" t="s">
        <v>2768</v>
      </c>
      <c r="B1212" s="14" t="s">
        <v>2788</v>
      </c>
      <c r="C1212" s="792">
        <v>2.261164499717355</v>
      </c>
      <c r="D1212" s="466" t="s">
        <v>124</v>
      </c>
      <c r="E1212" s="12">
        <v>3.9416473933649287E-3</v>
      </c>
      <c r="F1212" s="12">
        <v>1.1589150710900475E-2</v>
      </c>
      <c r="G1212" s="12">
        <v>7.7264934597156404E-5</v>
      </c>
      <c r="H1212" s="12">
        <v>7.2702369668246447E-4</v>
      </c>
    </row>
    <row r="1213" spans="1:8" ht="12.75">
      <c r="A1213" s="24" t="s">
        <v>2768</v>
      </c>
      <c r="B1213" s="14" t="s">
        <v>2788</v>
      </c>
      <c r="C1213" s="792">
        <v>2.261164499717355</v>
      </c>
      <c r="D1213" s="18" t="s">
        <v>2684</v>
      </c>
      <c r="E1213" s="12">
        <v>4.7062756261925113E-3</v>
      </c>
      <c r="F1213" s="12">
        <v>3.8210906557435767E-2</v>
      </c>
      <c r="G1213" s="12">
        <v>8.2999999999999998E-5</v>
      </c>
      <c r="H1213" s="12">
        <v>5.9908272287602653E-4</v>
      </c>
    </row>
    <row r="1214" spans="1:8" ht="12.75">
      <c r="A1214" s="24" t="s">
        <v>2768</v>
      </c>
      <c r="B1214" s="14" t="s">
        <v>2788</v>
      </c>
      <c r="C1214" s="792">
        <v>2.261164499717355</v>
      </c>
      <c r="D1214" s="466" t="s">
        <v>2792</v>
      </c>
      <c r="E1214" s="12">
        <v>4.0165275294130297E-3</v>
      </c>
      <c r="F1214" s="12">
        <v>3.2725331200335404E-2</v>
      </c>
      <c r="G1214" s="12">
        <v>2.4399999999999999E-4</v>
      </c>
      <c r="H1214" s="12">
        <v>2.0392735E-3</v>
      </c>
    </row>
    <row r="1215" spans="1:8" ht="12.75">
      <c r="A1215" s="24" t="s">
        <v>2768</v>
      </c>
      <c r="B1215" s="14" t="s">
        <v>2788</v>
      </c>
      <c r="C1215" s="792">
        <v>1.0175240248728097</v>
      </c>
      <c r="D1215" s="466" t="s">
        <v>421</v>
      </c>
      <c r="E1215" s="12">
        <v>3.372204299368619E-2</v>
      </c>
      <c r="F1215" s="12">
        <v>6.4584205812988751E-2</v>
      </c>
      <c r="G1215" s="12">
        <v>3.9999999999999998E-6</v>
      </c>
      <c r="H1215" s="12">
        <v>1.477309663377164E-3</v>
      </c>
    </row>
    <row r="1216" spans="1:8" ht="12.75">
      <c r="A1216" s="24" t="s">
        <v>2768</v>
      </c>
      <c r="B1216" s="14" t="s">
        <v>2788</v>
      </c>
      <c r="C1216" s="792">
        <v>1.6958733747880164</v>
      </c>
      <c r="D1216" s="467" t="s">
        <v>2793</v>
      </c>
      <c r="E1216" s="461">
        <v>2.2073766211046637E-2</v>
      </c>
      <c r="F1216" s="461">
        <v>8.7246004352723297E-2</v>
      </c>
      <c r="G1216" s="461">
        <v>5.8202330775582959E-4</v>
      </c>
      <c r="H1216" s="461">
        <v>2.670351142205461E-3</v>
      </c>
    </row>
    <row r="1217" spans="1:8" ht="12.75">
      <c r="A1217" s="24" t="s">
        <v>2768</v>
      </c>
      <c r="B1217" s="14" t="s">
        <v>2788</v>
      </c>
      <c r="C1217" s="792" t="s">
        <v>1624</v>
      </c>
      <c r="D1217" s="466" t="s">
        <v>1624</v>
      </c>
      <c r="E1217" s="454" t="s">
        <v>1624</v>
      </c>
      <c r="F1217" s="454" t="s">
        <v>1624</v>
      </c>
      <c r="G1217" s="454" t="s">
        <v>1624</v>
      </c>
      <c r="H1217" s="454" t="s">
        <v>1624</v>
      </c>
    </row>
    <row r="1218" spans="1:8" ht="12.75">
      <c r="A1218" s="24" t="s">
        <v>2768</v>
      </c>
      <c r="B1218" s="14" t="s">
        <v>2788</v>
      </c>
      <c r="C1218" s="792" t="s">
        <v>1666</v>
      </c>
      <c r="D1218" s="466" t="s">
        <v>1666</v>
      </c>
      <c r="E1218" s="454" t="s">
        <v>1666</v>
      </c>
      <c r="F1218" s="454" t="s">
        <v>1666</v>
      </c>
      <c r="G1218" s="454" t="s">
        <v>1666</v>
      </c>
      <c r="H1218" s="454" t="s">
        <v>1666</v>
      </c>
    </row>
    <row r="1219" spans="1:8" ht="12.75">
      <c r="A1219" s="24" t="s">
        <v>2768</v>
      </c>
      <c r="B1219" s="14" t="s">
        <v>2788</v>
      </c>
      <c r="C1219" s="792">
        <v>3.0525720746184293</v>
      </c>
      <c r="D1219" s="18" t="s">
        <v>2530</v>
      </c>
      <c r="E1219" s="12">
        <v>2.5055367220000002E-3</v>
      </c>
      <c r="F1219" s="12">
        <v>3.8459841414181101E-2</v>
      </c>
      <c r="G1219" s="12">
        <v>1.1035422343324251E-4</v>
      </c>
      <c r="H1219" s="12">
        <v>8.109653861711444E-4</v>
      </c>
    </row>
    <row r="1220" spans="1:8" ht="12.75">
      <c r="A1220" s="24" t="s">
        <v>2768</v>
      </c>
      <c r="B1220" s="14" t="s">
        <v>2788</v>
      </c>
      <c r="C1220" s="792" t="s">
        <v>1666</v>
      </c>
      <c r="D1220" s="466" t="s">
        <v>1666</v>
      </c>
      <c r="E1220" s="454" t="s">
        <v>1666</v>
      </c>
      <c r="F1220" s="454" t="s">
        <v>1666</v>
      </c>
      <c r="G1220" s="454" t="s">
        <v>1666</v>
      </c>
      <c r="H1220" s="454" t="s">
        <v>1666</v>
      </c>
    </row>
    <row r="1221" spans="1:8" ht="12.75">
      <c r="A1221" s="24" t="s">
        <v>2768</v>
      </c>
      <c r="B1221" s="14" t="s">
        <v>2788</v>
      </c>
      <c r="C1221" s="792" t="s">
        <v>1666</v>
      </c>
      <c r="D1221" s="466" t="s">
        <v>1666</v>
      </c>
      <c r="E1221" s="454" t="s">
        <v>1666</v>
      </c>
      <c r="F1221" s="454" t="s">
        <v>1666</v>
      </c>
      <c r="G1221" s="454" t="s">
        <v>1666</v>
      </c>
      <c r="H1221" s="454" t="s">
        <v>1666</v>
      </c>
    </row>
    <row r="1222" spans="1:8" ht="12.75">
      <c r="A1222" s="24" t="s">
        <v>2768</v>
      </c>
      <c r="B1222" s="14" t="s">
        <v>2788</v>
      </c>
      <c r="C1222" s="792">
        <v>1.1305822498586775</v>
      </c>
      <c r="D1222" s="466" t="s">
        <v>2661</v>
      </c>
      <c r="E1222" s="12">
        <v>3.0177940758293843E-3</v>
      </c>
      <c r="F1222" s="12">
        <v>8.8728561611374421E-3</v>
      </c>
      <c r="G1222" s="12">
        <v>5.9155383175355464E-5</v>
      </c>
      <c r="H1222" s="12">
        <v>5.56622037914692E-4</v>
      </c>
    </row>
    <row r="1223" spans="1:8" ht="12.75">
      <c r="A1223" s="24" t="s">
        <v>2768</v>
      </c>
      <c r="B1223" s="14" t="s">
        <v>2788</v>
      </c>
      <c r="C1223" s="792">
        <v>0.56529112492933875</v>
      </c>
      <c r="D1223" s="466" t="s">
        <v>83</v>
      </c>
      <c r="E1223" s="12">
        <v>0</v>
      </c>
      <c r="F1223" s="12">
        <v>0</v>
      </c>
      <c r="G1223" s="12">
        <v>0</v>
      </c>
      <c r="H1223" s="12">
        <v>0</v>
      </c>
    </row>
    <row r="1224" spans="1:8" ht="12.75">
      <c r="A1224" s="24" t="s">
        <v>2768</v>
      </c>
      <c r="B1224" s="14" t="s">
        <v>2788</v>
      </c>
      <c r="C1224" s="792" t="s">
        <v>1666</v>
      </c>
      <c r="D1224" s="466" t="s">
        <v>1666</v>
      </c>
      <c r="E1224" s="454" t="s">
        <v>1666</v>
      </c>
      <c r="F1224" s="454" t="s">
        <v>1666</v>
      </c>
      <c r="G1224" s="454" t="s">
        <v>1666</v>
      </c>
      <c r="H1224" s="454" t="s">
        <v>1666</v>
      </c>
    </row>
    <row r="1225" spans="1:8" ht="12.75">
      <c r="A1225" s="24" t="s">
        <v>2768</v>
      </c>
      <c r="B1225" s="14" t="s">
        <v>2788</v>
      </c>
      <c r="C1225" s="792">
        <v>0.11305822498586776</v>
      </c>
      <c r="D1225" s="466" t="s">
        <v>81</v>
      </c>
      <c r="E1225" s="12">
        <v>1.9912385503783353E-2</v>
      </c>
      <c r="F1225" s="12">
        <v>5.6949422540820388E-2</v>
      </c>
      <c r="G1225" s="12">
        <v>3.8829151732377542E-3</v>
      </c>
      <c r="H1225" s="12">
        <v>5.6321186778176026E-3</v>
      </c>
    </row>
    <row r="1226" spans="1:8" ht="12.75">
      <c r="A1226" s="24" t="s">
        <v>2768</v>
      </c>
      <c r="B1226" s="14" t="s">
        <v>2788</v>
      </c>
      <c r="C1226" s="792" t="s">
        <v>1666</v>
      </c>
      <c r="D1226" s="466" t="s">
        <v>1666</v>
      </c>
      <c r="E1226" s="454" t="s">
        <v>1666</v>
      </c>
      <c r="F1226" s="454" t="s">
        <v>1666</v>
      </c>
      <c r="G1226" s="454" t="s">
        <v>1666</v>
      </c>
      <c r="H1226" s="454" t="s">
        <v>1666</v>
      </c>
    </row>
    <row r="1227" spans="1:8" ht="12.75">
      <c r="A1227" s="24" t="s">
        <v>2768</v>
      </c>
      <c r="B1227" s="14" t="s">
        <v>2788</v>
      </c>
      <c r="C1227" s="792" t="s">
        <v>1666</v>
      </c>
      <c r="D1227" s="18" t="s">
        <v>1666</v>
      </c>
      <c r="E1227" s="220" t="s">
        <v>1666</v>
      </c>
      <c r="F1227" s="220" t="s">
        <v>1666</v>
      </c>
      <c r="G1227" s="220" t="s">
        <v>1666</v>
      </c>
      <c r="H1227" s="220" t="s">
        <v>1666</v>
      </c>
    </row>
    <row r="1228" spans="1:8" ht="12.75">
      <c r="A1228" s="24" t="s">
        <v>2768</v>
      </c>
      <c r="B1228" s="14" t="s">
        <v>2788</v>
      </c>
      <c r="C1228" s="792">
        <v>0.11305822498586776</v>
      </c>
      <c r="D1228" s="466" t="s">
        <v>86</v>
      </c>
      <c r="E1228" s="12">
        <v>0</v>
      </c>
      <c r="F1228" s="12">
        <v>0</v>
      </c>
      <c r="G1228" s="12">
        <v>0</v>
      </c>
      <c r="H1228" s="12">
        <v>0</v>
      </c>
    </row>
    <row r="1229" spans="1:8" ht="12.75">
      <c r="A1229" s="24" t="s">
        <v>2768</v>
      </c>
      <c r="B1229" s="14" t="s">
        <v>2788</v>
      </c>
      <c r="C1229" s="792" t="s">
        <v>1666</v>
      </c>
      <c r="D1229" s="466" t="s">
        <v>1666</v>
      </c>
      <c r="E1229" s="454" t="s">
        <v>1666</v>
      </c>
      <c r="F1229" s="454" t="s">
        <v>1666</v>
      </c>
      <c r="G1229" s="454" t="s">
        <v>1666</v>
      </c>
      <c r="H1229" s="454" t="s">
        <v>1666</v>
      </c>
    </row>
    <row r="1230" spans="1:8" ht="12.75">
      <c r="A1230" s="24" t="s">
        <v>2768</v>
      </c>
      <c r="B1230" s="14" t="s">
        <v>2788</v>
      </c>
      <c r="C1230" s="792" t="s">
        <v>1666</v>
      </c>
      <c r="D1230" s="466" t="s">
        <v>1666</v>
      </c>
      <c r="E1230" s="454" t="s">
        <v>1666</v>
      </c>
      <c r="F1230" s="454" t="s">
        <v>1666</v>
      </c>
      <c r="G1230" s="454" t="s">
        <v>1666</v>
      </c>
      <c r="H1230" s="454" t="s">
        <v>1666</v>
      </c>
    </row>
    <row r="1231" spans="1:8" ht="12.75">
      <c r="A1231" s="24" t="s">
        <v>2768</v>
      </c>
      <c r="B1231" s="14" t="s">
        <v>2788</v>
      </c>
      <c r="C1231" s="792">
        <v>5.6529112492933881E-2</v>
      </c>
      <c r="D1231" s="18" t="s">
        <v>2680</v>
      </c>
      <c r="E1231" s="12">
        <v>2.5425965018094099E-4</v>
      </c>
      <c r="F1231" s="12">
        <v>2.999770886532045E-3</v>
      </c>
      <c r="G1231" s="12">
        <v>1.7349999999999998E-5</v>
      </c>
      <c r="H1231" s="12">
        <v>1.4881214836240498E-5</v>
      </c>
    </row>
    <row r="1232" spans="1:8" ht="12.75">
      <c r="A1232" s="794" t="s">
        <v>2768</v>
      </c>
      <c r="B1232" s="617" t="s">
        <v>2788</v>
      </c>
      <c r="C1232" s="455" t="s">
        <v>1666</v>
      </c>
      <c r="D1232" s="819" t="s">
        <v>1666</v>
      </c>
      <c r="E1232" s="808" t="s">
        <v>1666</v>
      </c>
      <c r="F1232" s="808" t="s">
        <v>1666</v>
      </c>
      <c r="G1232" s="808" t="s">
        <v>1666</v>
      </c>
      <c r="H1232" s="808" t="s">
        <v>1666</v>
      </c>
    </row>
    <row r="1233" spans="1:8" ht="12.75">
      <c r="A1233" s="24" t="s">
        <v>2768</v>
      </c>
      <c r="B1233" s="14" t="s">
        <v>2794</v>
      </c>
      <c r="C1233" s="792">
        <v>33.743696288601377</v>
      </c>
      <c r="D1233" s="18" t="s">
        <v>433</v>
      </c>
      <c r="E1233" s="12">
        <v>3.0104466724907065E-4</v>
      </c>
      <c r="F1233" s="12">
        <v>1.2500000000000001E-2</v>
      </c>
      <c r="G1233" s="12">
        <v>5.1818181818181835E-4</v>
      </c>
      <c r="H1233" s="12">
        <v>4.0084080366977777E-4</v>
      </c>
    </row>
    <row r="1234" spans="1:8" ht="12.75">
      <c r="A1234" s="24" t="s">
        <v>2768</v>
      </c>
      <c r="B1234" s="14" t="s">
        <v>2794</v>
      </c>
      <c r="C1234" s="792">
        <v>6.8652375106242332</v>
      </c>
      <c r="D1234" s="18" t="s">
        <v>2795</v>
      </c>
      <c r="E1234" s="12">
        <v>2.9691872042618299E-2</v>
      </c>
      <c r="F1234" s="12">
        <v>7.5368545517799299E-2</v>
      </c>
      <c r="G1234" s="12">
        <v>2.9014018691588786E-4</v>
      </c>
      <c r="H1234" s="12">
        <v>1.4770983615231311E-3</v>
      </c>
    </row>
    <row r="1235" spans="1:8" ht="12.75">
      <c r="A1235" s="24" t="s">
        <v>2768</v>
      </c>
      <c r="B1235" s="14" t="s">
        <v>2794</v>
      </c>
      <c r="C1235" s="810">
        <v>11.288000000000004</v>
      </c>
      <c r="D1235" s="456" t="s">
        <v>72</v>
      </c>
      <c r="E1235" s="457">
        <v>0</v>
      </c>
      <c r="F1235" s="457">
        <v>0</v>
      </c>
      <c r="G1235" s="457">
        <v>0</v>
      </c>
      <c r="H1235" s="457">
        <v>0</v>
      </c>
    </row>
    <row r="1236" spans="1:8" ht="12.75">
      <c r="A1236" s="24" t="s">
        <v>2768</v>
      </c>
      <c r="B1236" s="14" t="s">
        <v>2794</v>
      </c>
      <c r="C1236" s="792">
        <v>8.6127113041835877</v>
      </c>
      <c r="D1236" s="18" t="s">
        <v>2796</v>
      </c>
      <c r="E1236" s="12">
        <v>3.8102374934982654E-3</v>
      </c>
      <c r="F1236" s="12">
        <v>0.20470422547079484</v>
      </c>
      <c r="G1236" s="12">
        <v>1.210810810810811E-4</v>
      </c>
      <c r="H1236" s="12">
        <v>1.0002400855855065E-3</v>
      </c>
    </row>
    <row r="1237" spans="1:8" ht="12.75">
      <c r="A1237" s="24" t="s">
        <v>2768</v>
      </c>
      <c r="B1237" s="14" t="s">
        <v>2794</v>
      </c>
      <c r="C1237" s="792">
        <v>7.9735574652941725</v>
      </c>
      <c r="D1237" s="18" t="s">
        <v>227</v>
      </c>
      <c r="E1237" s="12">
        <v>2.5055367220000002E-3</v>
      </c>
      <c r="F1237" s="12">
        <v>3.8459841414181101E-2</v>
      </c>
      <c r="G1237" s="12">
        <v>1.1035422343324251E-4</v>
      </c>
      <c r="H1237" s="12">
        <v>8.109653861711444E-4</v>
      </c>
    </row>
    <row r="1238" spans="1:8" ht="12.75">
      <c r="A1238" s="24" t="s">
        <v>2768</v>
      </c>
      <c r="B1238" s="14" t="s">
        <v>2794</v>
      </c>
      <c r="C1238" s="792">
        <v>1.2420436301822646</v>
      </c>
      <c r="D1238" s="18" t="s">
        <v>421</v>
      </c>
      <c r="E1238" s="12">
        <v>3.372204299368619E-2</v>
      </c>
      <c r="F1238" s="12">
        <v>6.4584205812988751E-2</v>
      </c>
      <c r="G1238" s="12">
        <v>3.9999999999999998E-6</v>
      </c>
      <c r="H1238" s="12">
        <v>1.477309663377164E-3</v>
      </c>
    </row>
    <row r="1239" spans="1:8" ht="12.75">
      <c r="A1239" s="24" t="s">
        <v>2768</v>
      </c>
      <c r="B1239" s="14" t="s">
        <v>2794</v>
      </c>
      <c r="C1239" s="792">
        <v>0.56209273774671831</v>
      </c>
      <c r="D1239" s="18" t="s">
        <v>83</v>
      </c>
      <c r="E1239" s="12">
        <v>0</v>
      </c>
      <c r="F1239" s="12">
        <v>0</v>
      </c>
      <c r="G1239" s="12">
        <v>0</v>
      </c>
      <c r="H1239" s="12">
        <v>0</v>
      </c>
    </row>
    <row r="1240" spans="1:8" ht="12.75">
      <c r="A1240" s="24" t="s">
        <v>2768</v>
      </c>
      <c r="B1240" s="14" t="s">
        <v>2794</v>
      </c>
      <c r="C1240" s="792" t="s">
        <v>1666</v>
      </c>
      <c r="D1240" s="18" t="s">
        <v>1666</v>
      </c>
      <c r="E1240" s="220" t="s">
        <v>1666</v>
      </c>
      <c r="F1240" s="220" t="s">
        <v>1666</v>
      </c>
      <c r="G1240" s="220" t="s">
        <v>1666</v>
      </c>
      <c r="H1240" s="220" t="s">
        <v>1666</v>
      </c>
    </row>
    <row r="1241" spans="1:8" ht="12.75">
      <c r="A1241" s="24" t="s">
        <v>2768</v>
      </c>
      <c r="B1241" s="14" t="s">
        <v>2794</v>
      </c>
      <c r="C1241" s="792">
        <v>13.712342997450184</v>
      </c>
      <c r="D1241" s="18" t="s">
        <v>2526</v>
      </c>
      <c r="E1241" s="12">
        <v>5.0851930036188197E-3</v>
      </c>
      <c r="F1241" s="12">
        <v>5.9995417730640897E-2</v>
      </c>
      <c r="G1241" s="12">
        <v>3.4699999999999998E-4</v>
      </c>
      <c r="H1241" s="12">
        <v>2.9762429672480995E-4</v>
      </c>
    </row>
    <row r="1242" spans="1:8" ht="12.75">
      <c r="A1242" s="24" t="s">
        <v>2768</v>
      </c>
      <c r="B1242" s="14" t="s">
        <v>2794</v>
      </c>
      <c r="C1242" s="792">
        <v>11.332514873925771</v>
      </c>
      <c r="D1242" s="18" t="s">
        <v>139</v>
      </c>
      <c r="E1242" s="12">
        <v>4.0165275294130297E-3</v>
      </c>
      <c r="F1242" s="12">
        <v>3.2725331200335404E-2</v>
      </c>
      <c r="G1242" s="12">
        <v>2.4399999999999999E-4</v>
      </c>
      <c r="H1242" s="12">
        <v>2.0392735E-3</v>
      </c>
    </row>
    <row r="1243" spans="1:8" ht="12.75">
      <c r="A1243" s="24" t="s">
        <v>2768</v>
      </c>
      <c r="B1243" s="14" t="s">
        <v>2794</v>
      </c>
      <c r="C1243" s="792">
        <v>4.5330059495703088</v>
      </c>
      <c r="D1243" s="18" t="s">
        <v>124</v>
      </c>
      <c r="E1243" s="12">
        <v>3.9416473933649287E-3</v>
      </c>
      <c r="F1243" s="12">
        <v>1.1589150710900475E-2</v>
      </c>
      <c r="G1243" s="12">
        <v>7.7264934597156404E-5</v>
      </c>
      <c r="H1243" s="12">
        <v>7.2702369668246447E-4</v>
      </c>
    </row>
    <row r="1244" spans="1:8" ht="12.75">
      <c r="A1244" s="24" t="s">
        <v>2768</v>
      </c>
      <c r="B1244" s="14" t="s">
        <v>2794</v>
      </c>
      <c r="C1244" s="792" t="s">
        <v>1666</v>
      </c>
      <c r="D1244" s="18" t="s">
        <v>1666</v>
      </c>
      <c r="E1244" s="419" t="s">
        <v>1666</v>
      </c>
      <c r="F1244" s="419" t="s">
        <v>1666</v>
      </c>
      <c r="G1244" s="419" t="s">
        <v>1666</v>
      </c>
      <c r="H1244" s="419" t="s">
        <v>1666</v>
      </c>
    </row>
    <row r="1245" spans="1:8" ht="12.75">
      <c r="A1245" s="24" t="s">
        <v>2768</v>
      </c>
      <c r="B1245" s="14" t="s">
        <v>2794</v>
      </c>
      <c r="C1245" s="792" t="s">
        <v>1666</v>
      </c>
      <c r="D1245" s="18" t="s">
        <v>1666</v>
      </c>
      <c r="E1245" s="419" t="s">
        <v>1666</v>
      </c>
      <c r="F1245" s="419" t="s">
        <v>1666</v>
      </c>
      <c r="G1245" s="419" t="s">
        <v>1666</v>
      </c>
      <c r="H1245" s="419" t="s">
        <v>1666</v>
      </c>
    </row>
    <row r="1246" spans="1:8" ht="12.75">
      <c r="A1246" s="24" t="s">
        <v>2768</v>
      </c>
      <c r="B1246" s="14" t="s">
        <v>2794</v>
      </c>
      <c r="C1246" s="792">
        <v>1.98319010293701</v>
      </c>
      <c r="D1246" s="18" t="s">
        <v>324</v>
      </c>
      <c r="E1246" s="12">
        <v>1.0652903141570055E-3</v>
      </c>
      <c r="F1246" s="12">
        <v>1.7273631840796021E-2</v>
      </c>
      <c r="G1246" s="12">
        <v>1.3582399999999999E-4</v>
      </c>
      <c r="H1246" s="12">
        <v>2.14E-3</v>
      </c>
    </row>
    <row r="1247" spans="1:8" ht="12.75">
      <c r="A1247" s="24" t="s">
        <v>2768</v>
      </c>
      <c r="B1247" s="14" t="s">
        <v>2794</v>
      </c>
      <c r="C1247" s="792">
        <v>2.2665029747851544</v>
      </c>
      <c r="D1247" s="18" t="s">
        <v>2528</v>
      </c>
      <c r="E1247" s="12">
        <v>5.5280749052132698E-2</v>
      </c>
      <c r="F1247" s="12">
        <v>0.16253532298578199</v>
      </c>
      <c r="G1247" s="12">
        <v>1.0836239353080568E-3</v>
      </c>
      <c r="H1247" s="12">
        <v>1.0196349526066351E-2</v>
      </c>
    </row>
    <row r="1248" spans="1:8" ht="12.75">
      <c r="A1248" s="24" t="s">
        <v>2768</v>
      </c>
      <c r="B1248" s="14" t="s">
        <v>2794</v>
      </c>
      <c r="C1248" s="792" t="s">
        <v>1666</v>
      </c>
      <c r="D1248" s="18" t="s">
        <v>1666</v>
      </c>
      <c r="E1248" s="419" t="s">
        <v>1666</v>
      </c>
      <c r="F1248" s="419" t="s">
        <v>1666</v>
      </c>
      <c r="G1248" s="419" t="s">
        <v>1666</v>
      </c>
      <c r="H1248" s="419" t="s">
        <v>1666</v>
      </c>
    </row>
    <row r="1249" spans="1:8" ht="12.75">
      <c r="A1249" s="24" t="s">
        <v>2768</v>
      </c>
      <c r="B1249" s="14" t="s">
        <v>2794</v>
      </c>
      <c r="C1249" s="792" t="s">
        <v>1666</v>
      </c>
      <c r="D1249" s="18" t="s">
        <v>1666</v>
      </c>
      <c r="E1249" s="419" t="s">
        <v>1666</v>
      </c>
      <c r="F1249" s="419" t="s">
        <v>1666</v>
      </c>
      <c r="G1249" s="419" t="s">
        <v>1666</v>
      </c>
      <c r="H1249" s="419" t="s">
        <v>1666</v>
      </c>
    </row>
    <row r="1250" spans="1:8" ht="12.75">
      <c r="A1250" s="24" t="s">
        <v>2768</v>
      </c>
      <c r="B1250" s="14" t="s">
        <v>2794</v>
      </c>
      <c r="C1250" s="792" t="s">
        <v>1666</v>
      </c>
      <c r="D1250" s="18" t="s">
        <v>1666</v>
      </c>
      <c r="E1250" s="419" t="s">
        <v>1666</v>
      </c>
      <c r="F1250" s="419" t="s">
        <v>1666</v>
      </c>
      <c r="G1250" s="419" t="s">
        <v>1666</v>
      </c>
      <c r="H1250" s="419" t="s">
        <v>1666</v>
      </c>
    </row>
    <row r="1251" spans="1:8" ht="12.75">
      <c r="A1251" s="24" t="s">
        <v>2768</v>
      </c>
      <c r="B1251" s="14" t="s">
        <v>2794</v>
      </c>
      <c r="C1251" s="792">
        <v>0.5666257436962886</v>
      </c>
      <c r="D1251" s="18" t="s">
        <v>332</v>
      </c>
      <c r="E1251" s="12">
        <v>2.3E-3</v>
      </c>
      <c r="F1251" s="12">
        <v>4.7879999999999999E-2</v>
      </c>
      <c r="G1251" s="12">
        <v>9.9999999999999995E-7</v>
      </c>
      <c r="H1251" s="12">
        <v>4.4092488403675551E-4</v>
      </c>
    </row>
    <row r="1252" spans="1:8" ht="12.75">
      <c r="A1252" s="24" t="s">
        <v>2768</v>
      </c>
      <c r="B1252" s="14" t="s">
        <v>2794</v>
      </c>
      <c r="C1252" s="792">
        <v>0.5666257436962886</v>
      </c>
      <c r="D1252" s="18" t="s">
        <v>1370</v>
      </c>
      <c r="E1252" s="12">
        <v>1.7000000000000001E-2</v>
      </c>
      <c r="F1252" s="12">
        <v>3.15E-2</v>
      </c>
      <c r="G1252" s="12">
        <v>9.9999999999999995E-7</v>
      </c>
      <c r="H1252" s="12">
        <v>9.0389601227534877E-4</v>
      </c>
    </row>
    <row r="1253" spans="1:8" ht="12.75">
      <c r="A1253" s="24" t="s">
        <v>2768</v>
      </c>
      <c r="B1253" s="14" t="s">
        <v>2794</v>
      </c>
      <c r="C1253" s="792" t="s">
        <v>1666</v>
      </c>
      <c r="D1253" s="18" t="s">
        <v>1666</v>
      </c>
      <c r="E1253" s="419" t="s">
        <v>1666</v>
      </c>
      <c r="F1253" s="419" t="s">
        <v>1666</v>
      </c>
      <c r="G1253" s="419" t="s">
        <v>1666</v>
      </c>
      <c r="H1253" s="419" t="s">
        <v>1666</v>
      </c>
    </row>
    <row r="1254" spans="1:8" ht="12.75">
      <c r="A1254" s="24" t="s">
        <v>2768</v>
      </c>
      <c r="B1254" s="14" t="s">
        <v>2794</v>
      </c>
      <c r="C1254" s="792" t="s">
        <v>1666</v>
      </c>
      <c r="D1254" s="18" t="s">
        <v>1666</v>
      </c>
      <c r="E1254" s="419" t="s">
        <v>1666</v>
      </c>
      <c r="F1254" s="419" t="s">
        <v>1666</v>
      </c>
      <c r="G1254" s="419" t="s">
        <v>1666</v>
      </c>
      <c r="H1254" s="419" t="s">
        <v>1666</v>
      </c>
    </row>
    <row r="1255" spans="1:8" ht="12.75">
      <c r="A1255" s="24" t="s">
        <v>2768</v>
      </c>
      <c r="B1255" s="14" t="s">
        <v>2794</v>
      </c>
      <c r="C1255" s="792" t="s">
        <v>1666</v>
      </c>
      <c r="D1255" s="18" t="s">
        <v>1666</v>
      </c>
      <c r="E1255" s="419" t="s">
        <v>1666</v>
      </c>
      <c r="F1255" s="419" t="s">
        <v>1666</v>
      </c>
      <c r="G1255" s="419" t="s">
        <v>1666</v>
      </c>
      <c r="H1255" s="419" t="s">
        <v>1666</v>
      </c>
    </row>
    <row r="1256" spans="1:8" ht="12.75">
      <c r="A1256" s="24" t="s">
        <v>2768</v>
      </c>
      <c r="B1256" s="14" t="s">
        <v>2794</v>
      </c>
      <c r="C1256" s="792" t="s">
        <v>1666</v>
      </c>
      <c r="D1256" s="18" t="s">
        <v>1666</v>
      </c>
      <c r="E1256" s="419" t="s">
        <v>1666</v>
      </c>
      <c r="F1256" s="419" t="s">
        <v>1666</v>
      </c>
      <c r="G1256" s="419" t="s">
        <v>1666</v>
      </c>
      <c r="H1256" s="419" t="s">
        <v>1666</v>
      </c>
    </row>
    <row r="1257" spans="1:8" ht="12.75">
      <c r="A1257" s="24" t="s">
        <v>2768</v>
      </c>
      <c r="B1257" s="14" t="s">
        <v>2794</v>
      </c>
      <c r="C1257" s="792">
        <v>1.1332514873925772</v>
      </c>
      <c r="D1257" s="809" t="s">
        <v>2783</v>
      </c>
      <c r="E1257" s="461">
        <v>2.2073766211046637E-2</v>
      </c>
      <c r="F1257" s="461">
        <v>8.7246004352723297E-2</v>
      </c>
      <c r="G1257" s="461">
        <v>5.8202330775582959E-4</v>
      </c>
      <c r="H1257" s="461">
        <v>2.670351142205461E-3</v>
      </c>
    </row>
    <row r="1258" spans="1:8" ht="12.75">
      <c r="A1258" s="24" t="s">
        <v>2768</v>
      </c>
      <c r="B1258" s="14" t="s">
        <v>2794</v>
      </c>
      <c r="C1258" s="792" t="s">
        <v>1666</v>
      </c>
      <c r="D1258" s="18" t="s">
        <v>1666</v>
      </c>
      <c r="E1258" s="419" t="s">
        <v>1666</v>
      </c>
      <c r="F1258" s="419" t="s">
        <v>1666</v>
      </c>
      <c r="G1258" s="419" t="s">
        <v>1666</v>
      </c>
      <c r="H1258" s="419" t="s">
        <v>1666</v>
      </c>
    </row>
    <row r="1259" spans="1:8" ht="12.75">
      <c r="A1259" s="24" t="s">
        <v>2768</v>
      </c>
      <c r="B1259" s="14" t="s">
        <v>2794</v>
      </c>
      <c r="C1259" s="792">
        <v>0.5666257436962886</v>
      </c>
      <c r="D1259" s="18" t="s">
        <v>2533</v>
      </c>
      <c r="E1259" s="12">
        <v>3.0177940758293843E-3</v>
      </c>
      <c r="F1259" s="12">
        <v>8.8728561611374421E-3</v>
      </c>
      <c r="G1259" s="12">
        <v>5.9155383175355464E-5</v>
      </c>
      <c r="H1259" s="12">
        <v>5.56622037914692E-4</v>
      </c>
    </row>
    <row r="1260" spans="1:8" ht="12.75">
      <c r="A1260" s="24" t="s">
        <v>2768</v>
      </c>
      <c r="B1260" s="14" t="s">
        <v>2794</v>
      </c>
      <c r="C1260" s="792" t="s">
        <v>1666</v>
      </c>
      <c r="D1260" s="458" t="s">
        <v>1666</v>
      </c>
      <c r="E1260" s="462" t="s">
        <v>1666</v>
      </c>
      <c r="F1260" s="462" t="s">
        <v>1666</v>
      </c>
      <c r="G1260" s="462" t="s">
        <v>1666</v>
      </c>
      <c r="H1260" s="462" t="s">
        <v>1666</v>
      </c>
    </row>
    <row r="1261" spans="1:8" ht="12.75">
      <c r="A1261" s="24" t="s">
        <v>2768</v>
      </c>
      <c r="B1261" s="14" t="s">
        <v>2794</v>
      </c>
      <c r="C1261" s="792" t="s">
        <v>1666</v>
      </c>
      <c r="D1261" s="458" t="s">
        <v>1666</v>
      </c>
      <c r="E1261" s="462" t="s">
        <v>1666</v>
      </c>
      <c r="F1261" s="462" t="s">
        <v>1666</v>
      </c>
      <c r="G1261" s="462" t="s">
        <v>1666</v>
      </c>
      <c r="H1261" s="462" t="s">
        <v>1666</v>
      </c>
    </row>
    <row r="1262" spans="1:8" ht="12.75">
      <c r="A1262" s="24" t="s">
        <v>2768</v>
      </c>
      <c r="B1262" s="14" t="s">
        <v>2794</v>
      </c>
      <c r="C1262" s="792">
        <v>0.3399754462177732</v>
      </c>
      <c r="D1262" s="458" t="s">
        <v>81</v>
      </c>
      <c r="E1262" s="12">
        <v>1.9912385503783353E-2</v>
      </c>
      <c r="F1262" s="12">
        <v>5.6949422540820388E-2</v>
      </c>
      <c r="G1262" s="12">
        <v>3.8829151732377542E-3</v>
      </c>
      <c r="H1262" s="12">
        <v>5.6321186778176026E-3</v>
      </c>
    </row>
    <row r="1263" spans="1:8" ht="12.75">
      <c r="A1263" s="24" t="s">
        <v>2768</v>
      </c>
      <c r="B1263" s="14" t="s">
        <v>2794</v>
      </c>
      <c r="C1263" s="792" t="s">
        <v>1666</v>
      </c>
      <c r="D1263" s="458" t="s">
        <v>1666</v>
      </c>
      <c r="E1263" s="462" t="s">
        <v>1666</v>
      </c>
      <c r="F1263" s="462" t="s">
        <v>1666</v>
      </c>
      <c r="G1263" s="462" t="s">
        <v>1666</v>
      </c>
      <c r="H1263" s="462" t="s">
        <v>1666</v>
      </c>
    </row>
    <row r="1264" spans="1:8" ht="12.75">
      <c r="A1264" s="24" t="s">
        <v>2768</v>
      </c>
      <c r="B1264" s="14" t="s">
        <v>2794</v>
      </c>
      <c r="C1264" s="792" t="s">
        <v>1666</v>
      </c>
      <c r="D1264" s="18" t="s">
        <v>1666</v>
      </c>
      <c r="E1264" s="220" t="s">
        <v>1666</v>
      </c>
      <c r="F1264" s="220" t="s">
        <v>1666</v>
      </c>
      <c r="G1264" s="220" t="s">
        <v>1666</v>
      </c>
      <c r="H1264" s="220" t="s">
        <v>1666</v>
      </c>
    </row>
    <row r="1265" spans="1:8" ht="12.75">
      <c r="A1265" s="24" t="s">
        <v>2768</v>
      </c>
      <c r="B1265" s="14" t="s">
        <v>2794</v>
      </c>
      <c r="C1265" s="792" t="s">
        <v>1666</v>
      </c>
      <c r="D1265" s="18" t="s">
        <v>1666</v>
      </c>
      <c r="E1265" s="419" t="s">
        <v>1666</v>
      </c>
      <c r="F1265" s="419" t="s">
        <v>1666</v>
      </c>
      <c r="G1265" s="419" t="s">
        <v>1666</v>
      </c>
      <c r="H1265" s="419" t="s">
        <v>1666</v>
      </c>
    </row>
    <row r="1266" spans="1:8" ht="12.75">
      <c r="A1266" s="24" t="s">
        <v>2768</v>
      </c>
      <c r="B1266" s="14" t="s">
        <v>2794</v>
      </c>
      <c r="C1266" s="792" t="s">
        <v>1666</v>
      </c>
      <c r="D1266" s="18" t="s">
        <v>1666</v>
      </c>
      <c r="E1266" s="419" t="s">
        <v>1666</v>
      </c>
      <c r="F1266" s="419" t="s">
        <v>1666</v>
      </c>
      <c r="G1266" s="419" t="s">
        <v>1666</v>
      </c>
      <c r="H1266" s="419" t="s">
        <v>1666</v>
      </c>
    </row>
    <row r="1267" spans="1:8" ht="12.75">
      <c r="A1267" s="799" t="s">
        <v>2768</v>
      </c>
      <c r="B1267" s="617" t="s">
        <v>2794</v>
      </c>
      <c r="C1267" s="455">
        <v>4</v>
      </c>
      <c r="D1267" s="793" t="s">
        <v>340</v>
      </c>
      <c r="E1267" s="635">
        <v>2.1708241661196198E-2</v>
      </c>
      <c r="F1267" s="635">
        <v>0.36572952458380198</v>
      </c>
      <c r="G1267" s="635">
        <v>4.6350652173913045E-4</v>
      </c>
      <c r="H1267" s="635">
        <v>1.6975608035415088E-3</v>
      </c>
    </row>
    <row r="1268" spans="1:8" ht="12.75">
      <c r="A1268" s="24" t="s">
        <v>2768</v>
      </c>
      <c r="B1268" s="14" t="s">
        <v>2797</v>
      </c>
      <c r="C1268" s="792">
        <v>46.51162790697672</v>
      </c>
      <c r="D1268" s="18" t="s">
        <v>2798</v>
      </c>
      <c r="E1268" s="12">
        <v>5.3660800389999995E-4</v>
      </c>
      <c r="F1268" s="12">
        <v>2.8929604629999999E-3</v>
      </c>
      <c r="G1268" s="12">
        <v>1.75E-4</v>
      </c>
      <c r="H1268" s="12">
        <v>2.6107342105263152E-4</v>
      </c>
    </row>
    <row r="1269" spans="1:8" ht="12.75">
      <c r="A1269" s="24" t="s">
        <v>2768</v>
      </c>
      <c r="B1269" s="14" t="s">
        <v>2797</v>
      </c>
      <c r="C1269" s="792">
        <v>22.148394241417485</v>
      </c>
      <c r="D1269" s="18" t="s">
        <v>2799</v>
      </c>
      <c r="E1269" s="12">
        <v>5.0851930036188197E-3</v>
      </c>
      <c r="F1269" s="12">
        <v>5.9995417730640897E-2</v>
      </c>
      <c r="G1269" s="12">
        <v>3.4699999999999998E-4</v>
      </c>
      <c r="H1269" s="12">
        <v>2.9762429672480995E-4</v>
      </c>
    </row>
    <row r="1270" spans="1:8" ht="12.75">
      <c r="A1270" s="24" t="s">
        <v>2768</v>
      </c>
      <c r="B1270" s="14" t="s">
        <v>2797</v>
      </c>
      <c r="C1270" s="810">
        <v>9.9700897308075795</v>
      </c>
      <c r="D1270" s="456" t="s">
        <v>72</v>
      </c>
      <c r="E1270" s="457">
        <v>0</v>
      </c>
      <c r="F1270" s="457">
        <v>0</v>
      </c>
      <c r="G1270" s="457">
        <v>0</v>
      </c>
      <c r="H1270" s="457">
        <v>0</v>
      </c>
    </row>
    <row r="1271" spans="1:8" ht="12.75">
      <c r="A1271" s="24" t="s">
        <v>2768</v>
      </c>
      <c r="B1271" s="14" t="s">
        <v>2797</v>
      </c>
      <c r="C1271" s="792">
        <v>7.7519379844961183</v>
      </c>
      <c r="D1271" s="18" t="s">
        <v>2800</v>
      </c>
      <c r="E1271" s="12">
        <v>3.8102374934982654E-3</v>
      </c>
      <c r="F1271" s="12">
        <v>0.20470422547079484</v>
      </c>
      <c r="G1271" s="12">
        <v>1.210810810810811E-4</v>
      </c>
      <c r="H1271" s="12">
        <v>1.0002400855855065E-3</v>
      </c>
    </row>
    <row r="1272" spans="1:8" ht="12.75">
      <c r="A1272" s="24" t="s">
        <v>2768</v>
      </c>
      <c r="B1272" s="14" t="s">
        <v>2797</v>
      </c>
      <c r="C1272" s="792">
        <v>2.2148394241417479</v>
      </c>
      <c r="D1272" s="18" t="s">
        <v>433</v>
      </c>
      <c r="E1272" s="12">
        <v>3.0104466724907065E-4</v>
      </c>
      <c r="F1272" s="12">
        <v>1.2500000000000001E-2</v>
      </c>
      <c r="G1272" s="12">
        <v>5.1818181818181835E-4</v>
      </c>
      <c r="H1272" s="12">
        <v>4.0084080366977777E-4</v>
      </c>
    </row>
    <row r="1273" spans="1:8" ht="12.75">
      <c r="A1273" s="24" t="s">
        <v>2768</v>
      </c>
      <c r="B1273" s="14" t="s">
        <v>2797</v>
      </c>
      <c r="C1273" s="792">
        <v>4.6290143964562533</v>
      </c>
      <c r="D1273" s="18" t="s">
        <v>2801</v>
      </c>
      <c r="E1273" s="12">
        <v>2.3E-3</v>
      </c>
      <c r="F1273" s="12">
        <v>4.7879999999999999E-2</v>
      </c>
      <c r="G1273" s="12">
        <v>9.9999999999999995E-7</v>
      </c>
      <c r="H1273" s="12">
        <v>4.4092488403675551E-4</v>
      </c>
    </row>
    <row r="1274" spans="1:8" ht="12.75">
      <c r="A1274" s="24" t="s">
        <v>2768</v>
      </c>
      <c r="B1274" s="14" t="s">
        <v>2797</v>
      </c>
      <c r="C1274" s="792">
        <v>6.2569213732004378</v>
      </c>
      <c r="D1274" s="18" t="s">
        <v>2802</v>
      </c>
      <c r="E1274" s="12">
        <v>2.9691872042618299E-2</v>
      </c>
      <c r="F1274" s="12">
        <v>7.5368545517799299E-2</v>
      </c>
      <c r="G1274" s="12">
        <v>2.9014018691588786E-4</v>
      </c>
      <c r="H1274" s="12">
        <v>1.4770983615231311E-3</v>
      </c>
    </row>
    <row r="1275" spans="1:8" ht="12.75">
      <c r="A1275" s="24" t="s">
        <v>2768</v>
      </c>
      <c r="B1275" s="14" t="s">
        <v>2797</v>
      </c>
      <c r="C1275" s="792" t="s">
        <v>1666</v>
      </c>
      <c r="D1275" s="18" t="s">
        <v>1666</v>
      </c>
      <c r="E1275" s="220" t="s">
        <v>1666</v>
      </c>
      <c r="F1275" s="220" t="s">
        <v>1666</v>
      </c>
      <c r="G1275" s="220" t="s">
        <v>1666</v>
      </c>
      <c r="H1275" s="220" t="s">
        <v>1666</v>
      </c>
    </row>
    <row r="1276" spans="1:8" ht="12.75">
      <c r="A1276" s="24" t="s">
        <v>2768</v>
      </c>
      <c r="B1276" s="14" t="s">
        <v>2797</v>
      </c>
      <c r="C1276" s="792">
        <v>2.9568106312292342</v>
      </c>
      <c r="D1276" s="18" t="s">
        <v>2803</v>
      </c>
      <c r="E1276" s="12">
        <v>1.0652903141570055E-3</v>
      </c>
      <c r="F1276" s="12">
        <v>1.7273631840796021E-2</v>
      </c>
      <c r="G1276" s="12">
        <v>1.3582399999999999E-4</v>
      </c>
      <c r="H1276" s="12">
        <v>2.14E-3</v>
      </c>
    </row>
    <row r="1277" spans="1:8" ht="12.75">
      <c r="A1277" s="24" t="s">
        <v>2768</v>
      </c>
      <c r="B1277" s="14" t="s">
        <v>2797</v>
      </c>
      <c r="C1277" s="792" t="s">
        <v>1666</v>
      </c>
      <c r="D1277" s="18" t="s">
        <v>1666</v>
      </c>
      <c r="E1277" s="220" t="s">
        <v>1666</v>
      </c>
      <c r="F1277" s="220" t="s">
        <v>1666</v>
      </c>
      <c r="G1277" s="220" t="s">
        <v>1666</v>
      </c>
      <c r="H1277" s="220" t="s">
        <v>1666</v>
      </c>
    </row>
    <row r="1278" spans="1:8" ht="12.75">
      <c r="A1278" s="24" t="s">
        <v>2768</v>
      </c>
      <c r="B1278" s="14" t="s">
        <v>2797</v>
      </c>
      <c r="C1278" s="792" t="s">
        <v>1666</v>
      </c>
      <c r="D1278" s="18" t="s">
        <v>1666</v>
      </c>
      <c r="E1278" s="220" t="s">
        <v>1666</v>
      </c>
      <c r="F1278" s="220" t="s">
        <v>1666</v>
      </c>
      <c r="G1278" s="220" t="s">
        <v>1666</v>
      </c>
      <c r="H1278" s="220" t="s">
        <v>1666</v>
      </c>
    </row>
    <row r="1279" spans="1:8" ht="12.75">
      <c r="A1279" s="24" t="s">
        <v>2768</v>
      </c>
      <c r="B1279" s="14" t="s">
        <v>2797</v>
      </c>
      <c r="C1279" s="792" t="s">
        <v>1666</v>
      </c>
      <c r="D1279" s="18" t="s">
        <v>1666</v>
      </c>
      <c r="E1279" s="220" t="s">
        <v>1666</v>
      </c>
      <c r="F1279" s="220" t="s">
        <v>1666</v>
      </c>
      <c r="G1279" s="220" t="s">
        <v>1666</v>
      </c>
      <c r="H1279" s="220" t="s">
        <v>1666</v>
      </c>
    </row>
    <row r="1280" spans="1:8" ht="12.75">
      <c r="A1280" s="24" t="s">
        <v>2768</v>
      </c>
      <c r="B1280" s="14" t="s">
        <v>2797</v>
      </c>
      <c r="C1280" s="792" t="s">
        <v>1666</v>
      </c>
      <c r="D1280" s="18" t="s">
        <v>1666</v>
      </c>
      <c r="E1280" s="220" t="s">
        <v>1666</v>
      </c>
      <c r="F1280" s="220" t="s">
        <v>1666</v>
      </c>
      <c r="G1280" s="220" t="s">
        <v>1666</v>
      </c>
      <c r="H1280" s="220" t="s">
        <v>1666</v>
      </c>
    </row>
    <row r="1281" spans="1:8" ht="12.75">
      <c r="A1281" s="24" t="s">
        <v>2768</v>
      </c>
      <c r="B1281" s="14" t="s">
        <v>2797</v>
      </c>
      <c r="C1281" s="792" t="s">
        <v>1666</v>
      </c>
      <c r="D1281" s="18" t="s">
        <v>1666</v>
      </c>
      <c r="E1281" s="220" t="s">
        <v>1666</v>
      </c>
      <c r="F1281" s="220" t="s">
        <v>1666</v>
      </c>
      <c r="G1281" s="220" t="s">
        <v>1666</v>
      </c>
      <c r="H1281" s="220" t="s">
        <v>1666</v>
      </c>
    </row>
    <row r="1282" spans="1:8" ht="12.75">
      <c r="A1282" s="24" t="s">
        <v>2768</v>
      </c>
      <c r="B1282" s="14" t="s">
        <v>2797</v>
      </c>
      <c r="C1282" s="792">
        <v>2.3255813953488351</v>
      </c>
      <c r="D1282" s="18" t="s">
        <v>2530</v>
      </c>
      <c r="E1282" s="12">
        <v>2.5055367220000002E-3</v>
      </c>
      <c r="F1282" s="12">
        <v>3.8459841414181101E-2</v>
      </c>
      <c r="G1282" s="12">
        <v>1.1035422343324251E-4</v>
      </c>
      <c r="H1282" s="12">
        <v>8.109653861711444E-4</v>
      </c>
    </row>
    <row r="1283" spans="1:8" ht="12.75">
      <c r="A1283" s="24" t="s">
        <v>2768</v>
      </c>
      <c r="B1283" s="14" t="s">
        <v>2797</v>
      </c>
      <c r="C1283" s="792">
        <v>2.2148394241417479</v>
      </c>
      <c r="D1283" s="18" t="s">
        <v>79</v>
      </c>
      <c r="E1283" s="12">
        <v>1.3100000000000001E-2</v>
      </c>
      <c r="F1283" s="12">
        <v>0.27117000000000002</v>
      </c>
      <c r="G1283" s="12">
        <v>4.1E-5</v>
      </c>
      <c r="H1283" s="12">
        <v>1.8699999999999999E-3</v>
      </c>
    </row>
    <row r="1284" spans="1:8" ht="12.75">
      <c r="A1284" s="24" t="s">
        <v>2768</v>
      </c>
      <c r="B1284" s="14" t="s">
        <v>2797</v>
      </c>
      <c r="C1284" s="792" t="s">
        <v>1666</v>
      </c>
      <c r="D1284" s="18" t="s">
        <v>1666</v>
      </c>
      <c r="E1284" s="220" t="s">
        <v>1666</v>
      </c>
      <c r="F1284" s="220" t="s">
        <v>1666</v>
      </c>
      <c r="G1284" s="220" t="s">
        <v>1666</v>
      </c>
      <c r="H1284" s="220" t="s">
        <v>1666</v>
      </c>
    </row>
    <row r="1285" spans="1:8" ht="12.75">
      <c r="A1285" s="24" t="s">
        <v>2768</v>
      </c>
      <c r="B1285" s="14" t="s">
        <v>2797</v>
      </c>
      <c r="C1285" s="792">
        <v>0.55370985603543699</v>
      </c>
      <c r="D1285" s="18" t="s">
        <v>83</v>
      </c>
      <c r="E1285" s="12">
        <v>0</v>
      </c>
      <c r="F1285" s="12">
        <v>0</v>
      </c>
      <c r="G1285" s="12">
        <v>0</v>
      </c>
      <c r="H1285" s="12">
        <v>0</v>
      </c>
    </row>
    <row r="1286" spans="1:8" ht="12.75">
      <c r="A1286" s="24" t="s">
        <v>2768</v>
      </c>
      <c r="B1286" s="14" t="s">
        <v>2797</v>
      </c>
      <c r="C1286" s="792">
        <v>0.55370985603543699</v>
      </c>
      <c r="D1286" s="18" t="s">
        <v>124</v>
      </c>
      <c r="E1286" s="12">
        <v>3.9416473933649287E-3</v>
      </c>
      <c r="F1286" s="12">
        <v>1.1589150710900475E-2</v>
      </c>
      <c r="G1286" s="12">
        <v>7.7264934597156404E-5</v>
      </c>
      <c r="H1286" s="12">
        <v>7.2702369668246447E-4</v>
      </c>
    </row>
    <row r="1287" spans="1:8" ht="12.75">
      <c r="A1287" s="24" t="s">
        <v>2768</v>
      </c>
      <c r="B1287" s="14" t="s">
        <v>2797</v>
      </c>
      <c r="C1287" s="792">
        <v>0.55370985603543699</v>
      </c>
      <c r="D1287" s="18" t="s">
        <v>2661</v>
      </c>
      <c r="E1287" s="12">
        <v>3.0177940758293843E-3</v>
      </c>
      <c r="F1287" s="12">
        <v>8.8728561611374421E-3</v>
      </c>
      <c r="G1287" s="12">
        <v>5.9155383175355464E-5</v>
      </c>
      <c r="H1287" s="12">
        <v>5.56622037914692E-4</v>
      </c>
    </row>
    <row r="1288" spans="1:8" ht="12.75">
      <c r="A1288" s="24" t="s">
        <v>2768</v>
      </c>
      <c r="B1288" s="14" t="s">
        <v>2797</v>
      </c>
      <c r="C1288" s="792" t="s">
        <v>1666</v>
      </c>
      <c r="D1288" s="18" t="s">
        <v>1666</v>
      </c>
      <c r="E1288" s="220" t="s">
        <v>1666</v>
      </c>
      <c r="F1288" s="220" t="s">
        <v>1666</v>
      </c>
      <c r="G1288" s="220" t="s">
        <v>1666</v>
      </c>
      <c r="H1288" s="220" t="s">
        <v>1666</v>
      </c>
    </row>
    <row r="1289" spans="1:8" ht="12.75">
      <c r="A1289" s="24" t="s">
        <v>2768</v>
      </c>
      <c r="B1289" s="14" t="s">
        <v>2797</v>
      </c>
      <c r="C1289" s="792">
        <v>0.55370985603543699</v>
      </c>
      <c r="D1289" s="18" t="s">
        <v>1124</v>
      </c>
      <c r="E1289" s="12">
        <v>2.38916680630451E-3</v>
      </c>
      <c r="F1289" s="12">
        <v>0.16192713668914901</v>
      </c>
      <c r="G1289" s="12">
        <v>4.8714285714285716E-4</v>
      </c>
      <c r="H1289" s="12">
        <v>2.358948129596642E-3</v>
      </c>
    </row>
    <row r="1290" spans="1:8" ht="12.75">
      <c r="A1290" s="24" t="s">
        <v>2768</v>
      </c>
      <c r="B1290" s="14" t="s">
        <v>2797</v>
      </c>
      <c r="C1290" s="792">
        <v>0.33222591362126225</v>
      </c>
      <c r="D1290" s="18" t="s">
        <v>86</v>
      </c>
      <c r="E1290" s="12">
        <v>0</v>
      </c>
      <c r="F1290" s="12">
        <v>0</v>
      </c>
      <c r="G1290" s="12">
        <v>0</v>
      </c>
      <c r="H1290" s="12">
        <v>0</v>
      </c>
    </row>
    <row r="1291" spans="1:8" ht="12.75">
      <c r="A1291" s="24" t="s">
        <v>2768</v>
      </c>
      <c r="B1291" s="14" t="s">
        <v>2797</v>
      </c>
      <c r="C1291" s="792">
        <v>0.33222591362126219</v>
      </c>
      <c r="D1291" s="809" t="s">
        <v>2783</v>
      </c>
      <c r="E1291" s="461">
        <v>2.2073766211046637E-2</v>
      </c>
      <c r="F1291" s="461">
        <v>8.7246004352723297E-2</v>
      </c>
      <c r="G1291" s="461">
        <v>5.8202330775582959E-4</v>
      </c>
      <c r="H1291" s="461">
        <v>2.670351142205461E-3</v>
      </c>
    </row>
    <row r="1292" spans="1:8" ht="12.75">
      <c r="A1292" s="24" t="s">
        <v>2768</v>
      </c>
      <c r="B1292" s="14" t="s">
        <v>2797</v>
      </c>
      <c r="C1292" s="792" t="s">
        <v>1624</v>
      </c>
      <c r="D1292" s="18" t="s">
        <v>1624</v>
      </c>
      <c r="E1292" s="220" t="s">
        <v>1624</v>
      </c>
      <c r="F1292" s="220" t="s">
        <v>1624</v>
      </c>
      <c r="G1292" s="220" t="s">
        <v>1624</v>
      </c>
      <c r="H1292" s="220" t="s">
        <v>1624</v>
      </c>
    </row>
    <row r="1293" spans="1:8" ht="12.75">
      <c r="A1293" s="24" t="s">
        <v>2768</v>
      </c>
      <c r="B1293" s="14" t="s">
        <v>2797</v>
      </c>
      <c r="C1293" s="792" t="s">
        <v>1666</v>
      </c>
      <c r="D1293" s="18" t="s">
        <v>1666</v>
      </c>
      <c r="E1293" s="220" t="s">
        <v>1666</v>
      </c>
      <c r="F1293" s="220" t="s">
        <v>1666</v>
      </c>
      <c r="G1293" s="220" t="s">
        <v>1666</v>
      </c>
      <c r="H1293" s="220" t="s">
        <v>1666</v>
      </c>
    </row>
    <row r="1294" spans="1:8" ht="12.75">
      <c r="A1294" s="24" t="s">
        <v>2768</v>
      </c>
      <c r="B1294" s="14" t="s">
        <v>2797</v>
      </c>
      <c r="C1294" s="792">
        <v>5.5370985603543699E-2</v>
      </c>
      <c r="D1294" s="18" t="s">
        <v>2662</v>
      </c>
      <c r="E1294" s="12">
        <v>6.399192301960112E-3</v>
      </c>
      <c r="F1294" s="12">
        <v>0.12411340117772937</v>
      </c>
      <c r="G1294" s="12">
        <v>9.8749999999999988E-5</v>
      </c>
      <c r="H1294" s="12">
        <v>3.8580927353216109E-4</v>
      </c>
    </row>
    <row r="1295" spans="1:8" ht="12.75">
      <c r="A1295" s="794" t="s">
        <v>2768</v>
      </c>
      <c r="B1295" s="617" t="s">
        <v>2797</v>
      </c>
      <c r="C1295" s="455">
        <v>5.5370985603543699E-2</v>
      </c>
      <c r="D1295" s="793" t="s">
        <v>2684</v>
      </c>
      <c r="E1295" s="635">
        <v>4.7062756261925113E-3</v>
      </c>
      <c r="F1295" s="635">
        <v>3.8210906557435767E-2</v>
      </c>
      <c r="G1295" s="635">
        <v>8.2999999999999998E-5</v>
      </c>
      <c r="H1295" s="635">
        <v>5.9908272287602653E-4</v>
      </c>
    </row>
    <row r="1296" spans="1:8" ht="12.75">
      <c r="A1296" s="24" t="s">
        <v>2768</v>
      </c>
      <c r="B1296" s="14" t="s">
        <v>2804</v>
      </c>
      <c r="C1296" s="792">
        <v>19.25</v>
      </c>
      <c r="D1296" s="18" t="s">
        <v>201</v>
      </c>
      <c r="E1296" s="12">
        <v>4.18475450981867E-4</v>
      </c>
      <c r="F1296" s="12">
        <v>8.6483234472969298E-3</v>
      </c>
      <c r="G1296" s="12">
        <v>1.2528735632183908E-4</v>
      </c>
      <c r="H1296" s="12">
        <v>3.0408612692190031E-4</v>
      </c>
    </row>
    <row r="1297" spans="1:8" ht="12.75">
      <c r="A1297" s="24" t="s">
        <v>2768</v>
      </c>
      <c r="B1297" s="14" t="s">
        <v>2804</v>
      </c>
      <c r="C1297" s="792">
        <v>61.240112994350284</v>
      </c>
      <c r="D1297" s="18" t="s">
        <v>2805</v>
      </c>
      <c r="E1297" s="12">
        <v>3.8102374934982654E-3</v>
      </c>
      <c r="F1297" s="12">
        <v>0.20470422547079484</v>
      </c>
      <c r="G1297" s="12">
        <v>1.210810810810811E-4</v>
      </c>
      <c r="H1297" s="12">
        <v>1.0002400855855065E-3</v>
      </c>
    </row>
    <row r="1298" spans="1:8" ht="12.75">
      <c r="A1298" s="24" t="s">
        <v>2768</v>
      </c>
      <c r="B1298" s="14" t="s">
        <v>2804</v>
      </c>
      <c r="C1298" s="792" t="s">
        <v>1666</v>
      </c>
      <c r="D1298" s="18" t="s">
        <v>1666</v>
      </c>
      <c r="E1298" s="220" t="s">
        <v>1666</v>
      </c>
      <c r="F1298" s="220" t="s">
        <v>1666</v>
      </c>
      <c r="G1298" s="220" t="s">
        <v>1666</v>
      </c>
      <c r="H1298" s="220" t="s">
        <v>1666</v>
      </c>
    </row>
    <row r="1299" spans="1:8" ht="12.75">
      <c r="A1299" s="24" t="s">
        <v>2768</v>
      </c>
      <c r="B1299" s="14" t="s">
        <v>2804</v>
      </c>
      <c r="C1299" s="792">
        <v>19.25</v>
      </c>
      <c r="D1299" s="18" t="s">
        <v>433</v>
      </c>
      <c r="E1299" s="12">
        <v>3.0104466724907065E-4</v>
      </c>
      <c r="F1299" s="12">
        <v>1.2500000000000001E-2</v>
      </c>
      <c r="G1299" s="12">
        <v>5.1818181818181835E-4</v>
      </c>
      <c r="H1299" s="12">
        <v>4.0084080366977777E-4</v>
      </c>
    </row>
    <row r="1300" spans="1:8" ht="12.75">
      <c r="A1300" s="24" t="s">
        <v>2768</v>
      </c>
      <c r="B1300" s="14" t="s">
        <v>2804</v>
      </c>
      <c r="C1300" s="792" t="s">
        <v>1666</v>
      </c>
      <c r="D1300" s="18" t="s">
        <v>1666</v>
      </c>
      <c r="E1300" s="220" t="s">
        <v>1666</v>
      </c>
      <c r="F1300" s="220" t="s">
        <v>1666</v>
      </c>
      <c r="G1300" s="220" t="s">
        <v>1666</v>
      </c>
      <c r="H1300" s="220" t="s">
        <v>1666</v>
      </c>
    </row>
    <row r="1301" spans="1:8" ht="12.75">
      <c r="A1301" s="24" t="s">
        <v>2768</v>
      </c>
      <c r="B1301" s="14" t="s">
        <v>2804</v>
      </c>
      <c r="C1301" s="792" t="s">
        <v>1666</v>
      </c>
      <c r="D1301" s="18" t="s">
        <v>1666</v>
      </c>
      <c r="E1301" s="220" t="s">
        <v>1666</v>
      </c>
      <c r="F1301" s="220" t="s">
        <v>1666</v>
      </c>
      <c r="G1301" s="220" t="s">
        <v>1666</v>
      </c>
      <c r="H1301" s="220" t="s">
        <v>1666</v>
      </c>
    </row>
    <row r="1302" spans="1:8" ht="12.75">
      <c r="A1302" s="24" t="s">
        <v>2768</v>
      </c>
      <c r="B1302" s="14" t="s">
        <v>2804</v>
      </c>
      <c r="C1302" s="810">
        <v>6.6833667334669329</v>
      </c>
      <c r="D1302" s="456" t="s">
        <v>72</v>
      </c>
      <c r="E1302" s="457">
        <v>0</v>
      </c>
      <c r="F1302" s="457">
        <v>0</v>
      </c>
      <c r="G1302" s="457">
        <v>0</v>
      </c>
      <c r="H1302" s="457">
        <v>0</v>
      </c>
    </row>
    <row r="1303" spans="1:8" ht="12.75">
      <c r="A1303" s="24" t="s">
        <v>2768</v>
      </c>
      <c r="B1303" s="14" t="s">
        <v>2804</v>
      </c>
      <c r="C1303" s="792">
        <v>0.12994350282485875</v>
      </c>
      <c r="D1303" s="18" t="s">
        <v>81</v>
      </c>
      <c r="E1303" s="12">
        <v>1.9912385503783353E-2</v>
      </c>
      <c r="F1303" s="12">
        <v>5.6949422540820388E-2</v>
      </c>
      <c r="G1303" s="12">
        <v>3.8829151732377542E-3</v>
      </c>
      <c r="H1303" s="12">
        <v>5.6321186778176026E-3</v>
      </c>
    </row>
    <row r="1304" spans="1:8" ht="12.75">
      <c r="A1304" s="794" t="s">
        <v>2768</v>
      </c>
      <c r="B1304" s="617" t="s">
        <v>2804</v>
      </c>
      <c r="C1304" s="455">
        <v>0.12994350282485875</v>
      </c>
      <c r="D1304" s="793" t="s">
        <v>83</v>
      </c>
      <c r="E1304" s="635">
        <v>0</v>
      </c>
      <c r="F1304" s="635">
        <v>0</v>
      </c>
      <c r="G1304" s="635">
        <v>0</v>
      </c>
      <c r="H1304" s="635">
        <v>0</v>
      </c>
    </row>
    <row r="1305" spans="1:8" ht="12.75">
      <c r="A1305" s="24" t="s">
        <v>2768</v>
      </c>
      <c r="B1305" s="14" t="s">
        <v>2806</v>
      </c>
      <c r="C1305" s="792">
        <v>78.437590681092743</v>
      </c>
      <c r="D1305" s="18" t="s">
        <v>2772</v>
      </c>
      <c r="E1305" s="12">
        <v>3.8427539589960401E-3</v>
      </c>
      <c r="F1305" s="12">
        <v>1.5537788094869101E-2</v>
      </c>
      <c r="G1305" s="12">
        <v>2.14E-4</v>
      </c>
      <c r="H1305" s="12">
        <v>5.7320234924778215E-4</v>
      </c>
    </row>
    <row r="1306" spans="1:8" ht="12.75">
      <c r="A1306" s="24" t="s">
        <v>2768</v>
      </c>
      <c r="B1306" s="14" t="s">
        <v>2806</v>
      </c>
      <c r="C1306" s="792">
        <v>7.2922107532230651</v>
      </c>
      <c r="D1306" s="18" t="s">
        <v>433</v>
      </c>
      <c r="E1306" s="12">
        <v>3.0104466724907065E-4</v>
      </c>
      <c r="F1306" s="12">
        <v>1.2500000000000001E-2</v>
      </c>
      <c r="G1306" s="12">
        <v>5.1818181818181835E-4</v>
      </c>
      <c r="H1306" s="12">
        <v>4.0084080366977777E-4</v>
      </c>
    </row>
    <row r="1307" spans="1:8" ht="12.75">
      <c r="A1307" s="24" t="s">
        <v>2768</v>
      </c>
      <c r="B1307" s="14" t="s">
        <v>2806</v>
      </c>
      <c r="C1307" s="792">
        <v>4.8331053351573194</v>
      </c>
      <c r="D1307" s="18" t="s">
        <v>2807</v>
      </c>
      <c r="E1307" s="12">
        <v>2.9691872042618299E-2</v>
      </c>
      <c r="F1307" s="12">
        <v>7.5368545517799299E-2</v>
      </c>
      <c r="G1307" s="12">
        <v>2.9014018691588786E-4</v>
      </c>
      <c r="H1307" s="12">
        <v>1.4770983615231311E-3</v>
      </c>
    </row>
    <row r="1308" spans="1:8" ht="12.75">
      <c r="A1308" s="24" t="s">
        <v>2768</v>
      </c>
      <c r="B1308" s="14" t="s">
        <v>2806</v>
      </c>
      <c r="C1308" s="792">
        <v>1.9719769514571159</v>
      </c>
      <c r="D1308" s="18" t="s">
        <v>340</v>
      </c>
      <c r="E1308" s="12">
        <v>2.1708241661196198E-2</v>
      </c>
      <c r="F1308" s="12">
        <v>0.36572952458380198</v>
      </c>
      <c r="G1308" s="12">
        <v>4.6350652173913045E-4</v>
      </c>
      <c r="H1308" s="12">
        <v>1.6975608035415088E-3</v>
      </c>
    </row>
    <row r="1309" spans="1:8" ht="12.75">
      <c r="A1309" s="24" t="s">
        <v>2768</v>
      </c>
      <c r="B1309" s="14" t="s">
        <v>2806</v>
      </c>
      <c r="C1309" s="792" t="s">
        <v>1666</v>
      </c>
      <c r="D1309" s="18" t="s">
        <v>1666</v>
      </c>
      <c r="E1309" s="220" t="s">
        <v>1666</v>
      </c>
      <c r="F1309" s="220" t="s">
        <v>1666</v>
      </c>
      <c r="G1309" s="220" t="s">
        <v>1666</v>
      </c>
      <c r="H1309" s="220" t="s">
        <v>1666</v>
      </c>
    </row>
    <row r="1310" spans="1:8" ht="12.75">
      <c r="A1310" s="24" t="s">
        <v>2768</v>
      </c>
      <c r="B1310" s="14" t="s">
        <v>2806</v>
      </c>
      <c r="C1310" s="792">
        <v>0.53178294573643425</v>
      </c>
      <c r="D1310" s="18" t="s">
        <v>324</v>
      </c>
      <c r="E1310" s="12">
        <v>1.0652903141570055E-3</v>
      </c>
      <c r="F1310" s="12">
        <v>1.7273631840796021E-2</v>
      </c>
      <c r="G1310" s="12">
        <v>1.3582399999999999E-4</v>
      </c>
      <c r="H1310" s="12">
        <v>2.14E-3</v>
      </c>
    </row>
    <row r="1311" spans="1:8" ht="12.75">
      <c r="A1311" s="24" t="s">
        <v>2768</v>
      </c>
      <c r="B1311" s="14" t="s">
        <v>2806</v>
      </c>
      <c r="C1311" s="792" t="s">
        <v>1666</v>
      </c>
      <c r="D1311" s="18" t="s">
        <v>1666</v>
      </c>
      <c r="E1311" s="220" t="s">
        <v>1666</v>
      </c>
      <c r="F1311" s="220" t="s">
        <v>1666</v>
      </c>
      <c r="G1311" s="220" t="s">
        <v>1666</v>
      </c>
      <c r="H1311" s="220" t="s">
        <v>1666</v>
      </c>
    </row>
    <row r="1312" spans="1:8" ht="12.75">
      <c r="A1312" s="24" t="s">
        <v>2768</v>
      </c>
      <c r="B1312" s="14" t="s">
        <v>2806</v>
      </c>
      <c r="C1312" s="792">
        <v>2.9411764705882355</v>
      </c>
      <c r="D1312" s="18" t="s">
        <v>227</v>
      </c>
      <c r="E1312" s="12">
        <v>2.5055367220000002E-3</v>
      </c>
      <c r="F1312" s="12">
        <v>3.8459841414181101E-2</v>
      </c>
      <c r="G1312" s="12">
        <v>1.1035422343324251E-4</v>
      </c>
      <c r="H1312" s="12">
        <v>8.109653861711444E-4</v>
      </c>
    </row>
    <row r="1313" spans="1:8" ht="12.75">
      <c r="A1313" s="24" t="s">
        <v>2768</v>
      </c>
      <c r="B1313" s="14" t="s">
        <v>2806</v>
      </c>
      <c r="C1313" s="792">
        <v>1.3725490196078431</v>
      </c>
      <c r="D1313" s="18" t="s">
        <v>425</v>
      </c>
      <c r="E1313" s="12">
        <v>3.8102374934982654E-3</v>
      </c>
      <c r="F1313" s="12">
        <v>0.20470422547079484</v>
      </c>
      <c r="G1313" s="12">
        <v>1.210810810810811E-4</v>
      </c>
      <c r="H1313" s="12">
        <v>1.0002400855855065E-3</v>
      </c>
    </row>
    <row r="1314" spans="1:8" ht="12.75">
      <c r="A1314" s="24" t="s">
        <v>2768</v>
      </c>
      <c r="B1314" s="14" t="s">
        <v>2806</v>
      </c>
      <c r="C1314" s="792" t="s">
        <v>1666</v>
      </c>
      <c r="D1314" s="18" t="s">
        <v>1666</v>
      </c>
      <c r="E1314" s="220" t="s">
        <v>1666</v>
      </c>
      <c r="F1314" s="220" t="s">
        <v>1666</v>
      </c>
      <c r="G1314" s="220" t="s">
        <v>1666</v>
      </c>
      <c r="H1314" s="220" t="s">
        <v>1666</v>
      </c>
    </row>
    <row r="1315" spans="1:8" ht="12.75">
      <c r="A1315" s="24" t="s">
        <v>2768</v>
      </c>
      <c r="B1315" s="14" t="s">
        <v>2806</v>
      </c>
      <c r="C1315" s="792">
        <v>2.5490196078431371</v>
      </c>
      <c r="D1315" s="18" t="s">
        <v>2808</v>
      </c>
      <c r="E1315" s="12">
        <v>4.7062756261925113E-3</v>
      </c>
      <c r="F1315" s="12">
        <v>3.8210906557435767E-2</v>
      </c>
      <c r="G1315" s="12">
        <v>7.6086956521739124E-5</v>
      </c>
      <c r="H1315" s="12">
        <v>5.9908272287602653E-4</v>
      </c>
    </row>
    <row r="1316" spans="1:8" ht="12.75">
      <c r="A1316" s="24" t="s">
        <v>2768</v>
      </c>
      <c r="B1316" s="14" t="s">
        <v>2806</v>
      </c>
      <c r="C1316" s="792" t="s">
        <v>1666</v>
      </c>
      <c r="D1316" s="18" t="s">
        <v>1666</v>
      </c>
      <c r="E1316" s="220" t="s">
        <v>1666</v>
      </c>
      <c r="F1316" s="220" t="s">
        <v>1666</v>
      </c>
      <c r="G1316" s="220" t="s">
        <v>1666</v>
      </c>
      <c r="H1316" s="220" t="s">
        <v>1666</v>
      </c>
    </row>
    <row r="1317" spans="1:8" ht="12.75">
      <c r="A1317" s="24" t="s">
        <v>2768</v>
      </c>
      <c r="B1317" s="14" t="s">
        <v>2806</v>
      </c>
      <c r="C1317" s="792" t="s">
        <v>1666</v>
      </c>
      <c r="D1317" s="18" t="s">
        <v>1666</v>
      </c>
      <c r="E1317" s="220" t="s">
        <v>1666</v>
      </c>
      <c r="F1317" s="220" t="s">
        <v>1666</v>
      </c>
      <c r="G1317" s="220" t="s">
        <v>1666</v>
      </c>
      <c r="H1317" s="220" t="s">
        <v>1666</v>
      </c>
    </row>
    <row r="1318" spans="1:8" ht="12.75">
      <c r="A1318" s="24" t="s">
        <v>2768</v>
      </c>
      <c r="B1318" s="14" t="s">
        <v>2806</v>
      </c>
      <c r="C1318" s="792" t="s">
        <v>1666</v>
      </c>
      <c r="D1318" s="18" t="s">
        <v>1666</v>
      </c>
      <c r="E1318" s="220" t="s">
        <v>1666</v>
      </c>
      <c r="F1318" s="220" t="s">
        <v>1666</v>
      </c>
      <c r="G1318" s="220" t="s">
        <v>1666</v>
      </c>
      <c r="H1318" s="220" t="s">
        <v>1666</v>
      </c>
    </row>
    <row r="1319" spans="1:8" ht="12.75">
      <c r="A1319" s="24" t="s">
        <v>2768</v>
      </c>
      <c r="B1319" s="14" t="s">
        <v>2806</v>
      </c>
      <c r="C1319" s="792">
        <v>7.058823529411766E-2</v>
      </c>
      <c r="D1319" s="18" t="s">
        <v>332</v>
      </c>
      <c r="E1319" s="12">
        <v>2.3E-3</v>
      </c>
      <c r="F1319" s="12">
        <v>4.7879999999999999E-2</v>
      </c>
      <c r="G1319" s="12">
        <v>9.9999999999999995E-7</v>
      </c>
      <c r="H1319" s="12">
        <v>4.4092488403675551E-4</v>
      </c>
    </row>
    <row r="1320" spans="1:8" ht="12.75">
      <c r="A1320" s="794" t="s">
        <v>2768</v>
      </c>
      <c r="B1320" s="617" t="s">
        <v>2806</v>
      </c>
      <c r="C1320" s="455" t="s">
        <v>1666</v>
      </c>
      <c r="D1320" s="793" t="s">
        <v>1666</v>
      </c>
      <c r="E1320" s="808" t="s">
        <v>1666</v>
      </c>
      <c r="F1320" s="808" t="s">
        <v>1666</v>
      </c>
      <c r="G1320" s="808" t="s">
        <v>1666</v>
      </c>
      <c r="H1320" s="808" t="s">
        <v>1666</v>
      </c>
    </row>
    <row r="1321" spans="1:8" ht="12.75">
      <c r="A1321" s="24" t="s">
        <v>2768</v>
      </c>
      <c r="B1321" s="14" t="s">
        <v>2809</v>
      </c>
      <c r="C1321" s="792">
        <v>90.748000000000005</v>
      </c>
      <c r="D1321" s="18" t="s">
        <v>2810</v>
      </c>
      <c r="E1321" s="822">
        <v>1.752583727203297E-3</v>
      </c>
      <c r="F1321" s="822">
        <v>9.4157200190816151E-2</v>
      </c>
      <c r="G1321" s="823">
        <v>5.4351301115241636E-5</v>
      </c>
      <c r="H1321" s="822">
        <v>3.99414019024745E-4</v>
      </c>
    </row>
    <row r="1322" spans="1:8" ht="12.75">
      <c r="A1322" s="24" t="s">
        <v>2768</v>
      </c>
      <c r="B1322" s="14" t="s">
        <v>2809</v>
      </c>
      <c r="C1322" s="824">
        <v>5.3999999999999995</v>
      </c>
      <c r="D1322" s="18" t="s">
        <v>346</v>
      </c>
      <c r="E1322" s="12">
        <v>2.9691872042618299E-2</v>
      </c>
      <c r="F1322" s="12">
        <v>7.5368545517799299E-2</v>
      </c>
      <c r="G1322" s="12">
        <v>2.9014018691588786E-4</v>
      </c>
      <c r="H1322" s="12">
        <v>1.4770983615231311E-3</v>
      </c>
    </row>
    <row r="1323" spans="1:8" ht="12.75">
      <c r="A1323" s="24" t="s">
        <v>2768</v>
      </c>
      <c r="B1323" s="14" t="s">
        <v>2809</v>
      </c>
      <c r="C1323" s="824">
        <v>1.44</v>
      </c>
      <c r="D1323" s="18" t="s">
        <v>332</v>
      </c>
      <c r="E1323" s="12">
        <v>2.3E-3</v>
      </c>
      <c r="F1323" s="12">
        <v>4.7879999999999999E-2</v>
      </c>
      <c r="G1323" s="12">
        <v>9.9999999999999995E-7</v>
      </c>
      <c r="H1323" s="12">
        <v>4.4092488403675551E-4</v>
      </c>
    </row>
    <row r="1324" spans="1:8" ht="12.75">
      <c r="A1324" s="24" t="s">
        <v>2768</v>
      </c>
      <c r="B1324" s="14" t="s">
        <v>2809</v>
      </c>
      <c r="C1324" s="824">
        <v>2.34</v>
      </c>
      <c r="D1324" s="18" t="s">
        <v>83</v>
      </c>
      <c r="E1324" s="12">
        <v>0</v>
      </c>
      <c r="F1324" s="12">
        <v>0</v>
      </c>
      <c r="G1324" s="12">
        <v>0</v>
      </c>
      <c r="H1324" s="12">
        <v>0</v>
      </c>
    </row>
    <row r="1325" spans="1:8" ht="12.75">
      <c r="A1325" s="24" t="s">
        <v>2768</v>
      </c>
      <c r="B1325" s="14" t="s">
        <v>2809</v>
      </c>
      <c r="C1325" s="824">
        <v>7.1999999999999995E-2</v>
      </c>
      <c r="D1325" s="18" t="s">
        <v>121</v>
      </c>
      <c r="E1325" s="12">
        <v>4.1127278199052132E-2</v>
      </c>
      <c r="F1325" s="12">
        <v>0.12092157867298578</v>
      </c>
      <c r="G1325" s="12">
        <v>8.0618486208530824E-4</v>
      </c>
      <c r="H1325" s="12">
        <v>7.5857890995260661E-3</v>
      </c>
    </row>
    <row r="1326" spans="1:8" ht="12.75">
      <c r="A1326" s="799" t="s">
        <v>2768</v>
      </c>
      <c r="B1326" s="617" t="s">
        <v>2809</v>
      </c>
      <c r="C1326" s="825" t="s">
        <v>1666</v>
      </c>
      <c r="D1326" s="793" t="s">
        <v>1666</v>
      </c>
      <c r="E1326" s="725" t="s">
        <v>1666</v>
      </c>
      <c r="F1326" s="725" t="s">
        <v>1666</v>
      </c>
      <c r="G1326" s="725" t="s">
        <v>1666</v>
      </c>
      <c r="H1326" s="725" t="s">
        <v>1666</v>
      </c>
    </row>
    <row r="1327" spans="1:8" ht="12.75">
      <c r="A1327" s="24" t="s">
        <v>2768</v>
      </c>
      <c r="B1327" s="14" t="s">
        <v>2811</v>
      </c>
      <c r="C1327" s="792">
        <v>69.688067172455334</v>
      </c>
      <c r="D1327" s="18" t="s">
        <v>2810</v>
      </c>
      <c r="E1327" s="822">
        <v>1.752583727203297E-3</v>
      </c>
      <c r="F1327" s="822">
        <v>9.4157200190816151E-2</v>
      </c>
      <c r="G1327" s="823">
        <v>5.4351301115241636E-5</v>
      </c>
      <c r="H1327" s="822">
        <v>3.99414019024745E-4</v>
      </c>
    </row>
    <row r="1328" spans="1:8" ht="12.75">
      <c r="A1328" s="24" t="s">
        <v>2768</v>
      </c>
      <c r="B1328" s="14" t="s">
        <v>2811</v>
      </c>
      <c r="C1328" s="792">
        <v>8.7173162154339359</v>
      </c>
      <c r="D1328" s="18" t="s">
        <v>332</v>
      </c>
      <c r="E1328" s="12">
        <v>2.3E-3</v>
      </c>
      <c r="F1328" s="12">
        <v>4.7879999999999999E-2</v>
      </c>
      <c r="G1328" s="12">
        <v>9.9999999999999995E-7</v>
      </c>
      <c r="H1328" s="12">
        <v>4.4092488403675551E-4</v>
      </c>
    </row>
    <row r="1329" spans="1:8" ht="12.75">
      <c r="A1329" s="24" t="s">
        <v>2768</v>
      </c>
      <c r="B1329" s="14" t="s">
        <v>2811</v>
      </c>
      <c r="C1329" s="792">
        <v>15.900460530426425</v>
      </c>
      <c r="D1329" s="18" t="s">
        <v>2812</v>
      </c>
      <c r="E1329" s="12">
        <v>2.9691872042618299E-2</v>
      </c>
      <c r="F1329" s="12">
        <v>7.5368545517799299E-2</v>
      </c>
      <c r="G1329" s="12">
        <v>2.9014018691588786E-4</v>
      </c>
      <c r="H1329" s="12">
        <v>1.4770983615231311E-3</v>
      </c>
    </row>
    <row r="1330" spans="1:8" ht="12.75">
      <c r="A1330" s="24" t="s">
        <v>2768</v>
      </c>
      <c r="B1330" s="14" t="s">
        <v>2811</v>
      </c>
      <c r="C1330" s="792">
        <v>1.2031083380567416</v>
      </c>
      <c r="D1330" s="18" t="s">
        <v>83</v>
      </c>
      <c r="E1330" s="12">
        <v>0</v>
      </c>
      <c r="F1330" s="12">
        <v>0</v>
      </c>
      <c r="G1330" s="12">
        <v>0</v>
      </c>
      <c r="H1330" s="12">
        <v>0</v>
      </c>
    </row>
    <row r="1331" spans="1:8" ht="12.75">
      <c r="A1331" s="24" t="s">
        <v>2768</v>
      </c>
      <c r="B1331" s="14" t="s">
        <v>2811</v>
      </c>
      <c r="C1331" s="792">
        <v>4.2901817382529552</v>
      </c>
      <c r="D1331" s="18" t="s">
        <v>88</v>
      </c>
      <c r="E1331" s="12">
        <v>5.5280749052132698E-2</v>
      </c>
      <c r="F1331" s="12">
        <v>0.16253532298578199</v>
      </c>
      <c r="G1331" s="12">
        <v>1.0836239353080568E-3</v>
      </c>
      <c r="H1331" s="12">
        <v>1.0196349526066351E-2</v>
      </c>
    </row>
    <row r="1332" spans="1:8" ht="12.75">
      <c r="A1332" s="24" t="s">
        <v>2768</v>
      </c>
      <c r="B1332" s="14" t="s">
        <v>2811</v>
      </c>
      <c r="C1332" s="792">
        <v>0.20086600537461957</v>
      </c>
      <c r="D1332" s="18" t="s">
        <v>121</v>
      </c>
      <c r="E1332" s="12">
        <v>4.1127278199052132E-2</v>
      </c>
      <c r="F1332" s="12">
        <v>0.12092157867298578</v>
      </c>
      <c r="G1332" s="12">
        <v>8.0618486208530824E-4</v>
      </c>
      <c r="H1332" s="12">
        <v>7.5857890995260661E-3</v>
      </c>
    </row>
    <row r="1333" spans="1:8" ht="12.75">
      <c r="A1333" s="24" t="s">
        <v>2768</v>
      </c>
      <c r="B1333" s="14" t="s">
        <v>2811</v>
      </c>
      <c r="C1333" s="792" t="s">
        <v>1666</v>
      </c>
      <c r="D1333" s="18" t="s">
        <v>1666</v>
      </c>
      <c r="E1333" s="419" t="s">
        <v>1666</v>
      </c>
      <c r="F1333" s="419" t="s">
        <v>1666</v>
      </c>
      <c r="G1333" s="419" t="s">
        <v>1666</v>
      </c>
      <c r="H1333" s="419" t="s">
        <v>1666</v>
      </c>
    </row>
    <row r="1334" spans="1:8" ht="12.75">
      <c r="A1334" s="24" t="s">
        <v>2768</v>
      </c>
      <c r="B1334" s="14" t="s">
        <v>2811</v>
      </c>
      <c r="C1334" s="792" t="s">
        <v>1666</v>
      </c>
      <c r="D1334" s="18" t="s">
        <v>1666</v>
      </c>
      <c r="E1334" s="419" t="s">
        <v>1666</v>
      </c>
      <c r="F1334" s="419" t="s">
        <v>1666</v>
      </c>
      <c r="G1334" s="419" t="s">
        <v>1666</v>
      </c>
      <c r="H1334" s="419" t="s">
        <v>1666</v>
      </c>
    </row>
    <row r="1335" spans="1:8" ht="12.75">
      <c r="A1335" s="24" t="s">
        <v>2768</v>
      </c>
      <c r="B1335" s="14" t="s">
        <v>2811</v>
      </c>
      <c r="C1335" s="792" t="s">
        <v>1666</v>
      </c>
      <c r="D1335" s="18" t="s">
        <v>1666</v>
      </c>
      <c r="E1335" s="419" t="s">
        <v>1666</v>
      </c>
      <c r="F1335" s="419" t="s">
        <v>1666</v>
      </c>
      <c r="G1335" s="419" t="s">
        <v>1666</v>
      </c>
      <c r="H1335" s="419" t="s">
        <v>1666</v>
      </c>
    </row>
    <row r="1336" spans="1:8" ht="12.75">
      <c r="A1336" s="24" t="s">
        <v>2768</v>
      </c>
      <c r="B1336" s="14" t="s">
        <v>2811</v>
      </c>
      <c r="C1336" s="792" t="s">
        <v>1666</v>
      </c>
      <c r="D1336" s="18" t="s">
        <v>1666</v>
      </c>
      <c r="E1336" s="419" t="s">
        <v>1666</v>
      </c>
      <c r="F1336" s="419" t="s">
        <v>1666</v>
      </c>
      <c r="G1336" s="419" t="s">
        <v>1666</v>
      </c>
      <c r="H1336" s="419" t="s">
        <v>1666</v>
      </c>
    </row>
    <row r="1337" spans="1:8" ht="12.75">
      <c r="A1337" s="24" t="s">
        <v>2768</v>
      </c>
      <c r="B1337" s="14" t="s">
        <v>2811</v>
      </c>
      <c r="C1337" s="792" t="s">
        <v>1666</v>
      </c>
      <c r="D1337" s="18" t="s">
        <v>1666</v>
      </c>
      <c r="E1337" s="419" t="s">
        <v>1666</v>
      </c>
      <c r="F1337" s="419" t="s">
        <v>1666</v>
      </c>
      <c r="G1337" s="419" t="s">
        <v>1666</v>
      </c>
      <c r="H1337" s="419" t="s">
        <v>1666</v>
      </c>
    </row>
    <row r="1338" spans="1:8" ht="12.75">
      <c r="A1338" s="24" t="s">
        <v>2768</v>
      </c>
      <c r="B1338" s="14" t="s">
        <v>2811</v>
      </c>
      <c r="C1338" s="792" t="s">
        <v>1666</v>
      </c>
      <c r="D1338" s="18" t="s">
        <v>1666</v>
      </c>
      <c r="E1338" s="419" t="s">
        <v>1666</v>
      </c>
      <c r="F1338" s="419" t="s">
        <v>1666</v>
      </c>
      <c r="G1338" s="419" t="s">
        <v>1666</v>
      </c>
      <c r="H1338" s="419" t="s">
        <v>1666</v>
      </c>
    </row>
    <row r="1339" spans="1:8" ht="12.75">
      <c r="A1339" s="13" t="s">
        <v>2768</v>
      </c>
      <c r="B1339" s="14" t="s">
        <v>2811</v>
      </c>
      <c r="C1339" s="792" t="s">
        <v>1666</v>
      </c>
      <c r="D1339" s="18" t="s">
        <v>1666</v>
      </c>
      <c r="E1339" s="419" t="s">
        <v>1666</v>
      </c>
      <c r="F1339" s="419" t="s">
        <v>1666</v>
      </c>
      <c r="G1339" s="419" t="s">
        <v>1666</v>
      </c>
      <c r="H1339" s="419" t="s">
        <v>1666</v>
      </c>
    </row>
    <row r="1340" spans="1:8" ht="12.75">
      <c r="A1340" s="13" t="s">
        <v>2768</v>
      </c>
      <c r="B1340" s="14" t="s">
        <v>2811</v>
      </c>
      <c r="C1340" s="792" t="s">
        <v>1666</v>
      </c>
      <c r="D1340" s="18" t="s">
        <v>1666</v>
      </c>
      <c r="E1340" s="419" t="s">
        <v>1666</v>
      </c>
      <c r="F1340" s="419" t="s">
        <v>1666</v>
      </c>
      <c r="G1340" s="419" t="s">
        <v>1666</v>
      </c>
      <c r="H1340" s="419" t="s">
        <v>1666</v>
      </c>
    </row>
    <row r="1341" spans="1:8" ht="12.75">
      <c r="A1341" s="13" t="s">
        <v>2768</v>
      </c>
      <c r="B1341" s="14" t="s">
        <v>2811</v>
      </c>
      <c r="C1341" s="792" t="s">
        <v>1666</v>
      </c>
      <c r="D1341" s="18" t="s">
        <v>1666</v>
      </c>
      <c r="E1341" s="419" t="s">
        <v>1666</v>
      </c>
      <c r="F1341" s="419" t="s">
        <v>1666</v>
      </c>
      <c r="G1341" s="419" t="s">
        <v>1666</v>
      </c>
      <c r="H1341" s="419" t="s">
        <v>1666</v>
      </c>
    </row>
    <row r="1342" spans="1:8" ht="12.75">
      <c r="A1342" s="799" t="s">
        <v>2768</v>
      </c>
      <c r="B1342" s="617" t="s">
        <v>2811</v>
      </c>
      <c r="C1342" s="455" t="s">
        <v>1666</v>
      </c>
      <c r="D1342" s="793" t="s">
        <v>1666</v>
      </c>
      <c r="E1342" s="726" t="s">
        <v>1666</v>
      </c>
      <c r="F1342" s="726" t="s">
        <v>1666</v>
      </c>
      <c r="G1342" s="726" t="s">
        <v>1666</v>
      </c>
      <c r="H1342" s="726" t="s">
        <v>1666</v>
      </c>
    </row>
    <row r="1343" spans="1:8" ht="12.75">
      <c r="A1343" s="24" t="s">
        <v>2768</v>
      </c>
      <c r="B1343" s="14" t="s">
        <v>2813</v>
      </c>
      <c r="C1343" s="792">
        <v>37.177763782007148</v>
      </c>
      <c r="D1343" s="18" t="s">
        <v>2814</v>
      </c>
      <c r="E1343" s="12">
        <v>5.0851930036188197E-3</v>
      </c>
      <c r="F1343" s="12">
        <v>5.9995417730640897E-2</v>
      </c>
      <c r="G1343" s="12">
        <v>3.4699999999999998E-4</v>
      </c>
      <c r="H1343" s="12">
        <v>2.9762429672480995E-4</v>
      </c>
    </row>
    <row r="1344" spans="1:8" ht="12.75">
      <c r="A1344" s="24" t="s">
        <v>2768</v>
      </c>
      <c r="B1344" s="14" t="s">
        <v>2813</v>
      </c>
      <c r="C1344" s="810">
        <v>19.89987614400545</v>
      </c>
      <c r="D1344" s="456" t="s">
        <v>72</v>
      </c>
      <c r="E1344" s="457">
        <v>0</v>
      </c>
      <c r="F1344" s="457">
        <v>0</v>
      </c>
      <c r="G1344" s="457">
        <v>0</v>
      </c>
      <c r="H1344" s="457">
        <v>0</v>
      </c>
    </row>
    <row r="1345" spans="1:8" ht="12.75">
      <c r="A1345" s="24" t="s">
        <v>2768</v>
      </c>
      <c r="B1345" s="14" t="s">
        <v>2813</v>
      </c>
      <c r="C1345" s="792">
        <v>17.443698547128502</v>
      </c>
      <c r="D1345" s="18" t="s">
        <v>433</v>
      </c>
      <c r="E1345" s="12">
        <v>3.0104466724907065E-4</v>
      </c>
      <c r="F1345" s="12">
        <v>1.2500000000000001E-2</v>
      </c>
      <c r="G1345" s="12">
        <v>5.1818181818181835E-4</v>
      </c>
      <c r="H1345" s="12">
        <v>4.0084080366977777E-4</v>
      </c>
    </row>
    <row r="1346" spans="1:8" ht="12.75">
      <c r="A1346" s="24" t="s">
        <v>2768</v>
      </c>
      <c r="B1346" s="14" t="s">
        <v>2813</v>
      </c>
      <c r="C1346" s="792">
        <v>6.6651036233738168</v>
      </c>
      <c r="D1346" s="18" t="s">
        <v>2815</v>
      </c>
      <c r="E1346" s="12">
        <v>2.3E-3</v>
      </c>
      <c r="F1346" s="12">
        <v>4.7879999999999999E-2</v>
      </c>
      <c r="G1346" s="12">
        <v>9.9999999999999995E-7</v>
      </c>
      <c r="H1346" s="12">
        <v>4.4092488403675551E-4</v>
      </c>
    </row>
    <row r="1347" spans="1:8" ht="12.75">
      <c r="A1347" s="24" t="s">
        <v>2768</v>
      </c>
      <c r="B1347" s="14" t="s">
        <v>2813</v>
      </c>
      <c r="C1347" s="792">
        <v>6.0801211399555237</v>
      </c>
      <c r="D1347" s="18" t="s">
        <v>2816</v>
      </c>
      <c r="E1347" s="12">
        <v>2.9691872042618299E-2</v>
      </c>
      <c r="F1347" s="12">
        <v>7.5368545517799299E-2</v>
      </c>
      <c r="G1347" s="12">
        <v>2.9014018691588786E-4</v>
      </c>
      <c r="H1347" s="12">
        <v>1.4770983615231311E-3</v>
      </c>
    </row>
    <row r="1348" spans="1:8" ht="12.75">
      <c r="A1348" s="24" t="s">
        <v>2768</v>
      </c>
      <c r="B1348" s="14" t="s">
        <v>2813</v>
      </c>
      <c r="C1348" s="792">
        <v>2.9573230136393178</v>
      </c>
      <c r="D1348" s="18" t="s">
        <v>2803</v>
      </c>
      <c r="E1348" s="12">
        <v>1.0652903141570055E-3</v>
      </c>
      <c r="F1348" s="12">
        <v>1.7273631840796021E-2</v>
      </c>
      <c r="G1348" s="12">
        <v>1.3582399999999999E-4</v>
      </c>
      <c r="H1348" s="12">
        <v>2.14E-3</v>
      </c>
    </row>
    <row r="1349" spans="1:8" ht="12.75">
      <c r="A1349" s="24" t="s">
        <v>2768</v>
      </c>
      <c r="B1349" s="14" t="s">
        <v>2813</v>
      </c>
      <c r="C1349" s="792">
        <v>6.9714027042453166</v>
      </c>
      <c r="D1349" s="18" t="s">
        <v>2817</v>
      </c>
      <c r="E1349" s="12">
        <v>2.5055367220000002E-3</v>
      </c>
      <c r="F1349" s="12">
        <v>3.8459841414181101E-2</v>
      </c>
      <c r="G1349" s="12">
        <v>1.1035422343324251E-4</v>
      </c>
      <c r="H1349" s="12">
        <v>8.109653861711444E-4</v>
      </c>
    </row>
    <row r="1350" spans="1:8" ht="12.75">
      <c r="A1350" s="24" t="s">
        <v>2768</v>
      </c>
      <c r="B1350" s="14" t="s">
        <v>2813</v>
      </c>
      <c r="C1350" s="792">
        <v>5.1240183825700214</v>
      </c>
      <c r="D1350" s="18" t="s">
        <v>425</v>
      </c>
      <c r="E1350" s="12">
        <v>3.8102374934982654E-3</v>
      </c>
      <c r="F1350" s="12">
        <v>0.20470422547079484</v>
      </c>
      <c r="G1350" s="12">
        <v>1.210810810810811E-4</v>
      </c>
      <c r="H1350" s="12">
        <v>1.0002400855855065E-3</v>
      </c>
    </row>
    <row r="1351" spans="1:8" ht="12.75">
      <c r="A1351" s="24" t="s">
        <v>2768</v>
      </c>
      <c r="B1351" s="14" t="s">
        <v>2813</v>
      </c>
      <c r="C1351" s="792" t="s">
        <v>1666</v>
      </c>
      <c r="D1351" s="18" t="s">
        <v>1666</v>
      </c>
      <c r="E1351" s="419" t="s">
        <v>1666</v>
      </c>
      <c r="F1351" s="419" t="s">
        <v>1666</v>
      </c>
      <c r="G1351" s="419" t="s">
        <v>1666</v>
      </c>
      <c r="H1351" s="419" t="s">
        <v>1666</v>
      </c>
    </row>
    <row r="1352" spans="1:8" ht="12.75">
      <c r="A1352" s="24" t="s">
        <v>2768</v>
      </c>
      <c r="B1352" s="14" t="s">
        <v>2813</v>
      </c>
      <c r="C1352" s="792">
        <v>2.0012202562538146</v>
      </c>
      <c r="D1352" s="18" t="s">
        <v>2712</v>
      </c>
      <c r="E1352" s="12">
        <v>4.0401172748815169E-2</v>
      </c>
      <c r="F1352" s="12">
        <v>0.11878669834123222</v>
      </c>
      <c r="G1352" s="12">
        <v>7.919516026066351E-4</v>
      </c>
      <c r="H1352" s="12">
        <v>7.4518613744075819E-3</v>
      </c>
    </row>
    <row r="1353" spans="1:8" ht="12.75">
      <c r="A1353" s="24" t="s">
        <v>2768</v>
      </c>
      <c r="B1353" s="14" t="s">
        <v>2813</v>
      </c>
      <c r="C1353" s="792">
        <v>2.0012202562538146</v>
      </c>
      <c r="D1353" s="18" t="s">
        <v>86</v>
      </c>
      <c r="E1353" s="12">
        <v>0</v>
      </c>
      <c r="F1353" s="12">
        <v>0</v>
      </c>
      <c r="G1353" s="12">
        <v>0</v>
      </c>
      <c r="H1353" s="12">
        <v>0</v>
      </c>
    </row>
    <row r="1354" spans="1:8" ht="12.75">
      <c r="A1354" s="24" t="s">
        <v>2768</v>
      </c>
      <c r="B1354" s="14" t="s">
        <v>2813</v>
      </c>
      <c r="C1354" s="792" t="s">
        <v>1666</v>
      </c>
      <c r="D1354" s="18" t="s">
        <v>1666</v>
      </c>
      <c r="E1354" s="419" t="s">
        <v>1666</v>
      </c>
      <c r="F1354" s="419" t="s">
        <v>1666</v>
      </c>
      <c r="G1354" s="419" t="s">
        <v>1666</v>
      </c>
      <c r="H1354" s="419" t="s">
        <v>1666</v>
      </c>
    </row>
    <row r="1355" spans="1:8" ht="12.75">
      <c r="A1355" s="24" t="s">
        <v>2768</v>
      </c>
      <c r="B1355" s="14" t="s">
        <v>2813</v>
      </c>
      <c r="C1355" s="792">
        <v>1.6218829341258454</v>
      </c>
      <c r="D1355" s="18" t="s">
        <v>79</v>
      </c>
      <c r="E1355" s="12">
        <v>1.3100000000000001E-2</v>
      </c>
      <c r="F1355" s="12">
        <v>0.27117000000000002</v>
      </c>
      <c r="G1355" s="12">
        <v>4.1E-5</v>
      </c>
      <c r="H1355" s="12">
        <v>1.8699999999999999E-3</v>
      </c>
    </row>
    <row r="1356" spans="1:8" ht="12.75">
      <c r="A1356" s="24" t="s">
        <v>2768</v>
      </c>
      <c r="B1356" s="14" t="s">
        <v>2813</v>
      </c>
      <c r="C1356" s="792">
        <v>1.5009151921903614</v>
      </c>
      <c r="D1356" s="18" t="s">
        <v>200</v>
      </c>
      <c r="E1356" s="22">
        <v>2.4663841103631703E-3</v>
      </c>
      <c r="F1356" s="12">
        <v>2.0360674810936601E-2</v>
      </c>
      <c r="G1356" s="12">
        <v>5.4639175257731962E-5</v>
      </c>
      <c r="H1356" s="12">
        <v>2.7273704167221988E-4</v>
      </c>
    </row>
    <row r="1357" spans="1:8" ht="12.75">
      <c r="A1357" s="24" t="s">
        <v>2768</v>
      </c>
      <c r="B1357" s="14" t="s">
        <v>2813</v>
      </c>
      <c r="C1357" s="792" t="s">
        <v>1666</v>
      </c>
      <c r="D1357" s="18" t="s">
        <v>1666</v>
      </c>
      <c r="E1357" s="419" t="s">
        <v>1666</v>
      </c>
      <c r="F1357" s="419" t="s">
        <v>1666</v>
      </c>
      <c r="G1357" s="419" t="s">
        <v>1666</v>
      </c>
      <c r="H1357" s="419" t="s">
        <v>1666</v>
      </c>
    </row>
    <row r="1358" spans="1:8" ht="12.75">
      <c r="A1358" s="24" t="s">
        <v>2768</v>
      </c>
      <c r="B1358" s="14" t="s">
        <v>2813</v>
      </c>
      <c r="C1358" s="792">
        <v>1.500915192190361</v>
      </c>
      <c r="D1358" s="18" t="s">
        <v>139</v>
      </c>
      <c r="E1358" s="12">
        <v>4.0165275294130297E-3</v>
      </c>
      <c r="F1358" s="12">
        <v>3.2725331200335404E-2</v>
      </c>
      <c r="G1358" s="12">
        <v>2.4399999999999999E-4</v>
      </c>
      <c r="H1358" s="12">
        <v>2.0392735E-3</v>
      </c>
    </row>
    <row r="1359" spans="1:8" ht="12.75">
      <c r="A1359" s="24" t="s">
        <v>2768</v>
      </c>
      <c r="B1359" s="14" t="s">
        <v>2813</v>
      </c>
      <c r="C1359" s="792" t="s">
        <v>1666</v>
      </c>
      <c r="D1359" s="18" t="s">
        <v>1666</v>
      </c>
      <c r="E1359" s="419" t="s">
        <v>1666</v>
      </c>
      <c r="F1359" s="419" t="s">
        <v>1666</v>
      </c>
      <c r="G1359" s="419" t="s">
        <v>1666</v>
      </c>
      <c r="H1359" s="419" t="s">
        <v>1666</v>
      </c>
    </row>
    <row r="1360" spans="1:8" ht="12.75">
      <c r="A1360" s="24" t="s">
        <v>2768</v>
      </c>
      <c r="B1360" s="14" t="s">
        <v>2813</v>
      </c>
      <c r="C1360" s="792">
        <v>1.0006101281269073</v>
      </c>
      <c r="D1360" s="18" t="s">
        <v>201</v>
      </c>
      <c r="E1360" s="12">
        <v>4.18475450981867E-4</v>
      </c>
      <c r="F1360" s="12">
        <v>8.6483234472969298E-3</v>
      </c>
      <c r="G1360" s="12">
        <v>1.2528735632183908E-4</v>
      </c>
      <c r="H1360" s="12">
        <v>3.0408612692190031E-4</v>
      </c>
    </row>
    <row r="1361" spans="1:8" ht="12.75">
      <c r="A1361" s="24" t="s">
        <v>2768</v>
      </c>
      <c r="B1361" s="14" t="s">
        <v>2813</v>
      </c>
      <c r="C1361" s="792">
        <v>1.0006101281269073</v>
      </c>
      <c r="D1361" s="18" t="s">
        <v>690</v>
      </c>
      <c r="E1361" s="12">
        <v>1.9306129458663359E-3</v>
      </c>
      <c r="F1361" s="12">
        <v>3.9248033695195798E-2</v>
      </c>
      <c r="G1361" s="12">
        <v>2.2000000000000001E-4</v>
      </c>
      <c r="H1361" s="12">
        <v>2.1384856875782642E-3</v>
      </c>
    </row>
    <row r="1362" spans="1:8" ht="12.75">
      <c r="A1362" s="24" t="s">
        <v>2768</v>
      </c>
      <c r="B1362" s="14" t="s">
        <v>2813</v>
      </c>
      <c r="C1362" s="792" t="s">
        <v>1666</v>
      </c>
      <c r="D1362" s="18" t="s">
        <v>1666</v>
      </c>
      <c r="E1362" s="419" t="s">
        <v>1666</v>
      </c>
      <c r="F1362" s="419" t="s">
        <v>1666</v>
      </c>
      <c r="G1362" s="419" t="s">
        <v>1666</v>
      </c>
      <c r="H1362" s="419" t="s">
        <v>1666</v>
      </c>
    </row>
    <row r="1363" spans="1:8" ht="12.75">
      <c r="A1363" s="24" t="s">
        <v>2768</v>
      </c>
      <c r="B1363" s="14" t="s">
        <v>2813</v>
      </c>
      <c r="C1363" s="792">
        <v>0.50030506406345365</v>
      </c>
      <c r="D1363" s="809" t="s">
        <v>2818</v>
      </c>
      <c r="E1363" s="468">
        <v>2.2073766211046637E-2</v>
      </c>
      <c r="F1363" s="468">
        <v>8.7246004352723297E-2</v>
      </c>
      <c r="G1363" s="468">
        <v>5.8202330775582959E-4</v>
      </c>
      <c r="H1363" s="468">
        <v>2.670351142205461E-3</v>
      </c>
    </row>
    <row r="1364" spans="1:8" ht="12.75">
      <c r="A1364" s="24" t="s">
        <v>2768</v>
      </c>
      <c r="B1364" s="14" t="s">
        <v>2813</v>
      </c>
      <c r="C1364" s="792">
        <v>0.20012202562538153</v>
      </c>
      <c r="D1364" s="18" t="s">
        <v>438</v>
      </c>
      <c r="E1364" s="12">
        <v>0</v>
      </c>
      <c r="F1364" s="12">
        <v>0</v>
      </c>
      <c r="G1364" s="12">
        <v>0</v>
      </c>
      <c r="H1364" s="12">
        <v>0</v>
      </c>
    </row>
    <row r="1365" spans="1:8" ht="12.75">
      <c r="A1365" s="24" t="s">
        <v>2768</v>
      </c>
      <c r="B1365" s="14" t="s">
        <v>2813</v>
      </c>
      <c r="C1365" s="792">
        <v>0.20012202562538153</v>
      </c>
      <c r="D1365" s="18" t="s">
        <v>121</v>
      </c>
      <c r="E1365" s="12">
        <v>4.1127278199052132E-2</v>
      </c>
      <c r="F1365" s="12">
        <v>0.12092157867298578</v>
      </c>
      <c r="G1365" s="12">
        <v>8.0618486208530824E-4</v>
      </c>
      <c r="H1365" s="12">
        <v>7.5857890995260661E-3</v>
      </c>
    </row>
    <row r="1366" spans="1:8" ht="12.75">
      <c r="A1366" s="24" t="s">
        <v>2768</v>
      </c>
      <c r="B1366" s="14" t="s">
        <v>2813</v>
      </c>
      <c r="C1366" s="792">
        <v>0.20012202562538153</v>
      </c>
      <c r="D1366" s="18" t="s">
        <v>88</v>
      </c>
      <c r="E1366" s="12">
        <v>5.5280749052132698E-2</v>
      </c>
      <c r="F1366" s="12">
        <v>0.16253532298578199</v>
      </c>
      <c r="G1366" s="12">
        <v>1.0836239353080568E-3</v>
      </c>
      <c r="H1366" s="12">
        <v>1.0196349526066351E-2</v>
      </c>
    </row>
    <row r="1367" spans="1:8" ht="12.75">
      <c r="A1367" s="24" t="s">
        <v>2768</v>
      </c>
      <c r="B1367" s="14" t="s">
        <v>2813</v>
      </c>
      <c r="C1367" s="792">
        <v>0.20012202562538153</v>
      </c>
      <c r="D1367" s="18" t="s">
        <v>1588</v>
      </c>
      <c r="E1367" s="12">
        <v>2.9559941486988851E-4</v>
      </c>
      <c r="F1367" s="12">
        <v>1.227390180878553E-2</v>
      </c>
      <c r="G1367" s="12">
        <v>5.0880902043692758E-4</v>
      </c>
      <c r="H1367" s="12">
        <v>3.9359045321580248E-4</v>
      </c>
    </row>
    <row r="1368" spans="1:8" ht="12.75">
      <c r="A1368" s="24" t="s">
        <v>2768</v>
      </c>
      <c r="B1368" s="14" t="s">
        <v>2813</v>
      </c>
      <c r="C1368" s="792">
        <v>0.20012202562538153</v>
      </c>
      <c r="D1368" s="18" t="s">
        <v>430</v>
      </c>
      <c r="E1368" s="12">
        <v>0</v>
      </c>
      <c r="F1368" s="12">
        <v>0</v>
      </c>
      <c r="G1368" s="12">
        <v>0</v>
      </c>
      <c r="H1368" s="12">
        <v>0</v>
      </c>
    </row>
    <row r="1369" spans="1:8" ht="12.75">
      <c r="A1369" s="24" t="s">
        <v>2768</v>
      </c>
      <c r="B1369" s="14" t="s">
        <v>2813</v>
      </c>
      <c r="C1369" s="792">
        <v>0.20012202562538153</v>
      </c>
      <c r="D1369" s="18" t="s">
        <v>424</v>
      </c>
      <c r="E1369" s="12">
        <v>0.2509573149461517</v>
      </c>
      <c r="F1369" s="12">
        <v>0.48063158219067315</v>
      </c>
      <c r="G1369" s="12">
        <v>2.9767747463359634E-5</v>
      </c>
      <c r="H1369" s="12">
        <v>1.0994045246148063E-2</v>
      </c>
    </row>
    <row r="1370" spans="1:8" ht="12.75">
      <c r="A1370" s="24" t="s">
        <v>2768</v>
      </c>
      <c r="B1370" s="14" t="s">
        <v>2813</v>
      </c>
      <c r="C1370" s="792">
        <v>0.20012202562538153</v>
      </c>
      <c r="D1370" s="18" t="s">
        <v>2684</v>
      </c>
      <c r="E1370" s="12">
        <v>4.7062756261925113E-3</v>
      </c>
      <c r="F1370" s="12">
        <v>3.8210906557435767E-2</v>
      </c>
      <c r="G1370" s="12">
        <v>8.2999999999999998E-5</v>
      </c>
      <c r="H1370" s="12">
        <v>5.9908272287602653E-4</v>
      </c>
    </row>
    <row r="1371" spans="1:8" ht="12.75">
      <c r="A1371" s="24" t="s">
        <v>2768</v>
      </c>
      <c r="B1371" s="14" t="s">
        <v>2813</v>
      </c>
      <c r="C1371" s="792">
        <v>0.20012202562538153</v>
      </c>
      <c r="D1371" s="18" t="s">
        <v>315</v>
      </c>
      <c r="E1371" s="12">
        <v>1.5308726E-2</v>
      </c>
      <c r="F1371" s="12">
        <v>0.61255519650000001</v>
      </c>
      <c r="G1371" s="12">
        <v>9.2100000000000005E-4</v>
      </c>
      <c r="H1371" s="12">
        <v>4.999E-3</v>
      </c>
    </row>
    <row r="1372" spans="1:8" ht="12.75">
      <c r="A1372" s="24" t="s">
        <v>2768</v>
      </c>
      <c r="B1372" s="14" t="s">
        <v>2813</v>
      </c>
      <c r="C1372" s="792">
        <v>0.20012202562538153</v>
      </c>
      <c r="D1372" s="18" t="s">
        <v>1280</v>
      </c>
      <c r="E1372" s="12">
        <v>3.9377830280000001E-3</v>
      </c>
      <c r="F1372" s="12">
        <v>0.1260090569</v>
      </c>
      <c r="G1372" s="12">
        <v>4.8543689319999998E-5</v>
      </c>
      <c r="H1372" s="12">
        <v>1.6093758267341576E-3</v>
      </c>
    </row>
    <row r="1373" spans="1:8" ht="12.75">
      <c r="A1373" s="24" t="s">
        <v>2768</v>
      </c>
      <c r="B1373" s="14" t="s">
        <v>2813</v>
      </c>
      <c r="C1373" s="792">
        <v>0.20012202562538153</v>
      </c>
      <c r="D1373" s="18" t="s">
        <v>318</v>
      </c>
      <c r="E1373" s="12">
        <v>3.2210986719999998E-3</v>
      </c>
      <c r="F1373" s="12">
        <v>3.9434345900000001E-2</v>
      </c>
      <c r="G1373" s="12">
        <v>2.4510000000000001E-3</v>
      </c>
      <c r="H1373" s="12">
        <v>9.0389601229999995E-4</v>
      </c>
    </row>
    <row r="1374" spans="1:8" ht="12.75">
      <c r="A1374" s="24" t="s">
        <v>2768</v>
      </c>
      <c r="B1374" s="14" t="s">
        <v>2813</v>
      </c>
      <c r="C1374" s="792">
        <v>0.20012202562538153</v>
      </c>
      <c r="D1374" s="18" t="s">
        <v>81</v>
      </c>
      <c r="E1374" s="12">
        <v>1.9912385503783353E-2</v>
      </c>
      <c r="F1374" s="12">
        <v>5.6949422540820388E-2</v>
      </c>
      <c r="G1374" s="12">
        <v>3.8829151732377542E-3</v>
      </c>
      <c r="H1374" s="12">
        <v>5.6321186778176026E-3</v>
      </c>
    </row>
    <row r="1375" spans="1:8" ht="12.75">
      <c r="A1375" s="24" t="s">
        <v>2768</v>
      </c>
      <c r="B1375" s="14" t="s">
        <v>2813</v>
      </c>
      <c r="C1375" s="792" t="s">
        <v>1666</v>
      </c>
      <c r="D1375" s="18" t="s">
        <v>1666</v>
      </c>
      <c r="E1375" s="419" t="s">
        <v>1666</v>
      </c>
      <c r="F1375" s="419" t="s">
        <v>1666</v>
      </c>
      <c r="G1375" s="419" t="s">
        <v>1666</v>
      </c>
      <c r="H1375" s="419" t="s">
        <v>1666</v>
      </c>
    </row>
    <row r="1376" spans="1:8" ht="12.75">
      <c r="A1376" s="24" t="s">
        <v>2768</v>
      </c>
      <c r="B1376" s="14" t="s">
        <v>2813</v>
      </c>
      <c r="C1376" s="792" t="s">
        <v>1666</v>
      </c>
      <c r="D1376" s="18" t="s">
        <v>1666</v>
      </c>
      <c r="E1376" s="419" t="s">
        <v>1666</v>
      </c>
      <c r="F1376" s="419" t="s">
        <v>1666</v>
      </c>
      <c r="G1376" s="419" t="s">
        <v>1666</v>
      </c>
      <c r="H1376" s="419" t="s">
        <v>1666</v>
      </c>
    </row>
    <row r="1377" spans="1:8" ht="12.75">
      <c r="A1377" s="24" t="s">
        <v>2768</v>
      </c>
      <c r="B1377" s="14" t="s">
        <v>2813</v>
      </c>
      <c r="C1377" s="792" t="s">
        <v>1666</v>
      </c>
      <c r="D1377" s="18" t="s">
        <v>1666</v>
      </c>
      <c r="E1377" s="419" t="s">
        <v>1666</v>
      </c>
      <c r="F1377" s="419" t="s">
        <v>1666</v>
      </c>
      <c r="G1377" s="419" t="s">
        <v>1666</v>
      </c>
      <c r="H1377" s="419" t="s">
        <v>1666</v>
      </c>
    </row>
    <row r="1378" spans="1:8" ht="12.75">
      <c r="A1378" s="24" t="s">
        <v>2768</v>
      </c>
      <c r="B1378" s="14" t="s">
        <v>2813</v>
      </c>
      <c r="C1378" s="792" t="s">
        <v>1666</v>
      </c>
      <c r="D1378" s="18" t="s">
        <v>1666</v>
      </c>
      <c r="E1378" s="419" t="s">
        <v>1666</v>
      </c>
      <c r="F1378" s="419" t="s">
        <v>1666</v>
      </c>
      <c r="G1378" s="419" t="s">
        <v>1666</v>
      </c>
      <c r="H1378" s="419" t="s">
        <v>1666</v>
      </c>
    </row>
    <row r="1379" spans="1:8" ht="12.75">
      <c r="A1379" s="24" t="s">
        <v>2768</v>
      </c>
      <c r="B1379" s="14" t="s">
        <v>2813</v>
      </c>
      <c r="C1379" s="792" t="s">
        <v>1666</v>
      </c>
      <c r="D1379" s="18" t="s">
        <v>1666</v>
      </c>
      <c r="E1379" s="419" t="s">
        <v>1666</v>
      </c>
      <c r="F1379" s="419" t="s">
        <v>1666</v>
      </c>
      <c r="G1379" s="419" t="s">
        <v>1666</v>
      </c>
      <c r="H1379" s="419" t="s">
        <v>1666</v>
      </c>
    </row>
    <row r="1380" spans="1:8" ht="12.75">
      <c r="A1380" s="24" t="s">
        <v>2768</v>
      </c>
      <c r="B1380" s="14" t="s">
        <v>2813</v>
      </c>
      <c r="C1380" s="792" t="s">
        <v>1666</v>
      </c>
      <c r="D1380" s="18" t="s">
        <v>1666</v>
      </c>
      <c r="E1380" s="419" t="s">
        <v>1666</v>
      </c>
      <c r="F1380" s="419" t="s">
        <v>1666</v>
      </c>
      <c r="G1380" s="419" t="s">
        <v>1666</v>
      </c>
      <c r="H1380" s="419" t="s">
        <v>1666</v>
      </c>
    </row>
    <row r="1381" spans="1:8" ht="12.75">
      <c r="A1381" s="24" t="s">
        <v>2768</v>
      </c>
      <c r="B1381" s="14" t="s">
        <v>2813</v>
      </c>
      <c r="C1381" s="792" t="s">
        <v>1666</v>
      </c>
      <c r="D1381" s="18" t="s">
        <v>1666</v>
      </c>
      <c r="E1381" s="419" t="s">
        <v>1666</v>
      </c>
      <c r="F1381" s="419" t="s">
        <v>1666</v>
      </c>
      <c r="G1381" s="419" t="s">
        <v>1666</v>
      </c>
      <c r="H1381" s="419" t="s">
        <v>1666</v>
      </c>
    </row>
    <row r="1382" spans="1:8" ht="12.75">
      <c r="A1382" s="24" t="s">
        <v>2768</v>
      </c>
      <c r="B1382" s="14" t="s">
        <v>2813</v>
      </c>
      <c r="C1382" s="792" t="s">
        <v>1666</v>
      </c>
      <c r="D1382" s="18" t="s">
        <v>1666</v>
      </c>
      <c r="E1382" s="419" t="s">
        <v>1666</v>
      </c>
      <c r="F1382" s="419" t="s">
        <v>1666</v>
      </c>
      <c r="G1382" s="419" t="s">
        <v>1666</v>
      </c>
      <c r="H1382" s="419" t="s">
        <v>1666</v>
      </c>
    </row>
    <row r="1383" spans="1:8" ht="12.75">
      <c r="A1383" s="24" t="s">
        <v>2768</v>
      </c>
      <c r="B1383" s="14" t="s">
        <v>2813</v>
      </c>
      <c r="C1383" s="792">
        <v>0.72580645161290325</v>
      </c>
      <c r="D1383" s="18" t="s">
        <v>2791</v>
      </c>
      <c r="E1383" s="12">
        <v>1.7000000000000001E-2</v>
      </c>
      <c r="F1383" s="12">
        <v>3.15E-2</v>
      </c>
      <c r="G1383" s="12">
        <v>9.9999999999999995E-7</v>
      </c>
      <c r="H1383" s="12">
        <v>9.0389601227534877E-4</v>
      </c>
    </row>
    <row r="1384" spans="1:8" ht="12.75">
      <c r="A1384" s="24" t="s">
        <v>2768</v>
      </c>
      <c r="B1384" s="14" t="s">
        <v>2813</v>
      </c>
      <c r="C1384" s="792">
        <v>0.4838709677419355</v>
      </c>
      <c r="D1384" s="18" t="s">
        <v>2661</v>
      </c>
      <c r="E1384" s="12">
        <v>3.0177940758293843E-3</v>
      </c>
      <c r="F1384" s="12">
        <v>8.8728561611374421E-3</v>
      </c>
      <c r="G1384" s="12">
        <v>5.9155383175355464E-5</v>
      </c>
      <c r="H1384" s="12">
        <v>5.56622037914692E-4</v>
      </c>
    </row>
    <row r="1385" spans="1:8" ht="12.75">
      <c r="A1385" s="24" t="s">
        <v>2768</v>
      </c>
      <c r="B1385" s="14" t="s">
        <v>2813</v>
      </c>
      <c r="C1385" s="792" t="s">
        <v>1666</v>
      </c>
      <c r="D1385" s="18" t="s">
        <v>1666</v>
      </c>
      <c r="E1385" s="419"/>
      <c r="F1385" s="419"/>
      <c r="G1385" s="419"/>
      <c r="H1385" s="419"/>
    </row>
    <row r="1386" spans="1:8" ht="12.75">
      <c r="A1386" s="24" t="s">
        <v>2768</v>
      </c>
      <c r="B1386" s="14" t="s">
        <v>2813</v>
      </c>
      <c r="C1386" s="792" t="s">
        <v>1666</v>
      </c>
      <c r="D1386" s="18" t="s">
        <v>1666</v>
      </c>
      <c r="E1386" s="220" t="s">
        <v>1666</v>
      </c>
      <c r="F1386" s="220" t="s">
        <v>1666</v>
      </c>
      <c r="G1386" s="220" t="s">
        <v>1666</v>
      </c>
      <c r="H1386" s="220" t="s">
        <v>1666</v>
      </c>
    </row>
    <row r="1387" spans="1:8" ht="12.75">
      <c r="A1387" s="24" t="s">
        <v>2768</v>
      </c>
      <c r="B1387" s="14" t="s">
        <v>2813</v>
      </c>
      <c r="C1387" s="792" t="s">
        <v>1666</v>
      </c>
      <c r="D1387" s="18" t="s">
        <v>1666</v>
      </c>
      <c r="E1387" s="419" t="s">
        <v>1666</v>
      </c>
      <c r="F1387" s="419" t="s">
        <v>1666</v>
      </c>
      <c r="G1387" s="419" t="s">
        <v>1666</v>
      </c>
      <c r="H1387" s="419" t="s">
        <v>1666</v>
      </c>
    </row>
    <row r="1388" spans="1:8" ht="12.75">
      <c r="A1388" s="794" t="s">
        <v>2768</v>
      </c>
      <c r="B1388" s="617" t="s">
        <v>2813</v>
      </c>
      <c r="C1388" s="455" t="s">
        <v>1666</v>
      </c>
      <c r="D1388" s="793" t="s">
        <v>1666</v>
      </c>
      <c r="E1388" s="726" t="s">
        <v>1666</v>
      </c>
      <c r="F1388" s="726" t="s">
        <v>1666</v>
      </c>
      <c r="G1388" s="726" t="s">
        <v>1666</v>
      </c>
      <c r="H1388" s="726" t="s">
        <v>1666</v>
      </c>
    </row>
    <row r="1389" spans="1:8" ht="12.75">
      <c r="A1389" s="24" t="s">
        <v>2768</v>
      </c>
      <c r="B1389" s="14" t="s">
        <v>2819</v>
      </c>
      <c r="C1389" s="792">
        <v>21.783040912511389</v>
      </c>
      <c r="D1389" s="18" t="s">
        <v>1112</v>
      </c>
      <c r="E1389" s="12">
        <v>7.6594132480302998E-3</v>
      </c>
      <c r="F1389" s="12">
        <v>0.25452159072024799</v>
      </c>
      <c r="G1389" s="12">
        <v>2.4499999999999999E-4</v>
      </c>
      <c r="H1389" s="12">
        <v>3.0864741882572887E-4</v>
      </c>
    </row>
    <row r="1390" spans="1:8" ht="12.75">
      <c r="A1390" s="24" t="s">
        <v>2768</v>
      </c>
      <c r="B1390" s="14" t="s">
        <v>2819</v>
      </c>
      <c r="C1390" s="792">
        <v>7.9211057863677787</v>
      </c>
      <c r="D1390" s="18" t="s">
        <v>1588</v>
      </c>
      <c r="E1390" s="12">
        <v>2.9559941486988851E-4</v>
      </c>
      <c r="F1390" s="12">
        <v>1.227390180878553E-2</v>
      </c>
      <c r="G1390" s="12">
        <v>5.0880902043692758E-4</v>
      </c>
      <c r="H1390" s="12">
        <v>3.9359045321580248E-4</v>
      </c>
    </row>
    <row r="1391" spans="1:8" ht="12.75">
      <c r="A1391" s="24" t="s">
        <v>2768</v>
      </c>
      <c r="B1391" s="14" t="s">
        <v>2819</v>
      </c>
      <c r="C1391" s="792">
        <v>8.9112440096637506</v>
      </c>
      <c r="D1391" s="18" t="s">
        <v>425</v>
      </c>
      <c r="E1391" s="12">
        <v>3.8102374934982654E-3</v>
      </c>
      <c r="F1391" s="12">
        <v>0.20470422547079484</v>
      </c>
      <c r="G1391" s="12">
        <v>1.210810810810811E-4</v>
      </c>
      <c r="H1391" s="12">
        <v>1.0002400855855065E-3</v>
      </c>
    </row>
    <row r="1392" spans="1:8" ht="12.75">
      <c r="A1392" s="24" t="s">
        <v>2768</v>
      </c>
      <c r="B1392" s="14" t="s">
        <v>2819</v>
      </c>
      <c r="C1392" s="792">
        <v>8.2082458711236104</v>
      </c>
      <c r="D1392" s="18" t="s">
        <v>433</v>
      </c>
      <c r="E1392" s="12">
        <v>3.0104466724907065E-4</v>
      </c>
      <c r="F1392" s="12">
        <v>1.2500000000000001E-2</v>
      </c>
      <c r="G1392" s="12">
        <v>5.1818181818181835E-4</v>
      </c>
      <c r="H1392" s="12">
        <v>4.0084080366977777E-4</v>
      </c>
    </row>
    <row r="1393" spans="1:8" ht="12.75">
      <c r="A1393" s="24" t="s">
        <v>2768</v>
      </c>
      <c r="B1393" s="14" t="s">
        <v>2819</v>
      </c>
      <c r="C1393" s="792">
        <v>4.3368054180363584</v>
      </c>
      <c r="D1393" s="18" t="s">
        <v>2820</v>
      </c>
      <c r="E1393" s="12">
        <v>2.38916680630451E-3</v>
      </c>
      <c r="F1393" s="12">
        <v>0.16192713668914901</v>
      </c>
      <c r="G1393" s="12">
        <v>4.8714285714285716E-4</v>
      </c>
      <c r="H1393" s="12">
        <v>2.358948129596642E-3</v>
      </c>
    </row>
    <row r="1394" spans="1:8" ht="12.75">
      <c r="A1394" s="24" t="s">
        <v>2768</v>
      </c>
      <c r="B1394" s="14" t="s">
        <v>2819</v>
      </c>
      <c r="C1394" s="792" t="s">
        <v>1666</v>
      </c>
      <c r="D1394" s="18" t="s">
        <v>1666</v>
      </c>
      <c r="E1394" s="419" t="s">
        <v>1666</v>
      </c>
      <c r="F1394" s="419" t="s">
        <v>1666</v>
      </c>
      <c r="G1394" s="419" t="s">
        <v>1666</v>
      </c>
      <c r="H1394" s="419" t="s">
        <v>1666</v>
      </c>
    </row>
    <row r="1395" spans="1:8" ht="12.75">
      <c r="A1395" s="24" t="s">
        <v>2768</v>
      </c>
      <c r="B1395" s="14" t="s">
        <v>2819</v>
      </c>
      <c r="C1395" s="792">
        <v>6.9309675630718059</v>
      </c>
      <c r="D1395" s="18" t="s">
        <v>2714</v>
      </c>
      <c r="E1395" s="12">
        <v>5.0851930036188197E-3</v>
      </c>
      <c r="F1395" s="12">
        <v>5.9995417730640897E-2</v>
      </c>
      <c r="G1395" s="12">
        <v>3.4699999999999998E-4</v>
      </c>
      <c r="H1395" s="12">
        <v>2.9762429672480995E-4</v>
      </c>
    </row>
    <row r="1396" spans="1:8" ht="12.75">
      <c r="A1396" s="24" t="s">
        <v>2768</v>
      </c>
      <c r="B1396" s="14" t="s">
        <v>2819</v>
      </c>
      <c r="C1396" s="792">
        <v>4.9506911164798613</v>
      </c>
      <c r="D1396" s="18" t="s">
        <v>1668</v>
      </c>
      <c r="E1396" s="12">
        <v>3.372204299368619E-2</v>
      </c>
      <c r="F1396" s="12">
        <v>6.4584205812988751E-2</v>
      </c>
      <c r="G1396" s="12">
        <v>3.9999999999999998E-6</v>
      </c>
      <c r="H1396" s="12">
        <v>1.477309663377164E-3</v>
      </c>
    </row>
    <row r="1397" spans="1:8" ht="12.75">
      <c r="A1397" s="24" t="s">
        <v>2768</v>
      </c>
      <c r="B1397" s="14" t="s">
        <v>2819</v>
      </c>
      <c r="C1397" s="792">
        <v>4.9506911164798613</v>
      </c>
      <c r="D1397" s="18" t="s">
        <v>201</v>
      </c>
      <c r="E1397" s="12">
        <v>4.18475450981867E-4</v>
      </c>
      <c r="F1397" s="12">
        <v>8.6483234472969298E-3</v>
      </c>
      <c r="G1397" s="12">
        <v>1.2528735632183908E-4</v>
      </c>
      <c r="H1397" s="12">
        <v>3.0408612692190031E-4</v>
      </c>
    </row>
    <row r="1398" spans="1:8" ht="12.75">
      <c r="A1398" s="24" t="s">
        <v>2768</v>
      </c>
      <c r="B1398" s="14" t="s">
        <v>2819</v>
      </c>
      <c r="C1398" s="792">
        <v>4.9506911164798613</v>
      </c>
      <c r="D1398" s="18" t="s">
        <v>1113</v>
      </c>
      <c r="E1398" s="12">
        <v>3.8297066240151499E-4</v>
      </c>
      <c r="F1398" s="12">
        <v>1.2726079536012401E-2</v>
      </c>
      <c r="G1398" s="12">
        <v>1.225E-5</v>
      </c>
      <c r="H1398" s="12">
        <v>1.5432370941286443E-5</v>
      </c>
    </row>
    <row r="1399" spans="1:8" ht="12.75">
      <c r="A1399" s="24" t="s">
        <v>2768</v>
      </c>
      <c r="B1399" s="14" t="s">
        <v>2819</v>
      </c>
      <c r="C1399" s="792">
        <v>3.9605528931838894</v>
      </c>
      <c r="D1399" s="18" t="s">
        <v>2672</v>
      </c>
      <c r="E1399" s="12">
        <v>1.30594189090772E-4</v>
      </c>
      <c r="F1399" s="12">
        <v>7.0161459421965505E-3</v>
      </c>
      <c r="G1399" s="12">
        <v>4.0500000000000002E-6</v>
      </c>
      <c r="H1399" s="12">
        <v>2.9762429672481003E-5</v>
      </c>
    </row>
    <row r="1400" spans="1:8" ht="12.75">
      <c r="A1400" s="24" t="s">
        <v>2768</v>
      </c>
      <c r="B1400" s="14" t="s">
        <v>2819</v>
      </c>
      <c r="C1400" s="792" t="s">
        <v>1666</v>
      </c>
      <c r="D1400" s="18" t="s">
        <v>1666</v>
      </c>
      <c r="E1400" s="419" t="s">
        <v>1666</v>
      </c>
      <c r="F1400" s="419" t="s">
        <v>1666</v>
      </c>
      <c r="G1400" s="419" t="s">
        <v>1666</v>
      </c>
      <c r="H1400" s="419" t="s">
        <v>1666</v>
      </c>
    </row>
    <row r="1401" spans="1:8" ht="12.75">
      <c r="A1401" s="24" t="s">
        <v>2768</v>
      </c>
      <c r="B1401" s="14" t="s">
        <v>2819</v>
      </c>
      <c r="C1401" s="792">
        <v>1.9802764465919447</v>
      </c>
      <c r="D1401" s="18" t="s">
        <v>430</v>
      </c>
      <c r="E1401" s="12">
        <v>0</v>
      </c>
      <c r="F1401" s="12">
        <v>0</v>
      </c>
      <c r="G1401" s="12">
        <v>0</v>
      </c>
      <c r="H1401" s="12">
        <v>0</v>
      </c>
    </row>
    <row r="1402" spans="1:8" ht="12.75">
      <c r="A1402" s="24" t="s">
        <v>2768</v>
      </c>
      <c r="B1402" s="14" t="s">
        <v>2819</v>
      </c>
      <c r="C1402" s="792">
        <v>1.9802764465919447</v>
      </c>
      <c r="D1402" s="18" t="s">
        <v>77</v>
      </c>
      <c r="E1402" s="826">
        <v>0</v>
      </c>
      <c r="F1402" s="826">
        <v>0</v>
      </c>
      <c r="G1402" s="826">
        <v>0</v>
      </c>
      <c r="H1402" s="826">
        <v>0</v>
      </c>
    </row>
    <row r="1403" spans="1:8" ht="12.75">
      <c r="A1403" s="24" t="s">
        <v>2768</v>
      </c>
      <c r="B1403" s="14" t="s">
        <v>2819</v>
      </c>
      <c r="C1403" s="792">
        <v>0.99013822329597234</v>
      </c>
      <c r="D1403" s="18" t="s">
        <v>2529</v>
      </c>
      <c r="E1403" s="12">
        <v>2.2558902713754649E-4</v>
      </c>
      <c r="F1403" s="12">
        <v>9.3669250645994837E-3</v>
      </c>
      <c r="G1403" s="12">
        <v>3.8830162085976054E-4</v>
      </c>
      <c r="H1403" s="12">
        <v>3.0037166166469137E-4</v>
      </c>
    </row>
    <row r="1404" spans="1:8" ht="12.75">
      <c r="A1404" s="24" t="s">
        <v>2768</v>
      </c>
      <c r="B1404" s="14" t="s">
        <v>2819</v>
      </c>
      <c r="C1404" s="792">
        <v>0.99013822329597234</v>
      </c>
      <c r="D1404" s="18" t="s">
        <v>2821</v>
      </c>
      <c r="E1404" s="23">
        <v>2.0905209555164457E-3</v>
      </c>
      <c r="F1404" s="23">
        <v>0.14168624460300538</v>
      </c>
      <c r="G1404" s="12">
        <v>4.2624999999999998E-4</v>
      </c>
      <c r="H1404" s="23">
        <v>2.1605319317801021E-3</v>
      </c>
    </row>
    <row r="1405" spans="1:8" ht="12.75">
      <c r="A1405" s="24" t="s">
        <v>2768</v>
      </c>
      <c r="B1405" s="14" t="s">
        <v>2819</v>
      </c>
      <c r="C1405" s="792">
        <v>1.9802764465919447</v>
      </c>
      <c r="D1405" s="18" t="s">
        <v>2822</v>
      </c>
      <c r="E1405" s="12">
        <v>3.1468479298981202E-3</v>
      </c>
      <c r="F1405" s="12">
        <v>0.16906375764329037</v>
      </c>
      <c r="G1405" s="12">
        <v>9.759036144578314E-5</v>
      </c>
      <c r="H1405" s="12">
        <v>7.171669800597832E-4</v>
      </c>
    </row>
    <row r="1406" spans="1:8" ht="12.75">
      <c r="A1406" s="24" t="s">
        <v>2768</v>
      </c>
      <c r="B1406" s="14" t="s">
        <v>2819</v>
      </c>
      <c r="C1406" s="792">
        <v>0.99013822329597234</v>
      </c>
      <c r="D1406" s="18" t="s">
        <v>206</v>
      </c>
      <c r="E1406" s="12">
        <v>5.1193538415680896E-3</v>
      </c>
      <c r="F1406" s="12">
        <v>9.9290720942183497E-2</v>
      </c>
      <c r="G1406" s="12">
        <v>7.8999999999999996E-5</v>
      </c>
      <c r="H1406" s="12">
        <v>3.0864741882572887E-4</v>
      </c>
    </row>
    <row r="1407" spans="1:8" ht="12.75">
      <c r="A1407" s="24" t="s">
        <v>2768</v>
      </c>
      <c r="B1407" s="14" t="s">
        <v>2819</v>
      </c>
      <c r="C1407" s="792">
        <v>1.9802764465919447</v>
      </c>
      <c r="D1407" s="18" t="s">
        <v>2662</v>
      </c>
      <c r="E1407" s="12">
        <v>6.399192301960112E-3</v>
      </c>
      <c r="F1407" s="12">
        <v>0.12411340117772937</v>
      </c>
      <c r="G1407" s="12">
        <v>9.8749999999999988E-5</v>
      </c>
      <c r="H1407" s="12">
        <v>3.8580927353216109E-4</v>
      </c>
    </row>
    <row r="1408" spans="1:8" ht="12.75">
      <c r="A1408" s="24" t="s">
        <v>2768</v>
      </c>
      <c r="B1408" s="14" t="s">
        <v>2819</v>
      </c>
      <c r="C1408" s="792" t="s">
        <v>1666</v>
      </c>
      <c r="D1408" s="18" t="s">
        <v>1666</v>
      </c>
      <c r="E1408" s="419" t="s">
        <v>1666</v>
      </c>
      <c r="F1408" s="419" t="s">
        <v>1666</v>
      </c>
      <c r="G1408" s="419" t="s">
        <v>1666</v>
      </c>
      <c r="H1408" s="419" t="s">
        <v>1666</v>
      </c>
    </row>
    <row r="1409" spans="1:8" ht="12.75">
      <c r="A1409" s="24" t="s">
        <v>2768</v>
      </c>
      <c r="B1409" s="14" t="s">
        <v>2819</v>
      </c>
      <c r="C1409" s="792" t="s">
        <v>1666</v>
      </c>
      <c r="D1409" s="18" t="s">
        <v>1666</v>
      </c>
      <c r="E1409" s="419" t="s">
        <v>1666</v>
      </c>
      <c r="F1409" s="419" t="s">
        <v>1666</v>
      </c>
      <c r="G1409" s="419" t="s">
        <v>1666</v>
      </c>
      <c r="H1409" s="419" t="s">
        <v>1666</v>
      </c>
    </row>
    <row r="1410" spans="1:8" ht="12.75">
      <c r="A1410" s="24" t="s">
        <v>2768</v>
      </c>
      <c r="B1410" s="14" t="s">
        <v>2819</v>
      </c>
      <c r="C1410" s="792">
        <v>1.7822488019327503</v>
      </c>
      <c r="D1410" s="18" t="s">
        <v>2823</v>
      </c>
      <c r="E1410" s="12">
        <v>3.8427539589960401E-3</v>
      </c>
      <c r="F1410" s="12">
        <v>1.5537788094869101E-2</v>
      </c>
      <c r="G1410" s="12">
        <v>2.14E-4</v>
      </c>
      <c r="H1410" s="12">
        <v>5.7320234924778215E-4</v>
      </c>
    </row>
    <row r="1411" spans="1:8" ht="12.75">
      <c r="A1411" s="24" t="s">
        <v>2768</v>
      </c>
      <c r="B1411" s="14" t="s">
        <v>2819</v>
      </c>
      <c r="C1411" s="792" t="s">
        <v>1666</v>
      </c>
      <c r="D1411" s="18" t="s">
        <v>1666</v>
      </c>
      <c r="E1411" s="419" t="s">
        <v>1666</v>
      </c>
      <c r="F1411" s="419" t="s">
        <v>1666</v>
      </c>
      <c r="G1411" s="419" t="s">
        <v>1666</v>
      </c>
      <c r="H1411" s="419" t="s">
        <v>1666</v>
      </c>
    </row>
    <row r="1412" spans="1:8" ht="12.75">
      <c r="A1412" s="24" t="s">
        <v>2768</v>
      </c>
      <c r="B1412" s="14" t="s">
        <v>2819</v>
      </c>
      <c r="C1412" s="792" t="s">
        <v>1666</v>
      </c>
      <c r="D1412" s="18" t="s">
        <v>1666</v>
      </c>
      <c r="E1412" s="419" t="s">
        <v>1666</v>
      </c>
      <c r="F1412" s="419" t="s">
        <v>1666</v>
      </c>
      <c r="G1412" s="419" t="s">
        <v>1666</v>
      </c>
      <c r="H1412" s="419" t="s">
        <v>1666</v>
      </c>
    </row>
    <row r="1413" spans="1:8" ht="12.75">
      <c r="A1413" s="10" t="s">
        <v>2768</v>
      </c>
      <c r="B1413" s="14" t="s">
        <v>2819</v>
      </c>
      <c r="C1413" s="792">
        <v>2.1283021109746927</v>
      </c>
      <c r="D1413" s="458" t="s">
        <v>2824</v>
      </c>
      <c r="E1413" s="12">
        <v>2.9691872042618299E-2</v>
      </c>
      <c r="F1413" s="12">
        <v>7.5368545517799299E-2</v>
      </c>
      <c r="G1413" s="12">
        <v>2.9014018691588786E-4</v>
      </c>
      <c r="H1413" s="12">
        <v>1.4770983615231311E-3</v>
      </c>
    </row>
    <row r="1414" spans="1:8" ht="12.75">
      <c r="A1414" s="10" t="s">
        <v>2768</v>
      </c>
      <c r="B1414" s="14" t="s">
        <v>2819</v>
      </c>
      <c r="C1414" s="792">
        <v>1.506000237633174</v>
      </c>
      <c r="D1414" s="18" t="s">
        <v>340</v>
      </c>
      <c r="E1414" s="12">
        <v>2.1708241661196198E-2</v>
      </c>
      <c r="F1414" s="12">
        <v>0.36572952458380198</v>
      </c>
      <c r="G1414" s="12">
        <v>4.6350652173913045E-4</v>
      </c>
      <c r="H1414" s="12">
        <v>1.6975608035415088E-3</v>
      </c>
    </row>
    <row r="1415" spans="1:8" ht="12.75">
      <c r="A1415" s="10" t="s">
        <v>2768</v>
      </c>
      <c r="B1415" s="14" t="s">
        <v>2819</v>
      </c>
      <c r="C1415" s="792" t="s">
        <v>1666</v>
      </c>
      <c r="D1415" s="18" t="s">
        <v>1666</v>
      </c>
      <c r="E1415" s="419" t="s">
        <v>1666</v>
      </c>
      <c r="F1415" s="419" t="s">
        <v>1666</v>
      </c>
      <c r="G1415" s="419" t="s">
        <v>1666</v>
      </c>
      <c r="H1415" s="419" t="s">
        <v>1666</v>
      </c>
    </row>
    <row r="1416" spans="1:8" ht="12.75">
      <c r="A1416" s="10" t="s">
        <v>2768</v>
      </c>
      <c r="B1416" s="14" t="s">
        <v>2819</v>
      </c>
      <c r="C1416" s="792">
        <v>5.4457602281278474E-3</v>
      </c>
      <c r="D1416" s="18" t="s">
        <v>324</v>
      </c>
      <c r="E1416" s="12">
        <v>1.0652903141570055E-3</v>
      </c>
      <c r="F1416" s="12">
        <v>1.7273631840796021E-2</v>
      </c>
      <c r="G1416" s="12">
        <v>1.3582399999999999E-4</v>
      </c>
      <c r="H1416" s="12">
        <v>2.14E-3</v>
      </c>
    </row>
    <row r="1417" spans="1:8" ht="12.75">
      <c r="A1417" s="24" t="s">
        <v>2768</v>
      </c>
      <c r="B1417" s="14" t="s">
        <v>2819</v>
      </c>
      <c r="C1417" s="792">
        <v>0.99013822329597234</v>
      </c>
      <c r="D1417" s="18" t="s">
        <v>314</v>
      </c>
      <c r="E1417" s="12">
        <v>5.5052259063149899E-3</v>
      </c>
      <c r="F1417" s="12">
        <v>8.2856018088169489E-2</v>
      </c>
      <c r="G1417" s="12">
        <v>3.8159999999999999E-3</v>
      </c>
      <c r="H1417" s="12">
        <v>1.8959770013580487E-3</v>
      </c>
    </row>
    <row r="1418" spans="1:8" ht="12.75">
      <c r="A1418" s="24" t="s">
        <v>2768</v>
      </c>
      <c r="B1418" s="14" t="s">
        <v>2819</v>
      </c>
      <c r="C1418" s="792">
        <v>0.99013822329597234</v>
      </c>
      <c r="D1418" s="18" t="s">
        <v>2825</v>
      </c>
      <c r="E1418" s="12">
        <v>1.2077020065879129E-3</v>
      </c>
      <c r="F1418" s="12">
        <v>5.4146159582401177E-3</v>
      </c>
      <c r="G1418" s="12">
        <v>1.5899999999999999E-4</v>
      </c>
      <c r="H1418" s="12">
        <v>2.0876111111111108E-3</v>
      </c>
    </row>
    <row r="1419" spans="1:8" ht="12.75">
      <c r="A1419" s="24" t="s">
        <v>2768</v>
      </c>
      <c r="B1419" s="14" t="s">
        <v>2819</v>
      </c>
      <c r="C1419" s="792">
        <v>0.99013822329597234</v>
      </c>
      <c r="D1419" s="809" t="s">
        <v>2818</v>
      </c>
      <c r="E1419" s="461">
        <v>2.2073766211046637E-2</v>
      </c>
      <c r="F1419" s="461">
        <v>8.7246004352723297E-2</v>
      </c>
      <c r="G1419" s="461">
        <v>5.8202330775582959E-4</v>
      </c>
      <c r="H1419" s="461">
        <v>2.670351142205461E-3</v>
      </c>
    </row>
    <row r="1420" spans="1:8" ht="12.75">
      <c r="A1420" s="24" t="s">
        <v>2768</v>
      </c>
      <c r="B1420" s="14" t="s">
        <v>2819</v>
      </c>
      <c r="C1420" s="792" t="s">
        <v>1666</v>
      </c>
      <c r="D1420" s="18" t="s">
        <v>1666</v>
      </c>
      <c r="E1420" s="419" t="s">
        <v>1666</v>
      </c>
      <c r="F1420" s="419" t="s">
        <v>1666</v>
      </c>
      <c r="G1420" s="419" t="s">
        <v>1666</v>
      </c>
      <c r="H1420" s="419" t="s">
        <v>1666</v>
      </c>
    </row>
    <row r="1421" spans="1:8" ht="12.75">
      <c r="A1421" s="24" t="s">
        <v>2768</v>
      </c>
      <c r="B1421" s="14" t="s">
        <v>2819</v>
      </c>
      <c r="C1421" s="792" t="s">
        <v>1666</v>
      </c>
      <c r="D1421" s="18" t="s">
        <v>1666</v>
      </c>
      <c r="E1421" s="419" t="s">
        <v>1666</v>
      </c>
      <c r="F1421" s="419" t="s">
        <v>1666</v>
      </c>
      <c r="G1421" s="419" t="s">
        <v>1666</v>
      </c>
      <c r="H1421" s="419" t="s">
        <v>1666</v>
      </c>
    </row>
    <row r="1422" spans="1:8" ht="12.75">
      <c r="A1422" s="24" t="s">
        <v>2768</v>
      </c>
      <c r="B1422" s="14" t="s">
        <v>2819</v>
      </c>
      <c r="C1422" s="792">
        <v>0.99013822329597234</v>
      </c>
      <c r="D1422" s="18" t="s">
        <v>350</v>
      </c>
      <c r="E1422" s="12">
        <v>7.6923076923076919E-3</v>
      </c>
      <c r="F1422" s="12">
        <v>0.183</v>
      </c>
      <c r="G1422" s="12">
        <v>2.8673068893528183E-4</v>
      </c>
      <c r="H1422" s="12">
        <v>1.4770983615231311E-3</v>
      </c>
    </row>
    <row r="1423" spans="1:8" ht="12.75">
      <c r="A1423" s="24" t="s">
        <v>2768</v>
      </c>
      <c r="B1423" s="14" t="s">
        <v>2819</v>
      </c>
      <c r="C1423" s="792">
        <v>0.99013822329597234</v>
      </c>
      <c r="D1423" s="18" t="s">
        <v>332</v>
      </c>
      <c r="E1423" s="12">
        <v>2.3E-3</v>
      </c>
      <c r="F1423" s="12">
        <v>4.7879999999999999E-2</v>
      </c>
      <c r="G1423" s="12">
        <v>9.9999999999999995E-7</v>
      </c>
      <c r="H1423" s="12">
        <v>4.4092488403675551E-4</v>
      </c>
    </row>
    <row r="1424" spans="1:8" ht="12.75">
      <c r="A1424" s="24" t="s">
        <v>2768</v>
      </c>
      <c r="B1424" s="14" t="s">
        <v>2819</v>
      </c>
      <c r="C1424" s="792">
        <v>0.99013822329597234</v>
      </c>
      <c r="D1424" s="18" t="s">
        <v>1370</v>
      </c>
      <c r="E1424" s="12">
        <v>1.7000000000000001E-2</v>
      </c>
      <c r="F1424" s="12">
        <v>3.15E-2</v>
      </c>
      <c r="G1424" s="12">
        <v>9.9999999999999995E-7</v>
      </c>
      <c r="H1424" s="12">
        <v>9.0389601227534877E-4</v>
      </c>
    </row>
    <row r="1425" spans="1:8" ht="12.75">
      <c r="A1425" s="24" t="s">
        <v>2768</v>
      </c>
      <c r="B1425" s="14" t="s">
        <v>2819</v>
      </c>
      <c r="C1425" s="792" t="s">
        <v>1666</v>
      </c>
      <c r="D1425" s="18" t="s">
        <v>1666</v>
      </c>
      <c r="E1425" s="419" t="s">
        <v>1666</v>
      </c>
      <c r="F1425" s="419" t="s">
        <v>1666</v>
      </c>
      <c r="G1425" s="419" t="s">
        <v>1666</v>
      </c>
      <c r="H1425" s="419" t="s">
        <v>1666</v>
      </c>
    </row>
    <row r="1426" spans="1:8" ht="12.75">
      <c r="A1426" s="24" t="s">
        <v>2768</v>
      </c>
      <c r="B1426" s="14" t="s">
        <v>2819</v>
      </c>
      <c r="C1426" s="792" t="s">
        <v>1666</v>
      </c>
      <c r="D1426" s="18" t="s">
        <v>1666</v>
      </c>
      <c r="E1426" s="419" t="s">
        <v>1666</v>
      </c>
      <c r="F1426" s="419" t="s">
        <v>1666</v>
      </c>
      <c r="G1426" s="419" t="s">
        <v>1666</v>
      </c>
      <c r="H1426" s="419" t="s">
        <v>1666</v>
      </c>
    </row>
    <row r="1427" spans="1:8" ht="12.75">
      <c r="A1427" s="24" t="s">
        <v>2768</v>
      </c>
      <c r="B1427" s="14" t="s">
        <v>2819</v>
      </c>
      <c r="C1427" s="792" t="s">
        <v>1666</v>
      </c>
      <c r="D1427" s="18" t="s">
        <v>1666</v>
      </c>
      <c r="E1427" s="419" t="s">
        <v>1666</v>
      </c>
      <c r="F1427" s="419" t="s">
        <v>1666</v>
      </c>
      <c r="G1427" s="419" t="s">
        <v>1666</v>
      </c>
      <c r="H1427" s="419" t="s">
        <v>1666</v>
      </c>
    </row>
    <row r="1428" spans="1:8" ht="12.75">
      <c r="A1428" s="24" t="s">
        <v>2768</v>
      </c>
      <c r="B1428" s="14" t="s">
        <v>2819</v>
      </c>
      <c r="C1428" s="792">
        <v>0.24753455582399309</v>
      </c>
      <c r="D1428" s="18" t="s">
        <v>305</v>
      </c>
      <c r="E1428" s="12">
        <v>4.7062756261925113E-3</v>
      </c>
      <c r="F1428" s="12">
        <v>3.8210906557435767E-2</v>
      </c>
      <c r="G1428" s="12">
        <v>8.2999999999999998E-5</v>
      </c>
      <c r="H1428" s="12">
        <v>5.9908272287602653E-4</v>
      </c>
    </row>
    <row r="1429" spans="1:8" ht="12.75">
      <c r="A1429" s="24" t="s">
        <v>2768</v>
      </c>
      <c r="B1429" s="14" t="s">
        <v>2819</v>
      </c>
      <c r="C1429" s="792">
        <v>0.19802764465919448</v>
      </c>
      <c r="D1429" s="18" t="s">
        <v>2663</v>
      </c>
      <c r="E1429" s="12">
        <v>3.1660297063617504E-2</v>
      </c>
      <c r="F1429" s="12">
        <v>0.3735301190055475</v>
      </c>
      <c r="G1429" s="12">
        <v>2.1604141815772032E-3</v>
      </c>
      <c r="H1429" s="12">
        <v>1.8530021654934324E-3</v>
      </c>
    </row>
    <row r="1430" spans="1:8" ht="12.75">
      <c r="A1430" s="24" t="s">
        <v>2768</v>
      </c>
      <c r="B1430" s="14" t="s">
        <v>2819</v>
      </c>
      <c r="C1430" s="792">
        <v>0.19802764465919448</v>
      </c>
      <c r="D1430" s="18" t="s">
        <v>2712</v>
      </c>
      <c r="E1430" s="12">
        <v>4.0401172748815169E-2</v>
      </c>
      <c r="F1430" s="12">
        <v>0.11878669834123222</v>
      </c>
      <c r="G1430" s="12">
        <v>7.919516026066351E-4</v>
      </c>
      <c r="H1430" s="12">
        <v>7.4518613744075819E-3</v>
      </c>
    </row>
    <row r="1431" spans="1:8" ht="12.75">
      <c r="A1431" s="794" t="s">
        <v>2768</v>
      </c>
      <c r="B1431" s="617" t="s">
        <v>2819</v>
      </c>
      <c r="C1431" s="455">
        <v>0.19802764465919448</v>
      </c>
      <c r="D1431" s="793" t="s">
        <v>121</v>
      </c>
      <c r="E1431" s="635">
        <v>4.1127278199052132E-2</v>
      </c>
      <c r="F1431" s="635">
        <v>0.12092157867298578</v>
      </c>
      <c r="G1431" s="635">
        <v>8.0618486208530824E-4</v>
      </c>
      <c r="H1431" s="635">
        <v>7.5857890995260661E-3</v>
      </c>
    </row>
    <row r="1432" spans="1:8" ht="12.75">
      <c r="A1432" s="24" t="s">
        <v>2768</v>
      </c>
      <c r="B1432" s="14" t="s">
        <v>2826</v>
      </c>
      <c r="C1432" s="792">
        <v>9.4250706880301607</v>
      </c>
      <c r="D1432" s="18" t="s">
        <v>301</v>
      </c>
      <c r="E1432" s="12">
        <v>4.7062756261925113E-3</v>
      </c>
      <c r="F1432" s="12">
        <v>3.8210906557435767E-2</v>
      </c>
      <c r="G1432" s="12">
        <v>7.6086956521739124E-5</v>
      </c>
      <c r="H1432" s="12">
        <v>5.9908272287602653E-4</v>
      </c>
    </row>
    <row r="1433" spans="1:8" ht="12.75">
      <c r="A1433" s="24" t="s">
        <v>2768</v>
      </c>
      <c r="B1433" s="14" t="s">
        <v>2826</v>
      </c>
      <c r="C1433" s="792">
        <v>9.4250706880301607</v>
      </c>
      <c r="D1433" s="18" t="s">
        <v>1124</v>
      </c>
      <c r="E1433" s="12">
        <v>2.38916680630451E-3</v>
      </c>
      <c r="F1433" s="12">
        <v>0.16192713668914901</v>
      </c>
      <c r="G1433" s="12">
        <v>4.8714285714285716E-4</v>
      </c>
      <c r="H1433" s="12">
        <v>2.358948129596642E-3</v>
      </c>
    </row>
    <row r="1434" spans="1:8" ht="12.75">
      <c r="A1434" s="24" t="s">
        <v>2768</v>
      </c>
      <c r="B1434" s="14" t="s">
        <v>2826</v>
      </c>
      <c r="C1434" s="792">
        <v>9.4250706880301607</v>
      </c>
      <c r="D1434" s="18" t="s">
        <v>2720</v>
      </c>
      <c r="E1434" s="23">
        <v>7.0063781342921748E-4</v>
      </c>
      <c r="F1434" s="23">
        <v>4.7486125575394174E-2</v>
      </c>
      <c r="G1434" s="12">
        <v>1.428576294277929E-4</v>
      </c>
      <c r="H1434" s="23">
        <v>7.2410198258570182E-4</v>
      </c>
    </row>
    <row r="1435" spans="1:8" ht="12.75">
      <c r="A1435" s="24" t="s">
        <v>2768</v>
      </c>
      <c r="B1435" s="14" t="s">
        <v>2826</v>
      </c>
      <c r="C1435" s="792">
        <v>17.907634307257307</v>
      </c>
      <c r="D1435" s="18" t="s">
        <v>425</v>
      </c>
      <c r="E1435" s="12">
        <v>3.8102374934982654E-3</v>
      </c>
      <c r="F1435" s="12">
        <v>0.20470422547079484</v>
      </c>
      <c r="G1435" s="12">
        <v>1.210810810810811E-4</v>
      </c>
      <c r="H1435" s="12">
        <v>1.0002400855855065E-3</v>
      </c>
    </row>
    <row r="1436" spans="1:8" ht="12.75">
      <c r="A1436" s="24" t="s">
        <v>2768</v>
      </c>
      <c r="B1436" s="14" t="s">
        <v>2826</v>
      </c>
      <c r="C1436" s="792">
        <v>8.482563619227145</v>
      </c>
      <c r="D1436" s="18" t="s">
        <v>2662</v>
      </c>
      <c r="E1436" s="12">
        <v>6.399192301960112E-3</v>
      </c>
      <c r="F1436" s="12">
        <v>0.12411340117772937</v>
      </c>
      <c r="G1436" s="12">
        <v>9.8749999999999988E-5</v>
      </c>
      <c r="H1436" s="12">
        <v>3.8580927353216109E-4</v>
      </c>
    </row>
    <row r="1437" spans="1:8" ht="12.75">
      <c r="A1437" s="24" t="s">
        <v>2768</v>
      </c>
      <c r="B1437" s="14" t="s">
        <v>2826</v>
      </c>
      <c r="C1437" s="792" t="s">
        <v>1666</v>
      </c>
      <c r="D1437" s="18" t="s">
        <v>1666</v>
      </c>
      <c r="E1437" s="419" t="s">
        <v>1666</v>
      </c>
      <c r="F1437" s="419" t="s">
        <v>1666</v>
      </c>
      <c r="G1437" s="419" t="s">
        <v>1666</v>
      </c>
      <c r="H1437" s="419" t="s">
        <v>1666</v>
      </c>
    </row>
    <row r="1438" spans="1:8" ht="12.75">
      <c r="A1438" s="24" t="s">
        <v>2768</v>
      </c>
      <c r="B1438" s="14" t="s">
        <v>2826</v>
      </c>
      <c r="C1438" s="792">
        <v>5.6550424128180961</v>
      </c>
      <c r="D1438" s="18" t="s">
        <v>308</v>
      </c>
      <c r="E1438" s="12">
        <v>5.0661296264537621E-3</v>
      </c>
      <c r="F1438" s="12">
        <v>4.1132611249310447E-2</v>
      </c>
      <c r="G1438" s="12">
        <v>8.190476190476189E-5</v>
      </c>
      <c r="H1438" s="12">
        <v>6.4489013651634311E-4</v>
      </c>
    </row>
    <row r="1439" spans="1:8" ht="12.75">
      <c r="A1439" s="24" t="s">
        <v>2768</v>
      </c>
      <c r="B1439" s="14" t="s">
        <v>2826</v>
      </c>
      <c r="C1439" s="792">
        <v>4.7125353440150803</v>
      </c>
      <c r="D1439" s="18" t="s">
        <v>305</v>
      </c>
      <c r="E1439" s="12">
        <v>4.7062756261925113E-3</v>
      </c>
      <c r="F1439" s="12">
        <v>3.8210906557435767E-2</v>
      </c>
      <c r="G1439" s="12">
        <v>8.2999999999999998E-5</v>
      </c>
      <c r="H1439" s="12">
        <v>5.9908272287602653E-4</v>
      </c>
    </row>
    <row r="1440" spans="1:8" ht="12.75">
      <c r="A1440" s="24" t="s">
        <v>2768</v>
      </c>
      <c r="B1440" s="14" t="s">
        <v>2826</v>
      </c>
      <c r="C1440" s="792">
        <v>4.7125353440150803</v>
      </c>
      <c r="D1440" s="18" t="s">
        <v>2827</v>
      </c>
      <c r="E1440" s="12">
        <v>7.6594132480302998E-3</v>
      </c>
      <c r="F1440" s="12">
        <v>0.25452159072024799</v>
      </c>
      <c r="G1440" s="12">
        <v>2.4499999999999999E-4</v>
      </c>
      <c r="H1440" s="12">
        <v>3.0864741882572887E-4</v>
      </c>
    </row>
    <row r="1441" spans="1:8" ht="12.75">
      <c r="A1441" s="24" t="s">
        <v>2768</v>
      </c>
      <c r="B1441" s="14" t="s">
        <v>2826</v>
      </c>
      <c r="C1441" s="792">
        <v>2.827521206409048</v>
      </c>
      <c r="D1441" s="18" t="s">
        <v>2526</v>
      </c>
      <c r="E1441" s="12">
        <v>5.0851930036188197E-3</v>
      </c>
      <c r="F1441" s="12">
        <v>5.9995417730640897E-2</v>
      </c>
      <c r="G1441" s="12">
        <v>3.4699999999999998E-4</v>
      </c>
      <c r="H1441" s="12">
        <v>2.9762429672480995E-4</v>
      </c>
    </row>
    <row r="1442" spans="1:8" ht="12.75">
      <c r="A1442" s="24" t="s">
        <v>2768</v>
      </c>
      <c r="B1442" s="14" t="s">
        <v>2826</v>
      </c>
      <c r="C1442" s="792">
        <v>4.7125353440150803</v>
      </c>
      <c r="D1442" s="18" t="s">
        <v>2828</v>
      </c>
      <c r="E1442" s="12">
        <v>3.372204299368619E-2</v>
      </c>
      <c r="F1442" s="12">
        <v>6.4584205812988751E-2</v>
      </c>
      <c r="G1442" s="12">
        <v>3.9999999999999998E-6</v>
      </c>
      <c r="H1442" s="12">
        <v>1.477309663377164E-3</v>
      </c>
    </row>
    <row r="1443" spans="1:8" ht="12.75">
      <c r="A1443" s="24" t="s">
        <v>2768</v>
      </c>
      <c r="B1443" s="14" t="s">
        <v>2826</v>
      </c>
      <c r="C1443" s="792">
        <v>7.5400565504241284</v>
      </c>
      <c r="D1443" s="18" t="s">
        <v>433</v>
      </c>
      <c r="E1443" s="12">
        <v>3.0104466724907065E-4</v>
      </c>
      <c r="F1443" s="12">
        <v>1.2500000000000001E-2</v>
      </c>
      <c r="G1443" s="12">
        <v>5.1818181818181835E-4</v>
      </c>
      <c r="H1443" s="12">
        <v>4.0084080366977777E-4</v>
      </c>
    </row>
    <row r="1444" spans="1:8" ht="12.75">
      <c r="A1444" s="24" t="s">
        <v>2768</v>
      </c>
      <c r="B1444" s="14" t="s">
        <v>2826</v>
      </c>
      <c r="C1444" s="792" t="s">
        <v>1666</v>
      </c>
      <c r="D1444" s="18" t="s">
        <v>1666</v>
      </c>
      <c r="E1444" s="419" t="s">
        <v>1666</v>
      </c>
      <c r="F1444" s="419" t="s">
        <v>1666</v>
      </c>
      <c r="G1444" s="419" t="s">
        <v>1666</v>
      </c>
      <c r="H1444" s="419" t="s">
        <v>1666</v>
      </c>
    </row>
    <row r="1445" spans="1:8" ht="12.75">
      <c r="A1445" s="24" t="s">
        <v>2768</v>
      </c>
      <c r="B1445" s="14" t="s">
        <v>2826</v>
      </c>
      <c r="C1445" s="792" t="s">
        <v>1666</v>
      </c>
      <c r="D1445" s="18" t="s">
        <v>1666</v>
      </c>
      <c r="E1445" s="419" t="s">
        <v>1666</v>
      </c>
      <c r="F1445" s="419" t="s">
        <v>1666</v>
      </c>
      <c r="G1445" s="419" t="s">
        <v>1666</v>
      </c>
      <c r="H1445" s="419" t="s">
        <v>1666</v>
      </c>
    </row>
    <row r="1446" spans="1:8" ht="12.75">
      <c r="A1446" s="24" t="s">
        <v>2768</v>
      </c>
      <c r="B1446" s="14" t="s">
        <v>2826</v>
      </c>
      <c r="C1446" s="792">
        <v>0.94250706880301605</v>
      </c>
      <c r="D1446" s="458" t="s">
        <v>147</v>
      </c>
      <c r="E1446" s="12">
        <v>5.3660800389999995E-4</v>
      </c>
      <c r="F1446" s="12">
        <v>2.8929604629999999E-3</v>
      </c>
      <c r="G1446" s="12">
        <v>1.75E-4</v>
      </c>
      <c r="H1446" s="12">
        <v>2.6107342105263152E-4</v>
      </c>
    </row>
    <row r="1447" spans="1:8" ht="12.75">
      <c r="A1447" s="24" t="s">
        <v>2768</v>
      </c>
      <c r="B1447" s="14" t="s">
        <v>2826</v>
      </c>
      <c r="C1447" s="792">
        <v>1.8850141376060321</v>
      </c>
      <c r="D1447" s="458" t="s">
        <v>2829</v>
      </c>
      <c r="E1447" s="12">
        <v>3.8297066240151499E-4</v>
      </c>
      <c r="F1447" s="12">
        <v>1.2726079536012401E-2</v>
      </c>
      <c r="G1447" s="12">
        <v>1.225E-5</v>
      </c>
      <c r="H1447" s="12">
        <v>1.5432370941286443E-5</v>
      </c>
    </row>
    <row r="1448" spans="1:8" ht="12.75">
      <c r="A1448" s="24" t="s">
        <v>2768</v>
      </c>
      <c r="B1448" s="14" t="s">
        <v>2826</v>
      </c>
      <c r="C1448" s="792">
        <v>0.94250706880301605</v>
      </c>
      <c r="D1448" s="458" t="s">
        <v>236</v>
      </c>
      <c r="E1448" s="12">
        <v>5.0851930036188197E-3</v>
      </c>
      <c r="F1448" s="12">
        <v>5.9995417730640897E-2</v>
      </c>
      <c r="G1448" s="12">
        <v>3.4699999999999998E-4</v>
      </c>
      <c r="H1448" s="12">
        <v>2.9762429672480995E-4</v>
      </c>
    </row>
    <row r="1449" spans="1:8" ht="12.75">
      <c r="A1449" s="24" t="s">
        <v>2768</v>
      </c>
      <c r="B1449" s="14" t="s">
        <v>2826</v>
      </c>
      <c r="C1449" s="792">
        <v>0.94250706880301605</v>
      </c>
      <c r="D1449" s="458" t="s">
        <v>77</v>
      </c>
      <c r="E1449" s="12">
        <v>0</v>
      </c>
      <c r="F1449" s="12">
        <v>0</v>
      </c>
      <c r="G1449" s="12">
        <v>0</v>
      </c>
      <c r="H1449" s="12">
        <v>0</v>
      </c>
    </row>
    <row r="1450" spans="1:8" ht="12.75">
      <c r="A1450" s="24" t="s">
        <v>2768</v>
      </c>
      <c r="B1450" s="14" t="s">
        <v>2826</v>
      </c>
      <c r="C1450" s="792">
        <v>0.94250706880301605</v>
      </c>
      <c r="D1450" s="458" t="s">
        <v>82</v>
      </c>
      <c r="E1450" s="12">
        <v>0</v>
      </c>
      <c r="F1450" s="12">
        <v>0</v>
      </c>
      <c r="G1450" s="12">
        <v>0</v>
      </c>
      <c r="H1450" s="12">
        <v>0</v>
      </c>
    </row>
    <row r="1451" spans="1:8" ht="12.75">
      <c r="A1451" s="24" t="s">
        <v>2768</v>
      </c>
      <c r="B1451" s="14" t="s">
        <v>2826</v>
      </c>
      <c r="C1451" s="792">
        <v>0.94250706880301605</v>
      </c>
      <c r="D1451" s="458" t="s">
        <v>80</v>
      </c>
      <c r="E1451" s="12">
        <v>0</v>
      </c>
      <c r="F1451" s="12">
        <v>0</v>
      </c>
      <c r="G1451" s="12">
        <v>0</v>
      </c>
      <c r="H1451" s="12">
        <v>0</v>
      </c>
    </row>
    <row r="1452" spans="1:8" ht="12.75">
      <c r="A1452" s="24" t="s">
        <v>2768</v>
      </c>
      <c r="B1452" s="14" t="s">
        <v>2826</v>
      </c>
      <c r="C1452" s="792">
        <v>0.94250706880301605</v>
      </c>
      <c r="D1452" s="18" t="s">
        <v>350</v>
      </c>
      <c r="E1452" s="12">
        <v>7.6923076923076919E-3</v>
      </c>
      <c r="F1452" s="12">
        <v>0.183</v>
      </c>
      <c r="G1452" s="12">
        <v>2.8673068893528183E-4</v>
      </c>
      <c r="H1452" s="12">
        <v>1.4770983615231311E-3</v>
      </c>
    </row>
    <row r="1453" spans="1:8" ht="12.75">
      <c r="A1453" s="24" t="s">
        <v>2768</v>
      </c>
      <c r="B1453" s="14" t="s">
        <v>2826</v>
      </c>
      <c r="C1453" s="792">
        <v>0.94250706880301605</v>
      </c>
      <c r="D1453" s="18" t="s">
        <v>2529</v>
      </c>
      <c r="E1453" s="12">
        <v>2.2558902713754649E-4</v>
      </c>
      <c r="F1453" s="12">
        <v>9.3669250645994837E-3</v>
      </c>
      <c r="G1453" s="12">
        <v>3.8830162085976054E-4</v>
      </c>
      <c r="H1453" s="12">
        <v>3.0037166166469137E-4</v>
      </c>
    </row>
    <row r="1454" spans="1:8" ht="12.75">
      <c r="A1454" s="24" t="s">
        <v>2768</v>
      </c>
      <c r="B1454" s="14" t="s">
        <v>2826</v>
      </c>
      <c r="C1454" s="792">
        <v>0.94250706880301605</v>
      </c>
      <c r="D1454" s="18" t="s">
        <v>79</v>
      </c>
      <c r="E1454" s="12">
        <v>1.3100000000000001E-2</v>
      </c>
      <c r="F1454" s="12">
        <v>0.27117000000000002</v>
      </c>
      <c r="G1454" s="12">
        <v>4.1E-5</v>
      </c>
      <c r="H1454" s="12">
        <v>1.8699999999999999E-3</v>
      </c>
    </row>
    <row r="1455" spans="1:8" ht="12.75">
      <c r="A1455" s="24" t="s">
        <v>2768</v>
      </c>
      <c r="B1455" s="14" t="s">
        <v>2826</v>
      </c>
      <c r="C1455" s="792">
        <v>1.413760603204524</v>
      </c>
      <c r="D1455" s="18" t="s">
        <v>2830</v>
      </c>
      <c r="E1455" s="12">
        <v>2.9691872042618299E-2</v>
      </c>
      <c r="F1455" s="12">
        <v>7.5368545517799299E-2</v>
      </c>
      <c r="G1455" s="12">
        <v>2.9014018691588786E-4</v>
      </c>
      <c r="H1455" s="12">
        <v>1.4770983615231311E-3</v>
      </c>
    </row>
    <row r="1456" spans="1:8" ht="12.75">
      <c r="A1456" s="24" t="s">
        <v>2768</v>
      </c>
      <c r="B1456" s="14" t="s">
        <v>2826</v>
      </c>
      <c r="C1456" s="792">
        <v>1.5080113100848258</v>
      </c>
      <c r="D1456" s="18" t="s">
        <v>2831</v>
      </c>
      <c r="E1456" s="12">
        <v>1.7000000000000001E-2</v>
      </c>
      <c r="F1456" s="12">
        <v>3.15E-2</v>
      </c>
      <c r="G1456" s="12">
        <v>9.9999999999999995E-7</v>
      </c>
      <c r="H1456" s="12">
        <v>9.0389601227534877E-4</v>
      </c>
    </row>
    <row r="1457" spans="1:8" ht="12.75">
      <c r="A1457" s="24" t="s">
        <v>2768</v>
      </c>
      <c r="B1457" s="14" t="s">
        <v>2826</v>
      </c>
      <c r="C1457" s="792" t="s">
        <v>1666</v>
      </c>
      <c r="D1457" s="13" t="s">
        <v>1666</v>
      </c>
      <c r="E1457" s="220" t="s">
        <v>1666</v>
      </c>
      <c r="F1457" s="220" t="s">
        <v>1666</v>
      </c>
      <c r="G1457" s="220" t="s">
        <v>1666</v>
      </c>
      <c r="H1457" s="220" t="s">
        <v>1666</v>
      </c>
    </row>
    <row r="1458" spans="1:8" ht="12.75">
      <c r="A1458" s="24" t="s">
        <v>2768</v>
      </c>
      <c r="B1458" s="14" t="s">
        <v>2826</v>
      </c>
      <c r="C1458" s="792" t="s">
        <v>1666</v>
      </c>
      <c r="D1458" s="13" t="s">
        <v>1666</v>
      </c>
      <c r="E1458" s="220" t="s">
        <v>1666</v>
      </c>
      <c r="F1458" s="220" t="s">
        <v>1666</v>
      </c>
      <c r="G1458" s="220" t="s">
        <v>1666</v>
      </c>
      <c r="H1458" s="220" t="s">
        <v>1666</v>
      </c>
    </row>
    <row r="1459" spans="1:8" ht="12.75">
      <c r="A1459" s="24" t="s">
        <v>2768</v>
      </c>
      <c r="B1459" s="14" t="s">
        <v>2826</v>
      </c>
      <c r="C1459" s="792" t="s">
        <v>1666</v>
      </c>
      <c r="D1459" s="13" t="s">
        <v>1666</v>
      </c>
      <c r="E1459" s="220" t="s">
        <v>1666</v>
      </c>
      <c r="F1459" s="220" t="s">
        <v>1666</v>
      </c>
      <c r="G1459" s="220" t="s">
        <v>1666</v>
      </c>
      <c r="H1459" s="220" t="s">
        <v>1666</v>
      </c>
    </row>
    <row r="1460" spans="1:8" ht="12.75">
      <c r="A1460" s="24" t="s">
        <v>2768</v>
      </c>
      <c r="B1460" s="14" t="s">
        <v>2826</v>
      </c>
      <c r="C1460" s="792">
        <v>0.94250706880301605</v>
      </c>
      <c r="D1460" s="18" t="s">
        <v>1588</v>
      </c>
      <c r="E1460" s="12">
        <v>2.9559941486988851E-4</v>
      </c>
      <c r="F1460" s="12">
        <v>1.227390180878553E-2</v>
      </c>
      <c r="G1460" s="12">
        <v>5.0880902043692758E-4</v>
      </c>
      <c r="H1460" s="12">
        <v>3.9359045321580248E-4</v>
      </c>
    </row>
    <row r="1461" spans="1:8" ht="12.75">
      <c r="A1461" s="24" t="s">
        <v>2768</v>
      </c>
      <c r="B1461" s="14" t="s">
        <v>2826</v>
      </c>
      <c r="C1461" s="792" t="s">
        <v>1666</v>
      </c>
      <c r="D1461" s="13" t="s">
        <v>1666</v>
      </c>
      <c r="E1461" s="220" t="s">
        <v>1666</v>
      </c>
      <c r="F1461" s="220" t="s">
        <v>1666</v>
      </c>
      <c r="G1461" s="220" t="s">
        <v>1666</v>
      </c>
      <c r="H1461" s="220" t="s">
        <v>1666</v>
      </c>
    </row>
    <row r="1462" spans="1:8" ht="12.75">
      <c r="A1462" s="24" t="s">
        <v>2768</v>
      </c>
      <c r="B1462" s="14" t="s">
        <v>2826</v>
      </c>
      <c r="C1462" s="792">
        <v>0.94250706880301605</v>
      </c>
      <c r="D1462" s="18" t="s">
        <v>2712</v>
      </c>
      <c r="E1462" s="12">
        <v>4.0401172748815169E-2</v>
      </c>
      <c r="F1462" s="12">
        <v>0.11878669834123222</v>
      </c>
      <c r="G1462" s="12">
        <v>7.919516026066351E-4</v>
      </c>
      <c r="H1462" s="12">
        <v>7.4518613744075819E-3</v>
      </c>
    </row>
    <row r="1463" spans="1:8" ht="12.75">
      <c r="A1463" s="24" t="s">
        <v>2768</v>
      </c>
      <c r="B1463" s="14" t="s">
        <v>2826</v>
      </c>
      <c r="C1463" s="792">
        <v>0.47125353440150802</v>
      </c>
      <c r="D1463" s="18" t="s">
        <v>81</v>
      </c>
      <c r="E1463" s="12">
        <v>1.9912385503783353E-2</v>
      </c>
      <c r="F1463" s="12">
        <v>5.6949422540820388E-2</v>
      </c>
      <c r="G1463" s="12">
        <v>3.8829151732377542E-3</v>
      </c>
      <c r="H1463" s="12">
        <v>5.6321186778176026E-3</v>
      </c>
    </row>
    <row r="1464" spans="1:8" ht="12.75">
      <c r="A1464" s="794" t="s">
        <v>2768</v>
      </c>
      <c r="B1464" s="617" t="s">
        <v>2826</v>
      </c>
      <c r="C1464" s="455">
        <v>0.47125353440150802</v>
      </c>
      <c r="D1464" s="793" t="s">
        <v>2775</v>
      </c>
      <c r="E1464" s="635">
        <v>8.22790593034603E-2</v>
      </c>
      <c r="F1464" s="635">
        <v>0.15758024213268212</v>
      </c>
      <c r="G1464" s="635">
        <v>9.7596766979824417E-6</v>
      </c>
      <c r="H1464" s="635">
        <v>3.6045161743415983E-3</v>
      </c>
    </row>
    <row r="1465" spans="1:8" ht="12.75">
      <c r="A1465" s="24" t="s">
        <v>2768</v>
      </c>
      <c r="B1465" s="14" t="s">
        <v>2832</v>
      </c>
      <c r="C1465" s="792">
        <v>26.963681994482819</v>
      </c>
      <c r="D1465" s="18" t="s">
        <v>301</v>
      </c>
      <c r="E1465" s="12">
        <v>4.7062756261925113E-3</v>
      </c>
      <c r="F1465" s="12">
        <v>3.8210906557435767E-2</v>
      </c>
      <c r="G1465" s="12">
        <v>7.6086956521739124E-5</v>
      </c>
      <c r="H1465" s="12">
        <v>5.9908272287602653E-4</v>
      </c>
    </row>
    <row r="1466" spans="1:8" ht="12.75">
      <c r="A1466" s="24" t="s">
        <v>2768</v>
      </c>
      <c r="B1466" s="14" t="s">
        <v>2832</v>
      </c>
      <c r="C1466" s="792">
        <v>7.2594528446684512</v>
      </c>
      <c r="D1466" s="18" t="s">
        <v>2712</v>
      </c>
      <c r="E1466" s="12">
        <v>4.0401172748815169E-2</v>
      </c>
      <c r="F1466" s="12">
        <v>0.11878669834123222</v>
      </c>
      <c r="G1466" s="12">
        <v>7.919516026066351E-4</v>
      </c>
      <c r="H1466" s="12">
        <v>7.4518613744075819E-3</v>
      </c>
    </row>
    <row r="1467" spans="1:8" ht="12.75">
      <c r="A1467" s="24" t="s">
        <v>2768</v>
      </c>
      <c r="B1467" s="14" t="s">
        <v>2832</v>
      </c>
      <c r="C1467" s="792">
        <v>7.2594528446684512</v>
      </c>
      <c r="D1467" s="458" t="s">
        <v>121</v>
      </c>
      <c r="E1467" s="12">
        <v>4.1127278199052132E-2</v>
      </c>
      <c r="F1467" s="12">
        <v>0.12092157867298578</v>
      </c>
      <c r="G1467" s="12">
        <v>8.0618486208530824E-4</v>
      </c>
      <c r="H1467" s="12">
        <v>7.5857890995260661E-3</v>
      </c>
    </row>
    <row r="1468" spans="1:8" ht="12.75">
      <c r="A1468" s="24" t="s">
        <v>2768</v>
      </c>
      <c r="B1468" s="14" t="s">
        <v>2832</v>
      </c>
      <c r="C1468" s="792">
        <v>11.469935494576154</v>
      </c>
      <c r="D1468" s="18" t="s">
        <v>433</v>
      </c>
      <c r="E1468" s="12">
        <v>3.0104466724907065E-4</v>
      </c>
      <c r="F1468" s="12">
        <v>1.2500000000000001E-2</v>
      </c>
      <c r="G1468" s="12">
        <v>5.1818181818181835E-4</v>
      </c>
      <c r="H1468" s="12">
        <v>4.0084080366977777E-4</v>
      </c>
    </row>
    <row r="1469" spans="1:8" ht="12.75">
      <c r="A1469" s="24" t="s">
        <v>2768</v>
      </c>
      <c r="B1469" s="14" t="s">
        <v>2832</v>
      </c>
      <c r="C1469" s="792">
        <v>5.6001493373156626</v>
      </c>
      <c r="D1469" s="18" t="s">
        <v>1114</v>
      </c>
      <c r="E1469" s="12">
        <v>3.8297066240151499E-4</v>
      </c>
      <c r="F1469" s="12">
        <v>1.2726079536012401E-2</v>
      </c>
      <c r="G1469" s="12">
        <v>1.225E-5</v>
      </c>
      <c r="H1469" s="12">
        <v>1.5432370941286443E-5</v>
      </c>
    </row>
    <row r="1470" spans="1:8" ht="12.75">
      <c r="A1470" s="24" t="s">
        <v>2768</v>
      </c>
      <c r="B1470" s="14" t="s">
        <v>2832</v>
      </c>
      <c r="C1470" s="792">
        <v>5.1853234604774654</v>
      </c>
      <c r="D1470" s="18" t="s">
        <v>2833</v>
      </c>
      <c r="E1470" s="12">
        <v>3.372204299368619E-2</v>
      </c>
      <c r="F1470" s="12">
        <v>6.4584205812988751E-2</v>
      </c>
      <c r="G1470" s="12">
        <v>3.9999999999999998E-6</v>
      </c>
      <c r="H1470" s="12">
        <v>1.477309663377164E-3</v>
      </c>
    </row>
    <row r="1471" spans="1:8" ht="12.75">
      <c r="A1471" s="24" t="s">
        <v>2768</v>
      </c>
      <c r="B1471" s="14" t="s">
        <v>2832</v>
      </c>
      <c r="C1471" s="792">
        <v>7.0520399062493535</v>
      </c>
      <c r="D1471" s="18" t="s">
        <v>2530</v>
      </c>
      <c r="E1471" s="12">
        <v>2.5055367220000002E-3</v>
      </c>
      <c r="F1471" s="12">
        <v>3.8459841414181101E-2</v>
      </c>
      <c r="G1471" s="12">
        <v>1.1035422343324251E-4</v>
      </c>
      <c r="H1471" s="12">
        <v>8.109653861711444E-4</v>
      </c>
    </row>
    <row r="1472" spans="1:8" ht="12.75">
      <c r="A1472" s="24" t="s">
        <v>2768</v>
      </c>
      <c r="B1472" s="14" t="s">
        <v>2832</v>
      </c>
      <c r="C1472" s="792">
        <v>4.0964055337771974</v>
      </c>
      <c r="D1472" s="18" t="s">
        <v>2525</v>
      </c>
      <c r="E1472" s="12">
        <v>3.8102374934982654E-3</v>
      </c>
      <c r="F1472" s="12">
        <v>0.20470422547079484</v>
      </c>
      <c r="G1472" s="12">
        <v>1.210810810810811E-4</v>
      </c>
      <c r="H1472" s="12">
        <v>1.0002400855855065E-3</v>
      </c>
    </row>
    <row r="1473" spans="1:8" ht="12.75">
      <c r="A1473" s="24" t="s">
        <v>2768</v>
      </c>
      <c r="B1473" s="14" t="s">
        <v>2832</v>
      </c>
      <c r="C1473" s="792">
        <v>3.8371393607533246</v>
      </c>
      <c r="D1473" s="18" t="s">
        <v>2834</v>
      </c>
      <c r="E1473" s="12">
        <v>2.38916680630451E-3</v>
      </c>
      <c r="F1473" s="12">
        <v>0.16192713668914901</v>
      </c>
      <c r="G1473" s="12">
        <v>4.8714285714285716E-4</v>
      </c>
      <c r="H1473" s="12">
        <v>2.358948129596642E-3</v>
      </c>
    </row>
    <row r="1474" spans="1:8" ht="12.75">
      <c r="A1474" s="24" t="s">
        <v>2768</v>
      </c>
      <c r="B1474" s="14" t="s">
        <v>2832</v>
      </c>
      <c r="C1474" s="792" t="s">
        <v>1666</v>
      </c>
      <c r="D1474" s="13" t="s">
        <v>1666</v>
      </c>
      <c r="E1474" s="220" t="s">
        <v>1666</v>
      </c>
      <c r="F1474" s="220" t="s">
        <v>1666</v>
      </c>
      <c r="G1474" s="220" t="s">
        <v>1666</v>
      </c>
      <c r="H1474" s="220" t="s">
        <v>1666</v>
      </c>
    </row>
    <row r="1475" spans="1:8" ht="12.75">
      <c r="A1475" s="24" t="s">
        <v>2768</v>
      </c>
      <c r="B1475" s="14" t="s">
        <v>2832</v>
      </c>
      <c r="C1475" s="792">
        <v>2.0741293841909862E-2</v>
      </c>
      <c r="D1475" s="18" t="s">
        <v>83</v>
      </c>
      <c r="E1475" s="12">
        <v>0</v>
      </c>
      <c r="F1475" s="12">
        <v>0</v>
      </c>
      <c r="G1475" s="12">
        <v>0</v>
      </c>
      <c r="H1475" s="12">
        <v>0</v>
      </c>
    </row>
    <row r="1476" spans="1:8" ht="12.75">
      <c r="A1476" s="24" t="s">
        <v>2768</v>
      </c>
      <c r="B1476" s="14" t="s">
        <v>2832</v>
      </c>
      <c r="C1476" s="792">
        <v>2.0741293841909862E-2</v>
      </c>
      <c r="D1476" s="18" t="s">
        <v>2662</v>
      </c>
      <c r="E1476" s="12">
        <v>6.399192301960112E-3</v>
      </c>
      <c r="F1476" s="12">
        <v>0.12411340117772937</v>
      </c>
      <c r="G1476" s="12">
        <v>9.8749999999999988E-5</v>
      </c>
      <c r="H1476" s="12">
        <v>3.8580927353216109E-4</v>
      </c>
    </row>
    <row r="1477" spans="1:8" ht="12.75">
      <c r="A1477" s="24" t="s">
        <v>2768</v>
      </c>
      <c r="B1477" s="14" t="s">
        <v>2832</v>
      </c>
      <c r="C1477" s="792" t="s">
        <v>1666</v>
      </c>
      <c r="D1477" s="13" t="s">
        <v>1666</v>
      </c>
      <c r="E1477" s="220" t="s">
        <v>1666</v>
      </c>
      <c r="F1477" s="220" t="s">
        <v>1666</v>
      </c>
      <c r="G1477" s="220" t="s">
        <v>1666</v>
      </c>
      <c r="H1477" s="220" t="s">
        <v>1666</v>
      </c>
    </row>
    <row r="1478" spans="1:8" ht="12.75">
      <c r="A1478" s="24" t="s">
        <v>2768</v>
      </c>
      <c r="B1478" s="14" t="s">
        <v>2832</v>
      </c>
      <c r="C1478" s="792">
        <v>1.0370646920954931</v>
      </c>
      <c r="D1478" s="18" t="s">
        <v>438</v>
      </c>
      <c r="E1478" s="12">
        <v>0</v>
      </c>
      <c r="F1478" s="12">
        <v>0</v>
      </c>
      <c r="G1478" s="12">
        <v>0</v>
      </c>
      <c r="H1478" s="12">
        <v>0</v>
      </c>
    </row>
    <row r="1479" spans="1:8" ht="12.75">
      <c r="A1479" s="24" t="s">
        <v>2768</v>
      </c>
      <c r="B1479" s="14" t="s">
        <v>2832</v>
      </c>
      <c r="C1479" s="792">
        <v>2.9037811378673806</v>
      </c>
      <c r="D1479" s="18" t="s">
        <v>2772</v>
      </c>
      <c r="E1479" s="12">
        <v>3.8427539589960401E-3</v>
      </c>
      <c r="F1479" s="12">
        <v>1.5537788094869101E-2</v>
      </c>
      <c r="G1479" s="12">
        <v>2.14E-4</v>
      </c>
      <c r="H1479" s="12">
        <v>5.7320234924778215E-4</v>
      </c>
    </row>
    <row r="1480" spans="1:8" ht="12.75">
      <c r="A1480" s="24" t="s">
        <v>2768</v>
      </c>
      <c r="B1480" s="14" t="s">
        <v>2832</v>
      </c>
      <c r="C1480" s="792" t="s">
        <v>1666</v>
      </c>
      <c r="D1480" s="13" t="s">
        <v>1666</v>
      </c>
      <c r="E1480" s="220" t="s">
        <v>1666</v>
      </c>
      <c r="F1480" s="220" t="s">
        <v>1666</v>
      </c>
      <c r="G1480" s="220" t="s">
        <v>1666</v>
      </c>
      <c r="H1480" s="220" t="s">
        <v>1666</v>
      </c>
    </row>
    <row r="1481" spans="1:8" ht="12.75">
      <c r="A1481" s="10" t="s">
        <v>2768</v>
      </c>
      <c r="B1481" s="14" t="s">
        <v>2832</v>
      </c>
      <c r="C1481" s="792">
        <v>0.82913322133034661</v>
      </c>
      <c r="D1481" s="18" t="s">
        <v>2835</v>
      </c>
      <c r="E1481" s="12">
        <v>2.9691872042618299E-2</v>
      </c>
      <c r="F1481" s="12">
        <v>7.5368545517799299E-2</v>
      </c>
      <c r="G1481" s="12">
        <v>2.9014018691588786E-4</v>
      </c>
      <c r="H1481" s="12">
        <v>1.4770983615231311E-3</v>
      </c>
    </row>
    <row r="1482" spans="1:8" ht="12.75">
      <c r="A1482" s="10" t="s">
        <v>2768</v>
      </c>
      <c r="B1482" s="14" t="s">
        <v>2832</v>
      </c>
      <c r="C1482" s="792">
        <v>0.69587040839607583</v>
      </c>
      <c r="D1482" s="18" t="s">
        <v>340</v>
      </c>
      <c r="E1482" s="12">
        <v>2.1708241661196198E-2</v>
      </c>
      <c r="F1482" s="12">
        <v>0.36572952458380198</v>
      </c>
      <c r="G1482" s="12">
        <v>4.6350652173913045E-4</v>
      </c>
      <c r="H1482" s="12">
        <v>1.6975608035415088E-3</v>
      </c>
    </row>
    <row r="1483" spans="1:8" ht="12.75">
      <c r="A1483" s="10" t="s">
        <v>2768</v>
      </c>
      <c r="B1483" s="14" t="s">
        <v>2832</v>
      </c>
      <c r="C1483" s="792" t="s">
        <v>1666</v>
      </c>
      <c r="D1483" s="13" t="s">
        <v>1666</v>
      </c>
      <c r="E1483" s="220" t="s">
        <v>1666</v>
      </c>
      <c r="F1483" s="220" t="s">
        <v>1666</v>
      </c>
      <c r="G1483" s="220" t="s">
        <v>1666</v>
      </c>
      <c r="H1483" s="220" t="s">
        <v>1666</v>
      </c>
    </row>
    <row r="1484" spans="1:8" ht="12.75">
      <c r="A1484" s="10" t="s">
        <v>2768</v>
      </c>
      <c r="B1484" s="14" t="s">
        <v>2832</v>
      </c>
      <c r="C1484" s="792">
        <v>0.2649700288303985</v>
      </c>
      <c r="D1484" s="18" t="s">
        <v>324</v>
      </c>
      <c r="E1484" s="12">
        <v>1.0652903141570055E-3</v>
      </c>
      <c r="F1484" s="12">
        <v>1.7273631840796021E-2</v>
      </c>
      <c r="G1484" s="12">
        <v>1.3582399999999999E-4</v>
      </c>
      <c r="H1484" s="12">
        <v>2.14E-3</v>
      </c>
    </row>
    <row r="1485" spans="1:8" ht="12.75">
      <c r="A1485" s="24" t="s">
        <v>2768</v>
      </c>
      <c r="B1485" s="14" t="s">
        <v>2832</v>
      </c>
      <c r="C1485" s="792" t="s">
        <v>1666</v>
      </c>
      <c r="D1485" s="13" t="s">
        <v>1666</v>
      </c>
      <c r="E1485" s="220" t="s">
        <v>1666</v>
      </c>
      <c r="F1485" s="220" t="s">
        <v>1666</v>
      </c>
      <c r="G1485" s="220" t="s">
        <v>1666</v>
      </c>
      <c r="H1485" s="220" t="s">
        <v>1666</v>
      </c>
    </row>
    <row r="1486" spans="1:8" ht="12.75">
      <c r="A1486" s="24" t="s">
        <v>2768</v>
      </c>
      <c r="B1486" s="14" t="s">
        <v>2832</v>
      </c>
      <c r="C1486" s="792" t="s">
        <v>1666</v>
      </c>
      <c r="D1486" s="13" t="s">
        <v>1666</v>
      </c>
      <c r="E1486" s="220" t="s">
        <v>1666</v>
      </c>
      <c r="F1486" s="220" t="s">
        <v>1666</v>
      </c>
      <c r="G1486" s="220" t="s">
        <v>1666</v>
      </c>
      <c r="H1486" s="220" t="s">
        <v>1666</v>
      </c>
    </row>
    <row r="1487" spans="1:8" ht="12.75">
      <c r="A1487" s="24" t="s">
        <v>2768</v>
      </c>
      <c r="B1487" s="14" t="s">
        <v>2832</v>
      </c>
      <c r="C1487" s="792" t="s">
        <v>1666</v>
      </c>
      <c r="D1487" s="13" t="s">
        <v>1666</v>
      </c>
      <c r="E1487" s="220" t="s">
        <v>1666</v>
      </c>
      <c r="F1487" s="220" t="s">
        <v>1666</v>
      </c>
      <c r="G1487" s="220" t="s">
        <v>1666</v>
      </c>
      <c r="H1487" s="220" t="s">
        <v>1666</v>
      </c>
    </row>
    <row r="1488" spans="1:8" ht="12.75">
      <c r="A1488" s="24" t="s">
        <v>2768</v>
      </c>
      <c r="B1488" s="14" t="s">
        <v>2832</v>
      </c>
      <c r="C1488" s="792" t="s">
        <v>1666</v>
      </c>
      <c r="D1488" s="13" t="s">
        <v>1666</v>
      </c>
      <c r="E1488" s="220" t="s">
        <v>1666</v>
      </c>
      <c r="F1488" s="220" t="s">
        <v>1666</v>
      </c>
      <c r="G1488" s="220" t="s">
        <v>1666</v>
      </c>
      <c r="H1488" s="220" t="s">
        <v>1666</v>
      </c>
    </row>
    <row r="1489" spans="1:8" ht="12.75">
      <c r="A1489" s="24" t="s">
        <v>2768</v>
      </c>
      <c r="B1489" s="14" t="s">
        <v>2832</v>
      </c>
      <c r="C1489" s="792">
        <v>2.5926617302387327</v>
      </c>
      <c r="D1489" s="18" t="s">
        <v>2526</v>
      </c>
      <c r="E1489" s="12">
        <v>5.0851930036188197E-3</v>
      </c>
      <c r="F1489" s="12">
        <v>5.9995417730640897E-2</v>
      </c>
      <c r="G1489" s="12">
        <v>3.4699999999999998E-4</v>
      </c>
      <c r="H1489" s="12">
        <v>2.9762429672480995E-4</v>
      </c>
    </row>
    <row r="1490" spans="1:8" ht="12.75">
      <c r="A1490" s="24" t="s">
        <v>2768</v>
      </c>
      <c r="B1490" s="14" t="s">
        <v>2832</v>
      </c>
      <c r="C1490" s="792" t="s">
        <v>1666</v>
      </c>
      <c r="D1490" s="13" t="s">
        <v>1666</v>
      </c>
      <c r="E1490" s="220" t="s">
        <v>1666</v>
      </c>
      <c r="F1490" s="220" t="s">
        <v>1666</v>
      </c>
      <c r="G1490" s="220" t="s">
        <v>1666</v>
      </c>
      <c r="H1490" s="220" t="s">
        <v>1666</v>
      </c>
    </row>
    <row r="1491" spans="1:8" ht="12.75">
      <c r="A1491" s="24" t="s">
        <v>2768</v>
      </c>
      <c r="B1491" s="14" t="s">
        <v>2832</v>
      </c>
      <c r="C1491" s="792">
        <v>6.3260946217825076</v>
      </c>
      <c r="D1491" s="18" t="s">
        <v>2836</v>
      </c>
      <c r="E1491" s="12">
        <v>1.7000000000000001E-2</v>
      </c>
      <c r="F1491" s="12">
        <v>3.15E-2</v>
      </c>
      <c r="G1491" s="12">
        <v>9.9999999999999995E-7</v>
      </c>
      <c r="H1491" s="12">
        <v>9.0389601227534877E-4</v>
      </c>
    </row>
    <row r="1492" spans="1:8" ht="12.75">
      <c r="A1492" s="24" t="s">
        <v>2768</v>
      </c>
      <c r="B1492" s="14" t="s">
        <v>2832</v>
      </c>
      <c r="C1492" s="792">
        <v>1.0370646920954931</v>
      </c>
      <c r="D1492" s="458" t="s">
        <v>2837</v>
      </c>
      <c r="E1492" s="12">
        <v>2.3E-3</v>
      </c>
      <c r="F1492" s="12">
        <v>4.7879999999999999E-2</v>
      </c>
      <c r="G1492" s="12">
        <v>9.9999999999999995E-7</v>
      </c>
      <c r="H1492" s="12">
        <v>4.4092488403675551E-4</v>
      </c>
    </row>
    <row r="1493" spans="1:8" ht="12.75">
      <c r="A1493" s="24" t="s">
        <v>2768</v>
      </c>
      <c r="B1493" s="14" t="s">
        <v>2832</v>
      </c>
      <c r="C1493" s="792">
        <v>2.3333955572148595</v>
      </c>
      <c r="D1493" s="18" t="s">
        <v>2528</v>
      </c>
      <c r="E1493" s="12">
        <v>5.5280749052132698E-2</v>
      </c>
      <c r="F1493" s="12">
        <v>0.16253532298578199</v>
      </c>
      <c r="G1493" s="12">
        <v>1.0836239353080568E-3</v>
      </c>
      <c r="H1493" s="12">
        <v>1.0196349526066351E-2</v>
      </c>
    </row>
    <row r="1494" spans="1:8" ht="12.75">
      <c r="A1494" s="24" t="s">
        <v>2768</v>
      </c>
      <c r="B1494" s="14" t="s">
        <v>2832</v>
      </c>
      <c r="C1494" s="792" t="s">
        <v>1666</v>
      </c>
      <c r="D1494" s="13" t="s">
        <v>1666</v>
      </c>
      <c r="E1494" s="220" t="s">
        <v>1666</v>
      </c>
      <c r="F1494" s="220" t="s">
        <v>1666</v>
      </c>
      <c r="G1494" s="220" t="s">
        <v>1666</v>
      </c>
      <c r="H1494" s="220" t="s">
        <v>1666</v>
      </c>
    </row>
    <row r="1495" spans="1:8" ht="12.75">
      <c r="A1495" s="24" t="s">
        <v>2768</v>
      </c>
      <c r="B1495" s="14" t="s">
        <v>2832</v>
      </c>
      <c r="C1495" s="792" t="s">
        <v>1666</v>
      </c>
      <c r="D1495" s="13" t="s">
        <v>1666</v>
      </c>
      <c r="E1495" s="220" t="s">
        <v>1666</v>
      </c>
      <c r="F1495" s="220" t="s">
        <v>1666</v>
      </c>
      <c r="G1495" s="220" t="s">
        <v>1666</v>
      </c>
      <c r="H1495" s="220" t="s">
        <v>1666</v>
      </c>
    </row>
    <row r="1496" spans="1:8" ht="12.75">
      <c r="A1496" s="24" t="s">
        <v>2768</v>
      </c>
      <c r="B1496" s="14" t="s">
        <v>2832</v>
      </c>
      <c r="C1496" s="792">
        <v>1.0370646920954931</v>
      </c>
      <c r="D1496" s="809" t="s">
        <v>2838</v>
      </c>
      <c r="E1496" s="461">
        <v>2.2073766211046637E-2</v>
      </c>
      <c r="F1496" s="461">
        <v>8.7246004352723297E-2</v>
      </c>
      <c r="G1496" s="461">
        <v>5.8202330775582959E-4</v>
      </c>
      <c r="H1496" s="461">
        <v>2.670351142205461E-3</v>
      </c>
    </row>
    <row r="1497" spans="1:8" ht="12.75">
      <c r="A1497" s="24" t="s">
        <v>2768</v>
      </c>
      <c r="B1497" s="14" t="s">
        <v>2832</v>
      </c>
      <c r="C1497" s="792">
        <v>1.0370646920954931</v>
      </c>
      <c r="D1497" s="458" t="s">
        <v>1166</v>
      </c>
      <c r="E1497" s="12">
        <v>2.5425965018094099E-4</v>
      </c>
      <c r="F1497" s="12">
        <v>2.999770886532045E-3</v>
      </c>
      <c r="G1497" s="12">
        <v>1.7349999999999998E-5</v>
      </c>
      <c r="H1497" s="12">
        <v>1.4881214836240498E-5</v>
      </c>
    </row>
    <row r="1498" spans="1:8" ht="12.75">
      <c r="A1498" s="24" t="s">
        <v>2768</v>
      </c>
      <c r="B1498" s="14" t="s">
        <v>2832</v>
      </c>
      <c r="C1498" s="792" t="s">
        <v>1666</v>
      </c>
      <c r="D1498" s="13" t="s">
        <v>1666</v>
      </c>
      <c r="E1498" s="220" t="s">
        <v>1666</v>
      </c>
      <c r="F1498" s="220" t="s">
        <v>1666</v>
      </c>
      <c r="G1498" s="220" t="s">
        <v>1666</v>
      </c>
      <c r="H1498" s="220" t="s">
        <v>1666</v>
      </c>
    </row>
    <row r="1499" spans="1:8" ht="12.75">
      <c r="A1499" s="24" t="s">
        <v>2768</v>
      </c>
      <c r="B1499" s="14" t="s">
        <v>2832</v>
      </c>
      <c r="C1499" s="792" t="s">
        <v>1666</v>
      </c>
      <c r="D1499" s="13" t="s">
        <v>1666</v>
      </c>
      <c r="E1499" s="220" t="s">
        <v>1666</v>
      </c>
      <c r="F1499" s="220" t="s">
        <v>1666</v>
      </c>
      <c r="G1499" s="220" t="s">
        <v>1666</v>
      </c>
      <c r="H1499" s="220" t="s">
        <v>1666</v>
      </c>
    </row>
    <row r="1500" spans="1:8" ht="12.75">
      <c r="A1500" s="24" t="s">
        <v>2768</v>
      </c>
      <c r="B1500" s="14" t="s">
        <v>2832</v>
      </c>
      <c r="C1500" s="792" t="s">
        <v>1666</v>
      </c>
      <c r="D1500" s="13" t="s">
        <v>1666</v>
      </c>
      <c r="E1500" s="220" t="s">
        <v>1666</v>
      </c>
      <c r="F1500" s="220" t="s">
        <v>1666</v>
      </c>
      <c r="G1500" s="220" t="s">
        <v>1666</v>
      </c>
      <c r="H1500" s="220" t="s">
        <v>1666</v>
      </c>
    </row>
    <row r="1501" spans="1:8" ht="12.75">
      <c r="A1501" s="24" t="s">
        <v>2768</v>
      </c>
      <c r="B1501" s="14" t="s">
        <v>2832</v>
      </c>
      <c r="C1501" s="792" t="s">
        <v>1666</v>
      </c>
      <c r="D1501" s="13" t="s">
        <v>1666</v>
      </c>
      <c r="E1501" s="220" t="s">
        <v>1666</v>
      </c>
      <c r="F1501" s="220" t="s">
        <v>1666</v>
      </c>
      <c r="G1501" s="220" t="s">
        <v>1666</v>
      </c>
      <c r="H1501" s="220" t="s">
        <v>1666</v>
      </c>
    </row>
    <row r="1502" spans="1:8" ht="12.75">
      <c r="A1502" s="24" t="s">
        <v>2768</v>
      </c>
      <c r="B1502" s="14" t="s">
        <v>2832</v>
      </c>
      <c r="C1502" s="792" t="s">
        <v>1666</v>
      </c>
      <c r="D1502" s="13" t="s">
        <v>1666</v>
      </c>
      <c r="E1502" s="220" t="s">
        <v>1666</v>
      </c>
      <c r="F1502" s="220" t="s">
        <v>1666</v>
      </c>
      <c r="G1502" s="220" t="s">
        <v>1666</v>
      </c>
      <c r="H1502" s="220" t="s">
        <v>1666</v>
      </c>
    </row>
    <row r="1503" spans="1:8" ht="12.75">
      <c r="A1503" s="24" t="s">
        <v>2768</v>
      </c>
      <c r="B1503" s="14" t="s">
        <v>2832</v>
      </c>
      <c r="C1503" s="792" t="s">
        <v>1666</v>
      </c>
      <c r="D1503" s="13" t="s">
        <v>1666</v>
      </c>
      <c r="E1503" s="220" t="s">
        <v>1666</v>
      </c>
      <c r="F1503" s="220" t="s">
        <v>1666</v>
      </c>
      <c r="G1503" s="220" t="s">
        <v>1666</v>
      </c>
      <c r="H1503" s="220" t="s">
        <v>1666</v>
      </c>
    </row>
    <row r="1504" spans="1:8" ht="12.75">
      <c r="A1504" s="24" t="s">
        <v>2768</v>
      </c>
      <c r="B1504" s="14" t="s">
        <v>2832</v>
      </c>
      <c r="C1504" s="792">
        <v>0.51853234604774656</v>
      </c>
      <c r="D1504" s="458" t="s">
        <v>1165</v>
      </c>
      <c r="E1504" s="12">
        <v>3.1660297063617504E-2</v>
      </c>
      <c r="F1504" s="12">
        <v>0.3735301190055475</v>
      </c>
      <c r="G1504" s="12">
        <v>2.1604141815772032E-3</v>
      </c>
      <c r="H1504" s="12">
        <v>1.8530021654934324E-3</v>
      </c>
    </row>
    <row r="1505" spans="1:8" ht="12.75">
      <c r="A1505" s="24" t="s">
        <v>2768</v>
      </c>
      <c r="B1505" s="14" t="s">
        <v>2832</v>
      </c>
      <c r="C1505" s="792">
        <v>0.20741293841909861</v>
      </c>
      <c r="D1505" s="18" t="s">
        <v>2775</v>
      </c>
      <c r="E1505" s="12">
        <v>8.22790593034603E-2</v>
      </c>
      <c r="F1505" s="12">
        <v>0.15758024213268212</v>
      </c>
      <c r="G1505" s="12">
        <v>9.7596766979824417E-6</v>
      </c>
      <c r="H1505" s="12">
        <v>3.6045161743415983E-3</v>
      </c>
    </row>
    <row r="1506" spans="1:8" ht="12.75">
      <c r="A1506" s="24" t="s">
        <v>2768</v>
      </c>
      <c r="B1506" s="14" t="s">
        <v>2832</v>
      </c>
      <c r="C1506" s="792" t="s">
        <v>1666</v>
      </c>
      <c r="D1506" s="13" t="s">
        <v>1666</v>
      </c>
      <c r="E1506" s="220" t="s">
        <v>1666</v>
      </c>
      <c r="F1506" s="220" t="s">
        <v>1666</v>
      </c>
      <c r="G1506" s="220" t="s">
        <v>1666</v>
      </c>
      <c r="H1506" s="220" t="s">
        <v>1666</v>
      </c>
    </row>
    <row r="1507" spans="1:8" ht="12.75">
      <c r="A1507" s="24" t="s">
        <v>2768</v>
      </c>
      <c r="B1507" s="14" t="s">
        <v>2832</v>
      </c>
      <c r="C1507" s="792">
        <v>0.15555970381432396</v>
      </c>
      <c r="D1507" s="18" t="s">
        <v>350</v>
      </c>
      <c r="E1507" s="12">
        <v>7.6923076923076919E-3</v>
      </c>
      <c r="F1507" s="12">
        <v>0.183</v>
      </c>
      <c r="G1507" s="12">
        <v>2.8673068893528183E-4</v>
      </c>
      <c r="H1507" s="12">
        <v>1.4770983615231311E-3</v>
      </c>
    </row>
    <row r="1508" spans="1:8" ht="12.75">
      <c r="A1508" s="24" t="s">
        <v>2768</v>
      </c>
      <c r="B1508" s="14" t="s">
        <v>2832</v>
      </c>
      <c r="C1508" s="792">
        <v>0.15555970381432396</v>
      </c>
      <c r="D1508" s="458" t="s">
        <v>2839</v>
      </c>
      <c r="E1508" s="12">
        <v>7.8041307047035744E-3</v>
      </c>
      <c r="F1508" s="12">
        <v>3.1555215464803207E-2</v>
      </c>
      <c r="G1508" s="12">
        <v>4.3460601137286752E-4</v>
      </c>
      <c r="H1508" s="12">
        <v>1.280508903681073E-3</v>
      </c>
    </row>
    <row r="1509" spans="1:8" ht="12.75">
      <c r="A1509" s="24" t="s">
        <v>2768</v>
      </c>
      <c r="B1509" s="14" t="s">
        <v>2832</v>
      </c>
      <c r="C1509" s="792" t="s">
        <v>1666</v>
      </c>
      <c r="D1509" s="13" t="s">
        <v>1666</v>
      </c>
      <c r="E1509" s="220" t="s">
        <v>1666</v>
      </c>
      <c r="F1509" s="220" t="s">
        <v>1666</v>
      </c>
      <c r="G1509" s="220" t="s">
        <v>1666</v>
      </c>
      <c r="H1509" s="220" t="s">
        <v>1666</v>
      </c>
    </row>
    <row r="1510" spans="1:8" ht="12.75">
      <c r="A1510" s="794" t="s">
        <v>2768</v>
      </c>
      <c r="B1510" s="617" t="s">
        <v>2832</v>
      </c>
      <c r="C1510" s="455">
        <v>0.1037064692095493</v>
      </c>
      <c r="D1510" s="821" t="s">
        <v>311</v>
      </c>
      <c r="E1510" s="635">
        <v>5.5052259063149899E-3</v>
      </c>
      <c r="F1510" s="635">
        <v>8.2856018088169489E-2</v>
      </c>
      <c r="G1510" s="635">
        <v>3.8159999999999999E-3</v>
      </c>
      <c r="H1510" s="635">
        <v>1.8959770013580487E-3</v>
      </c>
    </row>
    <row r="1511" spans="1:8" ht="12.75">
      <c r="A1511" s="24" t="s">
        <v>2768</v>
      </c>
      <c r="B1511" s="14" t="s">
        <v>2840</v>
      </c>
      <c r="C1511" s="792">
        <v>91.635030763188865</v>
      </c>
      <c r="D1511" s="18" t="s">
        <v>124</v>
      </c>
      <c r="E1511" s="12">
        <v>3.9416473933649287E-3</v>
      </c>
      <c r="F1511" s="12">
        <v>1.1589150710900475E-2</v>
      </c>
      <c r="G1511" s="12">
        <v>7.7264934597156404E-5</v>
      </c>
      <c r="H1511" s="12">
        <v>7.2702369668246447E-4</v>
      </c>
    </row>
    <row r="1512" spans="1:8" ht="12.75">
      <c r="A1512" s="24" t="s">
        <v>2768</v>
      </c>
      <c r="B1512" s="14" t="s">
        <v>2840</v>
      </c>
      <c r="C1512" s="810">
        <v>23.602360236023614</v>
      </c>
      <c r="D1512" s="456" t="s">
        <v>72</v>
      </c>
      <c r="E1512" s="457">
        <v>0</v>
      </c>
      <c r="F1512" s="457">
        <v>0</v>
      </c>
      <c r="G1512" s="457">
        <v>0</v>
      </c>
      <c r="H1512" s="457">
        <v>0</v>
      </c>
    </row>
    <row r="1513" spans="1:8" ht="12.75">
      <c r="A1513" s="24" t="s">
        <v>2768</v>
      </c>
      <c r="B1513" s="14" t="s">
        <v>2840</v>
      </c>
      <c r="C1513" s="792">
        <v>1.3090718680455553</v>
      </c>
      <c r="D1513" s="18" t="s">
        <v>433</v>
      </c>
      <c r="E1513" s="12">
        <v>3.0104466724907065E-4</v>
      </c>
      <c r="F1513" s="12">
        <v>1.2500000000000001E-2</v>
      </c>
      <c r="G1513" s="12">
        <v>5.1818181818181835E-4</v>
      </c>
      <c r="H1513" s="12">
        <v>4.0084080366977777E-4</v>
      </c>
    </row>
    <row r="1514" spans="1:8" ht="12.75">
      <c r="A1514" s="24" t="s">
        <v>2768</v>
      </c>
      <c r="B1514" s="14" t="s">
        <v>2840</v>
      </c>
      <c r="C1514" s="792">
        <v>1.439979054850111</v>
      </c>
      <c r="D1514" s="18" t="s">
        <v>340</v>
      </c>
      <c r="E1514" s="12">
        <v>2.1708241661196198E-2</v>
      </c>
      <c r="F1514" s="12">
        <v>0.36572952458380198</v>
      </c>
      <c r="G1514" s="12">
        <v>4.6350652173913045E-4</v>
      </c>
      <c r="H1514" s="12">
        <v>1.6975608035415088E-3</v>
      </c>
    </row>
    <row r="1515" spans="1:8" ht="12.75">
      <c r="A1515" s="24" t="s">
        <v>2768</v>
      </c>
      <c r="B1515" s="14" t="s">
        <v>2840</v>
      </c>
      <c r="C1515" s="792">
        <v>1.439979054850111</v>
      </c>
      <c r="D1515" s="18" t="s">
        <v>81</v>
      </c>
      <c r="E1515" s="12">
        <v>1.9912385503783353E-2</v>
      </c>
      <c r="F1515" s="12">
        <v>5.6949422540820388E-2</v>
      </c>
      <c r="G1515" s="12">
        <v>3.8829151732377542E-3</v>
      </c>
      <c r="H1515" s="12">
        <v>5.6321186778176026E-3</v>
      </c>
    </row>
    <row r="1516" spans="1:8" ht="12.75">
      <c r="A1516" s="24" t="s">
        <v>2768</v>
      </c>
      <c r="B1516" s="14" t="s">
        <v>2840</v>
      </c>
      <c r="C1516" s="792">
        <v>1.3090718680455553</v>
      </c>
      <c r="D1516" s="18" t="s">
        <v>424</v>
      </c>
      <c r="E1516" s="12">
        <v>0.2509573149461517</v>
      </c>
      <c r="F1516" s="12">
        <v>0.48063158219067315</v>
      </c>
      <c r="G1516" s="12">
        <v>2.9767747463359634E-5</v>
      </c>
      <c r="H1516" s="12">
        <v>1.0994045246148063E-2</v>
      </c>
    </row>
    <row r="1517" spans="1:8" ht="12.75">
      <c r="A1517" s="24" t="s">
        <v>2768</v>
      </c>
      <c r="B1517" s="14" t="s">
        <v>2840</v>
      </c>
      <c r="C1517" s="792">
        <v>1.439979054850111</v>
      </c>
      <c r="D1517" s="18" t="s">
        <v>2532</v>
      </c>
      <c r="E1517" s="12">
        <v>4.0401172748815169E-2</v>
      </c>
      <c r="F1517" s="12">
        <v>0.11878669834123222</v>
      </c>
      <c r="G1517" s="12">
        <v>7.919516026066351E-4</v>
      </c>
      <c r="H1517" s="12">
        <v>7.4518613744075819E-3</v>
      </c>
    </row>
    <row r="1518" spans="1:8" ht="12.75">
      <c r="A1518" s="24" t="s">
        <v>2768</v>
      </c>
      <c r="B1518" s="14" t="s">
        <v>2840</v>
      </c>
      <c r="C1518" s="792">
        <v>0.57599162194004427</v>
      </c>
      <c r="D1518" s="18" t="s">
        <v>2683</v>
      </c>
      <c r="E1518" s="12">
        <v>2.9691872042618299E-2</v>
      </c>
      <c r="F1518" s="12">
        <v>7.5368545517799299E-2</v>
      </c>
      <c r="G1518" s="12">
        <v>2.9014018691588786E-4</v>
      </c>
      <c r="H1518" s="12">
        <v>1.4770983615231311E-3</v>
      </c>
    </row>
    <row r="1519" spans="1:8" ht="12.75">
      <c r="A1519" s="24" t="s">
        <v>2768</v>
      </c>
      <c r="B1519" s="14" t="s">
        <v>2840</v>
      </c>
      <c r="C1519" s="792">
        <v>0.19636078020683331</v>
      </c>
      <c r="D1519" s="18" t="s">
        <v>425</v>
      </c>
      <c r="E1519" s="12">
        <v>3.8102374934982654E-3</v>
      </c>
      <c r="F1519" s="12">
        <v>0.20470422547079484</v>
      </c>
      <c r="G1519" s="12">
        <v>1.210810810810811E-4</v>
      </c>
      <c r="H1519" s="12">
        <v>1.0002400855855065E-3</v>
      </c>
    </row>
    <row r="1520" spans="1:8" ht="12.75">
      <c r="A1520" s="24" t="s">
        <v>2768</v>
      </c>
      <c r="B1520" s="14" t="s">
        <v>2840</v>
      </c>
      <c r="C1520" s="779" t="s">
        <v>1666</v>
      </c>
      <c r="D1520" s="13" t="s">
        <v>1666</v>
      </c>
      <c r="E1520" s="220" t="s">
        <v>1666</v>
      </c>
      <c r="F1520" s="220" t="s">
        <v>1666</v>
      </c>
      <c r="G1520" s="220" t="s">
        <v>1666</v>
      </c>
      <c r="H1520" s="220" t="s">
        <v>1666</v>
      </c>
    </row>
    <row r="1521" spans="1:8" ht="12.75">
      <c r="A1521" s="24" t="s">
        <v>2768</v>
      </c>
      <c r="B1521" s="14" t="s">
        <v>2840</v>
      </c>
      <c r="C1521" s="792">
        <v>0.13090718680455554</v>
      </c>
      <c r="D1521" s="809" t="s">
        <v>2841</v>
      </c>
      <c r="E1521" s="461">
        <v>2.2073766211046637E-2</v>
      </c>
      <c r="F1521" s="461">
        <v>8.7246004352723297E-2</v>
      </c>
      <c r="G1521" s="461">
        <v>5.8202330775582959E-4</v>
      </c>
      <c r="H1521" s="461">
        <v>2.670351142205461E-3</v>
      </c>
    </row>
    <row r="1522" spans="1:8" ht="12.75">
      <c r="A1522" s="24" t="s">
        <v>2768</v>
      </c>
      <c r="B1522" s="14" t="s">
        <v>2840</v>
      </c>
      <c r="C1522" s="792">
        <v>0.13090718680455554</v>
      </c>
      <c r="D1522" s="18" t="s">
        <v>301</v>
      </c>
      <c r="E1522" s="12">
        <v>4.7062756261925113E-3</v>
      </c>
      <c r="F1522" s="12">
        <v>3.8210906557435767E-2</v>
      </c>
      <c r="G1522" s="12">
        <v>7.6086956521739124E-5</v>
      </c>
      <c r="H1522" s="12">
        <v>5.9908272287602653E-4</v>
      </c>
    </row>
    <row r="1523" spans="1:8" ht="12.75">
      <c r="A1523" s="24" t="s">
        <v>2768</v>
      </c>
      <c r="B1523" s="14" t="s">
        <v>2840</v>
      </c>
      <c r="C1523" s="792">
        <v>0.13090718680455554</v>
      </c>
      <c r="D1523" s="18" t="s">
        <v>227</v>
      </c>
      <c r="E1523" s="12">
        <v>2.5055367220000002E-3</v>
      </c>
      <c r="F1523" s="12">
        <v>3.8459841414181101E-2</v>
      </c>
      <c r="G1523" s="12">
        <v>1.1035422343324251E-4</v>
      </c>
      <c r="H1523" s="12">
        <v>8.109653861711444E-4</v>
      </c>
    </row>
    <row r="1524" spans="1:8" ht="12.75">
      <c r="A1524" s="24" t="s">
        <v>2768</v>
      </c>
      <c r="B1524" s="14" t="s">
        <v>2840</v>
      </c>
      <c r="C1524" s="792">
        <v>0.13090718680455554</v>
      </c>
      <c r="D1524" s="18" t="s">
        <v>2658</v>
      </c>
      <c r="E1524" s="12">
        <v>5.0851930036188197E-3</v>
      </c>
      <c r="F1524" s="12">
        <v>5.9995417730640897E-2</v>
      </c>
      <c r="G1524" s="12">
        <v>3.4699999999999998E-4</v>
      </c>
      <c r="H1524" s="12">
        <v>2.9762429672480995E-4</v>
      </c>
    </row>
    <row r="1525" spans="1:8" ht="12.75">
      <c r="A1525" s="794" t="s">
        <v>2768</v>
      </c>
      <c r="B1525" s="617" t="s">
        <v>2840</v>
      </c>
      <c r="C1525" s="455">
        <v>0.13090718680455554</v>
      </c>
      <c r="D1525" s="793" t="s">
        <v>438</v>
      </c>
      <c r="E1525" s="635">
        <v>0</v>
      </c>
      <c r="F1525" s="635">
        <v>0</v>
      </c>
      <c r="G1525" s="635">
        <v>0</v>
      </c>
      <c r="H1525" s="635">
        <v>0</v>
      </c>
    </row>
    <row r="1526" spans="1:8" ht="12.75">
      <c r="A1526" s="24" t="s">
        <v>2768</v>
      </c>
      <c r="B1526" s="14" t="s">
        <v>2842</v>
      </c>
      <c r="C1526" s="796">
        <v>75.228371843095118</v>
      </c>
      <c r="D1526" s="456" t="s">
        <v>72</v>
      </c>
      <c r="E1526" s="457">
        <v>0</v>
      </c>
      <c r="F1526" s="457">
        <v>0</v>
      </c>
      <c r="G1526" s="457">
        <v>0</v>
      </c>
      <c r="H1526" s="457">
        <v>0</v>
      </c>
    </row>
    <row r="1527" spans="1:8" ht="12.75">
      <c r="A1527" s="24" t="s">
        <v>2768</v>
      </c>
      <c r="B1527" s="14" t="s">
        <v>2842</v>
      </c>
      <c r="C1527" s="792">
        <v>17.35357917570499</v>
      </c>
      <c r="D1527" s="18" t="s">
        <v>433</v>
      </c>
      <c r="E1527" s="12">
        <v>3.0104466724907065E-4</v>
      </c>
      <c r="F1527" s="12">
        <v>1.2500000000000001E-2</v>
      </c>
      <c r="G1527" s="12">
        <v>5.1818181818181835E-4</v>
      </c>
      <c r="H1527" s="12">
        <v>4.0084080366977777E-4</v>
      </c>
    </row>
    <row r="1528" spans="1:8" ht="12.75">
      <c r="A1528" s="24" t="s">
        <v>2768</v>
      </c>
      <c r="B1528" s="14" t="s">
        <v>2842</v>
      </c>
      <c r="C1528" s="792">
        <v>16.268980477223426</v>
      </c>
      <c r="D1528" s="18" t="s">
        <v>2525</v>
      </c>
      <c r="E1528" s="12">
        <v>3.8102374934982654E-3</v>
      </c>
      <c r="F1528" s="12">
        <v>0.20470422547079484</v>
      </c>
      <c r="G1528" s="12">
        <v>1.210810810810811E-4</v>
      </c>
      <c r="H1528" s="12">
        <v>1.0002400855855065E-3</v>
      </c>
    </row>
    <row r="1529" spans="1:8" ht="12.75">
      <c r="A1529" s="24" t="s">
        <v>2768</v>
      </c>
      <c r="B1529" s="14" t="s">
        <v>2842</v>
      </c>
      <c r="C1529" s="792">
        <v>21.691973969631242</v>
      </c>
      <c r="D1529" s="18" t="s">
        <v>2530</v>
      </c>
      <c r="E1529" s="12">
        <v>2.5055367220000002E-3</v>
      </c>
      <c r="F1529" s="12">
        <v>3.8459841414181101E-2</v>
      </c>
      <c r="G1529" s="12">
        <v>1.1035422343324251E-4</v>
      </c>
      <c r="H1529" s="12">
        <v>8.109653861711444E-4</v>
      </c>
    </row>
    <row r="1530" spans="1:8" ht="12.75">
      <c r="A1530" s="24" t="s">
        <v>2768</v>
      </c>
      <c r="B1530" s="14" t="s">
        <v>2842</v>
      </c>
      <c r="C1530" s="792">
        <v>18.221258134490238</v>
      </c>
      <c r="D1530" s="18" t="s">
        <v>121</v>
      </c>
      <c r="E1530" s="12">
        <v>4.1127278199052132E-2</v>
      </c>
      <c r="F1530" s="12">
        <v>0.12092157867298578</v>
      </c>
      <c r="G1530" s="12">
        <v>8.0618486208530824E-4</v>
      </c>
      <c r="H1530" s="12">
        <v>7.5857890995260661E-3</v>
      </c>
    </row>
    <row r="1531" spans="1:8" ht="12.75">
      <c r="A1531" s="24" t="s">
        <v>2768</v>
      </c>
      <c r="B1531" s="14" t="s">
        <v>2842</v>
      </c>
      <c r="C1531" s="792">
        <v>5.4229934924078105</v>
      </c>
      <c r="D1531" s="18" t="s">
        <v>346</v>
      </c>
      <c r="E1531" s="12">
        <v>2.9691872042618299E-2</v>
      </c>
      <c r="F1531" s="12">
        <v>7.5368545517799299E-2</v>
      </c>
      <c r="G1531" s="12">
        <v>2.9014018691588786E-4</v>
      </c>
      <c r="H1531" s="12">
        <v>1.4770983615231311E-3</v>
      </c>
    </row>
    <row r="1532" spans="1:8" ht="12.75">
      <c r="A1532" s="24" t="s">
        <v>2768</v>
      </c>
      <c r="B1532" s="14" t="s">
        <v>2842</v>
      </c>
      <c r="C1532" s="792">
        <v>9.1106290672451191</v>
      </c>
      <c r="D1532" s="18" t="s">
        <v>301</v>
      </c>
      <c r="E1532" s="12">
        <v>4.7062756261925113E-3</v>
      </c>
      <c r="F1532" s="12">
        <v>3.8210906557435767E-2</v>
      </c>
      <c r="G1532" s="12">
        <v>7.6086956521739124E-5</v>
      </c>
      <c r="H1532" s="12">
        <v>5.9908272287602653E-4</v>
      </c>
    </row>
    <row r="1533" spans="1:8" ht="12.75">
      <c r="A1533" s="24" t="s">
        <v>2768</v>
      </c>
      <c r="B1533" s="14" t="s">
        <v>2842</v>
      </c>
      <c r="C1533" s="792">
        <v>9.1106290672451191</v>
      </c>
      <c r="D1533" s="18" t="s">
        <v>424</v>
      </c>
      <c r="E1533" s="12">
        <v>0.2509573149461517</v>
      </c>
      <c r="F1533" s="12">
        <v>0.48063158219067315</v>
      </c>
      <c r="G1533" s="12">
        <v>2.9767747463359634E-5</v>
      </c>
      <c r="H1533" s="12">
        <v>1.0994045246148063E-2</v>
      </c>
    </row>
    <row r="1534" spans="1:8" ht="12.75">
      <c r="A1534" s="24" t="s">
        <v>2768</v>
      </c>
      <c r="B1534" s="14" t="s">
        <v>2842</v>
      </c>
      <c r="C1534" s="792">
        <v>1.7353579175704992</v>
      </c>
      <c r="D1534" s="18" t="s">
        <v>340</v>
      </c>
      <c r="E1534" s="12">
        <v>2.1708241661196198E-2</v>
      </c>
      <c r="F1534" s="12">
        <v>0.36572952458380198</v>
      </c>
      <c r="G1534" s="12">
        <v>4.6350652173913045E-4</v>
      </c>
      <c r="H1534" s="12">
        <v>1.6975608035415088E-3</v>
      </c>
    </row>
    <row r="1535" spans="1:8" ht="12.75">
      <c r="A1535" s="794" t="s">
        <v>2768</v>
      </c>
      <c r="B1535" s="617" t="s">
        <v>2842</v>
      </c>
      <c r="C1535" s="455">
        <v>1.0845986984815619</v>
      </c>
      <c r="D1535" s="793" t="s">
        <v>2689</v>
      </c>
      <c r="E1535" s="635">
        <v>5.2419900086202897E-2</v>
      </c>
      <c r="F1535" s="635">
        <v>2.8162483479607547</v>
      </c>
      <c r="G1535" s="635">
        <v>1.6256511627906977E-3</v>
      </c>
      <c r="H1535" s="635">
        <v>1.194650084062842E-2</v>
      </c>
    </row>
    <row r="1536" spans="1:8" ht="12.75">
      <c r="A1536" s="24" t="s">
        <v>2768</v>
      </c>
      <c r="B1536" s="14" t="s">
        <v>2843</v>
      </c>
      <c r="C1536" s="792">
        <v>86.223984142715565</v>
      </c>
      <c r="D1536" s="18" t="s">
        <v>2844</v>
      </c>
      <c r="E1536" s="12">
        <v>5.0851930036188197E-3</v>
      </c>
      <c r="F1536" s="12">
        <v>5.9995417730640897E-2</v>
      </c>
      <c r="G1536" s="12">
        <v>3.4699999999999998E-4</v>
      </c>
      <c r="H1536" s="12">
        <v>2.9762429672480995E-4</v>
      </c>
    </row>
    <row r="1537" spans="1:8" ht="12.75">
      <c r="A1537" s="24" t="s">
        <v>2768</v>
      </c>
      <c r="B1537" s="14" t="s">
        <v>2843</v>
      </c>
      <c r="C1537" s="792">
        <v>4.9554013875123886</v>
      </c>
      <c r="D1537" s="18" t="s">
        <v>425</v>
      </c>
      <c r="E1537" s="12">
        <v>3.8102374934982654E-3</v>
      </c>
      <c r="F1537" s="12">
        <v>0.20470422547079484</v>
      </c>
      <c r="G1537" s="12">
        <v>1.210810810810811E-4</v>
      </c>
      <c r="H1537" s="12">
        <v>1.0002400855855065E-3</v>
      </c>
    </row>
    <row r="1538" spans="1:8" ht="12.75">
      <c r="A1538" s="24" t="s">
        <v>2768</v>
      </c>
      <c r="B1538" s="14" t="s">
        <v>2843</v>
      </c>
      <c r="C1538" s="792">
        <v>3.9643211100099109</v>
      </c>
      <c r="D1538" s="18" t="s">
        <v>83</v>
      </c>
      <c r="E1538" s="12">
        <v>0</v>
      </c>
      <c r="F1538" s="12">
        <v>0</v>
      </c>
      <c r="G1538" s="12">
        <v>0</v>
      </c>
      <c r="H1538" s="12">
        <v>0</v>
      </c>
    </row>
    <row r="1539" spans="1:8" ht="12.75">
      <c r="A1539" s="24" t="s">
        <v>2768</v>
      </c>
      <c r="B1539" s="14" t="s">
        <v>2843</v>
      </c>
      <c r="C1539" s="792">
        <v>1.2884043607532212</v>
      </c>
      <c r="D1539" s="18" t="s">
        <v>340</v>
      </c>
      <c r="E1539" s="12">
        <v>2.1708241661196198E-2</v>
      </c>
      <c r="F1539" s="12">
        <v>0.36572952458380198</v>
      </c>
      <c r="G1539" s="12">
        <v>4.6350652173913045E-4</v>
      </c>
      <c r="H1539" s="12">
        <v>1.6975608035415088E-3</v>
      </c>
    </row>
    <row r="1540" spans="1:8" ht="12.75">
      <c r="A1540" s="24" t="s">
        <v>2768</v>
      </c>
      <c r="B1540" s="14" t="s">
        <v>2843</v>
      </c>
      <c r="C1540" s="792">
        <v>1.2884043607532212</v>
      </c>
      <c r="D1540" s="18" t="s">
        <v>2689</v>
      </c>
      <c r="E1540" s="12">
        <v>5.2419900086202897E-2</v>
      </c>
      <c r="F1540" s="12">
        <v>2.8162483479607547</v>
      </c>
      <c r="G1540" s="12">
        <v>1.6256511627906977E-3</v>
      </c>
      <c r="H1540" s="12">
        <v>1.194650084062842E-2</v>
      </c>
    </row>
    <row r="1541" spans="1:8" ht="12.75">
      <c r="A1541" s="24" t="s">
        <v>2768</v>
      </c>
      <c r="B1541" s="14" t="s">
        <v>2843</v>
      </c>
      <c r="C1541" s="792">
        <v>1.2884043607532212</v>
      </c>
      <c r="D1541" s="18" t="s">
        <v>86</v>
      </c>
      <c r="E1541" s="12">
        <v>0</v>
      </c>
      <c r="F1541" s="12">
        <v>0</v>
      </c>
      <c r="G1541" s="12">
        <v>0</v>
      </c>
      <c r="H1541" s="12">
        <v>0</v>
      </c>
    </row>
    <row r="1542" spans="1:8" ht="12.75">
      <c r="A1542" s="794" t="s">
        <v>2768</v>
      </c>
      <c r="B1542" s="617" t="s">
        <v>2843</v>
      </c>
      <c r="C1542" s="455">
        <v>0.99108027750247774</v>
      </c>
      <c r="D1542" s="793" t="s">
        <v>2662</v>
      </c>
      <c r="E1542" s="635">
        <v>6.399192301960112E-3</v>
      </c>
      <c r="F1542" s="635">
        <v>0.12411340117772937</v>
      </c>
      <c r="G1542" s="635">
        <v>9.8749999999999988E-5</v>
      </c>
      <c r="H1542" s="635">
        <v>3.8580927353216109E-4</v>
      </c>
    </row>
    <row r="1543" spans="1:8" ht="12.75">
      <c r="A1543" s="799" t="s">
        <v>2768</v>
      </c>
      <c r="B1543" s="617" t="s">
        <v>2845</v>
      </c>
      <c r="C1543" s="455">
        <v>100</v>
      </c>
      <c r="D1543" s="793" t="s">
        <v>2846</v>
      </c>
      <c r="E1543" s="12">
        <v>3.8427539589960401E-3</v>
      </c>
      <c r="F1543" s="12">
        <v>1.5537788094869101E-2</v>
      </c>
      <c r="G1543" s="12">
        <v>2.14E-4</v>
      </c>
      <c r="H1543" s="12">
        <v>5.7320234924778215E-4</v>
      </c>
    </row>
    <row r="1544" spans="1:8" ht="12.75">
      <c r="A1544" s="805" t="s">
        <v>2768</v>
      </c>
      <c r="B1544" s="753" t="s">
        <v>2847</v>
      </c>
      <c r="C1544" s="807">
        <v>100</v>
      </c>
      <c r="D1544" s="806" t="s">
        <v>2688</v>
      </c>
      <c r="E1544" s="804">
        <v>3.2210986719999998E-3</v>
      </c>
      <c r="F1544" s="804">
        <v>3.9434345900000001E-2</v>
      </c>
      <c r="G1544" s="804">
        <v>2.4510000000000001E-3</v>
      </c>
      <c r="H1544" s="804">
        <v>9.0389601229999995E-4</v>
      </c>
    </row>
    <row r="1545" spans="1:8" ht="12.75">
      <c r="A1545" s="13" t="s">
        <v>2768</v>
      </c>
      <c r="B1545" s="14" t="s">
        <v>2848</v>
      </c>
      <c r="C1545" s="792">
        <v>26</v>
      </c>
      <c r="D1545" s="18" t="s">
        <v>2849</v>
      </c>
      <c r="E1545" s="12">
        <v>1.5308726E-2</v>
      </c>
      <c r="F1545" s="12">
        <v>0.61255519650000001</v>
      </c>
      <c r="G1545" s="12">
        <v>9.2100000000000005E-4</v>
      </c>
      <c r="H1545" s="12">
        <v>4.999E-3</v>
      </c>
    </row>
    <row r="1546" spans="1:8" ht="12.75">
      <c r="A1546" s="13" t="s">
        <v>2768</v>
      </c>
      <c r="B1546" s="14" t="s">
        <v>2848</v>
      </c>
      <c r="C1546" s="792">
        <v>14.000000000000002</v>
      </c>
      <c r="D1546" s="18" t="s">
        <v>317</v>
      </c>
      <c r="E1546" s="12">
        <v>7.2492237880000003E-3</v>
      </c>
      <c r="F1546" s="12">
        <v>9.5262392249999994E-2</v>
      </c>
      <c r="G1546" s="12">
        <v>1.4343396226415095E-2</v>
      </c>
      <c r="H1546" s="12">
        <v>2.1214310458372199E-3</v>
      </c>
    </row>
    <row r="1547" spans="1:8" ht="12.75">
      <c r="A1547" s="13" t="s">
        <v>2768</v>
      </c>
      <c r="B1547" s="14" t="s">
        <v>2848</v>
      </c>
      <c r="C1547" s="792">
        <v>37</v>
      </c>
      <c r="D1547" s="18" t="s">
        <v>314</v>
      </c>
      <c r="E1547" s="12">
        <v>5.5052259063149899E-3</v>
      </c>
      <c r="F1547" s="12">
        <v>8.2856018088169489E-2</v>
      </c>
      <c r="G1547" s="12">
        <v>3.8159999999999999E-3</v>
      </c>
      <c r="H1547" s="12">
        <v>1.8959770013580487E-3</v>
      </c>
    </row>
    <row r="1548" spans="1:8" ht="12.75">
      <c r="A1548" s="799" t="s">
        <v>2768</v>
      </c>
      <c r="B1548" s="617" t="s">
        <v>2848</v>
      </c>
      <c r="C1548" s="455">
        <v>23</v>
      </c>
      <c r="D1548" s="793" t="s">
        <v>316</v>
      </c>
      <c r="E1548" s="635">
        <v>3.9377830280000001E-3</v>
      </c>
      <c r="F1548" s="635">
        <v>0.1260090569</v>
      </c>
      <c r="G1548" s="635">
        <v>4.8543689319999998E-5</v>
      </c>
      <c r="H1548" s="635">
        <v>1.6093758267341576E-3</v>
      </c>
    </row>
    <row r="1549" spans="1:8" ht="12.75">
      <c r="A1549" s="24" t="s">
        <v>2768</v>
      </c>
      <c r="B1549" s="14" t="s">
        <v>2850</v>
      </c>
      <c r="C1549" s="792">
        <v>39.049999999999997</v>
      </c>
      <c r="D1549" s="18" t="s">
        <v>2851</v>
      </c>
      <c r="E1549" s="12">
        <v>2.6431432150407948E-3</v>
      </c>
      <c r="F1549" s="12">
        <v>3.578569890523918E-2</v>
      </c>
      <c r="G1549" s="12">
        <v>1.1539641943734014E-3</v>
      </c>
      <c r="H1549" s="12">
        <v>5.0706361664226891E-4</v>
      </c>
    </row>
    <row r="1550" spans="1:8" ht="12.75">
      <c r="A1550" s="24" t="s">
        <v>2768</v>
      </c>
      <c r="B1550" s="14" t="s">
        <v>2850</v>
      </c>
      <c r="C1550" s="792">
        <v>24.76</v>
      </c>
      <c r="D1550" s="18" t="s">
        <v>151</v>
      </c>
      <c r="E1550" s="12">
        <v>2.5076104797634611E-3</v>
      </c>
      <c r="F1550" s="12">
        <v>1.3519026779019229E-2</v>
      </c>
      <c r="G1550" s="12">
        <v>8.1778846153846159E-4</v>
      </c>
      <c r="H1550" s="12">
        <v>1.2200161793711538E-3</v>
      </c>
    </row>
    <row r="1551" spans="1:8" ht="12.75">
      <c r="A1551" s="24" t="s">
        <v>2768</v>
      </c>
      <c r="B1551" s="14" t="s">
        <v>2850</v>
      </c>
      <c r="C1551" s="792">
        <v>22.86</v>
      </c>
      <c r="D1551" s="18" t="s">
        <v>154</v>
      </c>
      <c r="E1551" s="12">
        <v>7.1773844620122602E-3</v>
      </c>
      <c r="F1551" s="12">
        <v>6.7715737224996325E-2</v>
      </c>
      <c r="G1551" s="12">
        <v>2.6813386525249999E-3</v>
      </c>
      <c r="H1551" s="12">
        <v>1.1775586996833334E-3</v>
      </c>
    </row>
    <row r="1552" spans="1:8" ht="12.75">
      <c r="A1552" s="794" t="s">
        <v>2768</v>
      </c>
      <c r="B1552" s="617" t="s">
        <v>2850</v>
      </c>
      <c r="C1552" s="455">
        <v>13.33</v>
      </c>
      <c r="D1552" s="793" t="s">
        <v>189</v>
      </c>
      <c r="E1552" s="635">
        <v>2.4057913847009425E-3</v>
      </c>
      <c r="F1552" s="635">
        <v>2.2292359013166604E-2</v>
      </c>
      <c r="G1552" s="635">
        <v>5.5393612235717495E-4</v>
      </c>
      <c r="H1552" s="635">
        <v>1.9487570785700057E-3</v>
      </c>
    </row>
    <row r="1553" spans="1:8" ht="12.75">
      <c r="A1553" s="13" t="s">
        <v>2768</v>
      </c>
      <c r="B1553" s="14" t="s">
        <v>2852</v>
      </c>
      <c r="C1553" s="792">
        <v>56.999999999999993</v>
      </c>
      <c r="D1553" s="18" t="s">
        <v>1113</v>
      </c>
      <c r="E1553" s="12">
        <v>3.8297066240151499E-4</v>
      </c>
      <c r="F1553" s="12">
        <v>1.2726079536012401E-2</v>
      </c>
      <c r="G1553" s="12">
        <v>1.225E-5</v>
      </c>
      <c r="H1553" s="12">
        <v>1.5432370941286443E-5</v>
      </c>
    </row>
    <row r="1554" spans="1:8" ht="12.75">
      <c r="A1554" s="799" t="s">
        <v>2768</v>
      </c>
      <c r="B1554" s="617" t="s">
        <v>2852</v>
      </c>
      <c r="C1554" s="455">
        <v>43</v>
      </c>
      <c r="D1554" s="793" t="s">
        <v>2853</v>
      </c>
      <c r="E1554" s="635">
        <v>2.5425965018094099E-4</v>
      </c>
      <c r="F1554" s="635">
        <v>2.999770886532045E-3</v>
      </c>
      <c r="G1554" s="635">
        <v>1.7349999999999998E-5</v>
      </c>
      <c r="H1554" s="635">
        <v>1.4881214836240498E-5</v>
      </c>
    </row>
    <row r="1555" spans="1:8" ht="12.75">
      <c r="A1555" s="799" t="s">
        <v>2768</v>
      </c>
      <c r="B1555" s="617" t="s">
        <v>2854</v>
      </c>
      <c r="C1555" s="455">
        <v>100</v>
      </c>
      <c r="D1555" s="793" t="s">
        <v>1166</v>
      </c>
      <c r="E1555" s="635">
        <v>2.5425965018094099E-4</v>
      </c>
      <c r="F1555" s="635">
        <v>2.999770886532045E-3</v>
      </c>
      <c r="G1555" s="635">
        <v>1.7349999999999998E-5</v>
      </c>
      <c r="H1555" s="635">
        <v>1.4881214836240498E-5</v>
      </c>
    </row>
    <row r="1556" spans="1:8" ht="12.75">
      <c r="A1556" s="24" t="s">
        <v>2768</v>
      </c>
      <c r="B1556" s="14" t="s">
        <v>2855</v>
      </c>
      <c r="C1556" s="792">
        <v>35.78663065496287</v>
      </c>
      <c r="D1556" s="18" t="s">
        <v>118</v>
      </c>
      <c r="E1556" s="12">
        <v>5.2598080568720387E-3</v>
      </c>
      <c r="F1556" s="12">
        <v>1.5464779620853082E-2</v>
      </c>
      <c r="G1556" s="12">
        <v>1.0310377488151661E-4</v>
      </c>
      <c r="H1556" s="12">
        <v>9.7015402843601893E-4</v>
      </c>
    </row>
    <row r="1557" spans="1:8" ht="12.75">
      <c r="A1557" s="24" t="s">
        <v>2768</v>
      </c>
      <c r="B1557" s="14" t="s">
        <v>2855</v>
      </c>
      <c r="C1557" s="796">
        <v>43.981148619655897</v>
      </c>
      <c r="D1557" s="456" t="s">
        <v>72</v>
      </c>
      <c r="E1557" s="457">
        <v>0</v>
      </c>
      <c r="F1557" s="457">
        <v>0</v>
      </c>
      <c r="G1557" s="457">
        <v>0</v>
      </c>
      <c r="H1557" s="457">
        <v>0</v>
      </c>
    </row>
    <row r="1558" spans="1:8" ht="12.75">
      <c r="A1558" s="24" t="s">
        <v>2768</v>
      </c>
      <c r="B1558" s="14" t="s">
        <v>2855</v>
      </c>
      <c r="C1558" s="792">
        <v>10.735989196488861</v>
      </c>
      <c r="D1558" s="18" t="s">
        <v>2856</v>
      </c>
      <c r="E1558" s="12">
        <v>3.7811354536082471E-4</v>
      </c>
      <c r="F1558" s="12">
        <v>2.268041237113402E-2</v>
      </c>
      <c r="G1558" s="12">
        <v>4.52688206185567E-6</v>
      </c>
      <c r="H1558" s="12">
        <v>2.1958762886597938E-3</v>
      </c>
    </row>
    <row r="1559" spans="1:8" ht="12.75">
      <c r="A1559" s="24" t="s">
        <v>2768</v>
      </c>
      <c r="B1559" s="14" t="s">
        <v>2855</v>
      </c>
      <c r="C1559" s="792">
        <v>0.42943956785955445</v>
      </c>
      <c r="D1559" s="18" t="s">
        <v>2689</v>
      </c>
      <c r="E1559" s="12">
        <v>5.2419900086202897E-2</v>
      </c>
      <c r="F1559" s="12">
        <v>2.8162483479607547</v>
      </c>
      <c r="G1559" s="12">
        <v>1.6256511627906977E-3</v>
      </c>
      <c r="H1559" s="12">
        <v>1.194650084062842E-2</v>
      </c>
    </row>
    <row r="1560" spans="1:8" ht="12.75">
      <c r="A1560" s="24" t="s">
        <v>2768</v>
      </c>
      <c r="B1560" s="14" t="s">
        <v>2855</v>
      </c>
      <c r="C1560" s="792">
        <v>0.5010128291694802</v>
      </c>
      <c r="D1560" s="18" t="s">
        <v>324</v>
      </c>
      <c r="E1560" s="12">
        <v>1.0652903141570055E-3</v>
      </c>
      <c r="F1560" s="12">
        <v>1.7273631840796021E-2</v>
      </c>
      <c r="G1560" s="12">
        <v>1.3582399999999999E-4</v>
      </c>
      <c r="H1560" s="12">
        <v>2.14E-3</v>
      </c>
    </row>
    <row r="1561" spans="1:8" ht="12.75">
      <c r="A1561" s="24" t="s">
        <v>2768</v>
      </c>
      <c r="B1561" s="14" t="s">
        <v>2855</v>
      </c>
      <c r="C1561" s="792">
        <v>0.5010128291694802</v>
      </c>
      <c r="D1561" s="18" t="s">
        <v>340</v>
      </c>
      <c r="E1561" s="12">
        <v>2.1708241661196198E-2</v>
      </c>
      <c r="F1561" s="12">
        <v>0.36572952458380198</v>
      </c>
      <c r="G1561" s="12">
        <v>4.6350652173913045E-4</v>
      </c>
      <c r="H1561" s="12">
        <v>1.6975608035415088E-3</v>
      </c>
    </row>
    <row r="1562" spans="1:8" ht="12.75">
      <c r="A1562" s="24" t="s">
        <v>2768</v>
      </c>
      <c r="B1562" s="14" t="s">
        <v>2855</v>
      </c>
      <c r="C1562" s="792">
        <v>4.7813957183143359</v>
      </c>
      <c r="D1562" s="18" t="s">
        <v>2857</v>
      </c>
      <c r="E1562" s="12">
        <v>2.9691872042618299E-2</v>
      </c>
      <c r="F1562" s="12">
        <v>7.5368545517799299E-2</v>
      </c>
      <c r="G1562" s="12">
        <v>2.9014018691588786E-4</v>
      </c>
      <c r="H1562" s="12">
        <v>1.4770983615231311E-3</v>
      </c>
    </row>
    <row r="1563" spans="1:8" ht="12.75">
      <c r="A1563" s="24" t="s">
        <v>2768</v>
      </c>
      <c r="B1563" s="14" t="s">
        <v>2855</v>
      </c>
      <c r="C1563" s="792">
        <v>8.9356669068707841</v>
      </c>
      <c r="D1563" s="18" t="s">
        <v>2817</v>
      </c>
      <c r="E1563" s="12">
        <v>2.5055367220000002E-3</v>
      </c>
      <c r="F1563" s="12">
        <v>3.8459841414181101E-2</v>
      </c>
      <c r="G1563" s="12">
        <v>1.1035422343324251E-4</v>
      </c>
      <c r="H1563" s="12">
        <v>8.109653861711444E-4</v>
      </c>
    </row>
    <row r="1564" spans="1:8" ht="12.75">
      <c r="A1564" s="24" t="s">
        <v>2768</v>
      </c>
      <c r="B1564" s="14" t="s">
        <v>2855</v>
      </c>
      <c r="C1564" s="792">
        <v>0.7157326130992574</v>
      </c>
      <c r="D1564" s="18" t="s">
        <v>2658</v>
      </c>
      <c r="E1564" s="12">
        <v>5.0851930036188197E-3</v>
      </c>
      <c r="F1564" s="12">
        <v>5.9995417730640897E-2</v>
      </c>
      <c r="G1564" s="12">
        <v>3.4699999999999998E-4</v>
      </c>
      <c r="H1564" s="12">
        <v>2.9762429672480995E-4</v>
      </c>
    </row>
    <row r="1565" spans="1:8" ht="12.75">
      <c r="A1565" s="24" t="s">
        <v>2768</v>
      </c>
      <c r="B1565" s="14" t="s">
        <v>2855</v>
      </c>
      <c r="C1565" s="792">
        <v>1.5056485794858121</v>
      </c>
      <c r="D1565" s="18" t="s">
        <v>2548</v>
      </c>
      <c r="E1565" s="12">
        <v>1.5483515402843602E-2</v>
      </c>
      <c r="F1565" s="12">
        <v>4.5524313981042654E-2</v>
      </c>
      <c r="G1565" s="12">
        <v>3.0351086374407588E-4</v>
      </c>
      <c r="H1565" s="12">
        <v>2.8558827014218014E-3</v>
      </c>
    </row>
    <row r="1566" spans="1:8" ht="12.75">
      <c r="A1566" s="24" t="s">
        <v>2768</v>
      </c>
      <c r="B1566" s="14" t="s">
        <v>2855</v>
      </c>
      <c r="C1566" s="792">
        <v>1.8635148860354409</v>
      </c>
      <c r="D1566" s="18" t="s">
        <v>83</v>
      </c>
      <c r="E1566" s="12">
        <v>0</v>
      </c>
      <c r="F1566" s="12">
        <v>0</v>
      </c>
      <c r="G1566" s="12">
        <v>0</v>
      </c>
      <c r="H1566" s="12">
        <v>0</v>
      </c>
    </row>
    <row r="1567" spans="1:8" ht="12.75">
      <c r="A1567" s="24" t="s">
        <v>2768</v>
      </c>
      <c r="B1567" s="14" t="s">
        <v>2855</v>
      </c>
      <c r="C1567" s="792">
        <v>0.75282428974290605</v>
      </c>
      <c r="D1567" s="18" t="s">
        <v>2532</v>
      </c>
      <c r="E1567" s="12">
        <v>4.0401172748815169E-2</v>
      </c>
      <c r="F1567" s="12">
        <v>0.11878669834123222</v>
      </c>
      <c r="G1567" s="12">
        <v>7.919516026066351E-4</v>
      </c>
      <c r="H1567" s="12">
        <v>7.4518613744075819E-3</v>
      </c>
    </row>
    <row r="1568" spans="1:8" ht="12.75">
      <c r="A1568" s="24" t="s">
        <v>2768</v>
      </c>
      <c r="B1568" s="14" t="s">
        <v>2855</v>
      </c>
      <c r="C1568" s="792">
        <v>1.1477822729361833</v>
      </c>
      <c r="D1568" s="18" t="s">
        <v>2808</v>
      </c>
      <c r="E1568" s="12">
        <v>4.7062756261925113E-3</v>
      </c>
      <c r="F1568" s="12">
        <v>3.8210906557435767E-2</v>
      </c>
      <c r="G1568" s="12">
        <v>7.6086956521739124E-5</v>
      </c>
      <c r="H1568" s="12">
        <v>5.9908272287602653E-4</v>
      </c>
    </row>
    <row r="1569" spans="1:8" ht="12.75">
      <c r="A1569" s="24" t="s">
        <v>2768</v>
      </c>
      <c r="B1569" s="14" t="s">
        <v>2855</v>
      </c>
      <c r="C1569" s="827" t="s">
        <v>1666</v>
      </c>
      <c r="D1569" s="13" t="s">
        <v>1666</v>
      </c>
      <c r="E1569" s="220" t="s">
        <v>1666</v>
      </c>
      <c r="F1569" s="220" t="s">
        <v>1666</v>
      </c>
      <c r="G1569" s="220" t="s">
        <v>1666</v>
      </c>
      <c r="H1569" s="220" t="s">
        <v>1666</v>
      </c>
    </row>
    <row r="1570" spans="1:8" ht="12.75">
      <c r="A1570" s="24" t="s">
        <v>2768</v>
      </c>
      <c r="B1570" s="14" t="s">
        <v>2855</v>
      </c>
      <c r="C1570" s="792">
        <v>9.4789915966386573</v>
      </c>
      <c r="D1570" s="18" t="s">
        <v>388</v>
      </c>
      <c r="E1570" s="12">
        <v>0</v>
      </c>
      <c r="F1570" s="12">
        <v>0</v>
      </c>
      <c r="G1570" s="12">
        <v>0</v>
      </c>
      <c r="H1570" s="12">
        <v>2.7715000000000001E-3</v>
      </c>
    </row>
    <row r="1571" spans="1:8" ht="12.75">
      <c r="A1571" s="24" t="s">
        <v>2768</v>
      </c>
      <c r="B1571" s="14" t="s">
        <v>2855</v>
      </c>
      <c r="C1571" s="828" t="s">
        <v>1666</v>
      </c>
      <c r="D1571" s="13" t="s">
        <v>1666</v>
      </c>
      <c r="E1571" s="220" t="s">
        <v>1666</v>
      </c>
      <c r="F1571" s="220" t="s">
        <v>1666</v>
      </c>
      <c r="G1571" s="220" t="s">
        <v>1666</v>
      </c>
      <c r="H1571" s="220" t="s">
        <v>1666</v>
      </c>
    </row>
    <row r="1572" spans="1:8" ht="12.75">
      <c r="A1572" s="24" t="s">
        <v>2768</v>
      </c>
      <c r="B1572" s="14" t="s">
        <v>2855</v>
      </c>
      <c r="C1572" s="792">
        <v>15.798319327731095</v>
      </c>
      <c r="D1572" s="18" t="s">
        <v>2596</v>
      </c>
      <c r="E1572" s="12">
        <v>5.5636766460262456E-4</v>
      </c>
      <c r="F1572" s="12">
        <v>1.354456626711356E-2</v>
      </c>
      <c r="G1572" s="12">
        <v>7.0283975659229207E-5</v>
      </c>
      <c r="H1572" s="12">
        <v>7.0431572008113595E-4</v>
      </c>
    </row>
    <row r="1573" spans="1:8" ht="12.75">
      <c r="A1573" s="24" t="s">
        <v>2768</v>
      </c>
      <c r="B1573" s="14" t="s">
        <v>2855</v>
      </c>
      <c r="C1573" s="792" t="s">
        <v>1666</v>
      </c>
      <c r="D1573" s="13" t="s">
        <v>1666</v>
      </c>
      <c r="E1573" s="220" t="s">
        <v>1666</v>
      </c>
      <c r="F1573" s="220" t="s">
        <v>1666</v>
      </c>
      <c r="G1573" s="220" t="s">
        <v>1666</v>
      </c>
      <c r="H1573" s="220" t="s">
        <v>1666</v>
      </c>
    </row>
    <row r="1574" spans="1:8" ht="12.75">
      <c r="A1574" s="24" t="s">
        <v>2768</v>
      </c>
      <c r="B1574" s="14" t="s">
        <v>2855</v>
      </c>
      <c r="C1574" s="792" t="s">
        <v>1666</v>
      </c>
      <c r="D1574" s="13" t="s">
        <v>1666</v>
      </c>
      <c r="E1574" s="220" t="s">
        <v>1666</v>
      </c>
      <c r="F1574" s="220" t="s">
        <v>1666</v>
      </c>
      <c r="G1574" s="220" t="s">
        <v>1666</v>
      </c>
      <c r="H1574" s="220" t="s">
        <v>1666</v>
      </c>
    </row>
    <row r="1575" spans="1:8" ht="12.75">
      <c r="A1575" s="24" t="s">
        <v>2768</v>
      </c>
      <c r="B1575" s="14" t="s">
        <v>2855</v>
      </c>
      <c r="C1575" s="828" t="s">
        <v>1666</v>
      </c>
      <c r="D1575" s="13" t="s">
        <v>1666</v>
      </c>
      <c r="E1575" s="220" t="s">
        <v>1666</v>
      </c>
      <c r="F1575" s="220" t="s">
        <v>1666</v>
      </c>
      <c r="G1575" s="220" t="s">
        <v>1666</v>
      </c>
      <c r="H1575" s="220" t="s">
        <v>1666</v>
      </c>
    </row>
    <row r="1576" spans="1:8" ht="12.75">
      <c r="A1576" s="24" t="s">
        <v>2768</v>
      </c>
      <c r="B1576" s="14" t="s">
        <v>2855</v>
      </c>
      <c r="C1576" s="792" t="s">
        <v>1666</v>
      </c>
      <c r="D1576" s="13" t="s">
        <v>1666</v>
      </c>
      <c r="E1576" s="220" t="s">
        <v>1666</v>
      </c>
      <c r="F1576" s="220" t="s">
        <v>1666</v>
      </c>
      <c r="G1576" s="220" t="s">
        <v>1666</v>
      </c>
      <c r="H1576" s="220" t="s">
        <v>1666</v>
      </c>
    </row>
    <row r="1577" spans="1:8" ht="12.75">
      <c r="A1577" s="24" t="s">
        <v>2768</v>
      </c>
      <c r="B1577" s="14" t="s">
        <v>2855</v>
      </c>
      <c r="C1577" s="792">
        <v>3.1954504962011816</v>
      </c>
      <c r="D1577" s="18" t="s">
        <v>2584</v>
      </c>
      <c r="E1577" s="12">
        <v>4.7754773653722405E-4</v>
      </c>
      <c r="F1577" s="12">
        <v>9.9048845026103102E-3</v>
      </c>
      <c r="G1577" s="12">
        <v>1.1598405219282348E-5</v>
      </c>
      <c r="H1577" s="12">
        <v>9.908404494382022E-5</v>
      </c>
    </row>
    <row r="1578" spans="1:8" ht="12.75">
      <c r="A1578" s="24" t="s">
        <v>2768</v>
      </c>
      <c r="B1578" s="14" t="s">
        <v>2855</v>
      </c>
      <c r="C1578" s="792" t="s">
        <v>1666</v>
      </c>
      <c r="D1578" s="13" t="s">
        <v>1666</v>
      </c>
      <c r="E1578" s="220" t="s">
        <v>1666</v>
      </c>
      <c r="F1578" s="220" t="s">
        <v>1666</v>
      </c>
      <c r="G1578" s="220" t="s">
        <v>1666</v>
      </c>
      <c r="H1578" s="220" t="s">
        <v>1666</v>
      </c>
    </row>
    <row r="1579" spans="1:8" ht="12.75">
      <c r="A1579" s="24" t="s">
        <v>2768</v>
      </c>
      <c r="B1579" s="14" t="s">
        <v>2855</v>
      </c>
      <c r="C1579" s="792">
        <v>0.7899159663865547</v>
      </c>
      <c r="D1579" s="18" t="s">
        <v>433</v>
      </c>
      <c r="E1579" s="12">
        <v>3.0104466724907065E-4</v>
      </c>
      <c r="F1579" s="12">
        <v>1.2500000000000001E-2</v>
      </c>
      <c r="G1579" s="12">
        <v>5.1818181818181835E-4</v>
      </c>
      <c r="H1579" s="12">
        <v>4.0084080366977777E-4</v>
      </c>
    </row>
    <row r="1580" spans="1:8" ht="12.75">
      <c r="A1580" s="24" t="s">
        <v>2768</v>
      </c>
      <c r="B1580" s="14" t="s">
        <v>2855</v>
      </c>
      <c r="C1580" s="792" t="s">
        <v>1666</v>
      </c>
      <c r="D1580" s="13" t="s">
        <v>1666</v>
      </c>
      <c r="E1580" s="220" t="s">
        <v>1666</v>
      </c>
      <c r="F1580" s="220" t="s">
        <v>1666</v>
      </c>
      <c r="G1580" s="220" t="s">
        <v>1666</v>
      </c>
      <c r="H1580" s="220" t="s">
        <v>1666</v>
      </c>
    </row>
    <row r="1581" spans="1:8" ht="12.75">
      <c r="A1581" s="24" t="s">
        <v>2768</v>
      </c>
      <c r="B1581" s="14" t="s">
        <v>2855</v>
      </c>
      <c r="C1581" s="792" t="s">
        <v>1666</v>
      </c>
      <c r="D1581" s="13" t="s">
        <v>1666</v>
      </c>
      <c r="E1581" s="220" t="s">
        <v>1666</v>
      </c>
      <c r="F1581" s="220" t="s">
        <v>1666</v>
      </c>
      <c r="G1581" s="220" t="s">
        <v>1666</v>
      </c>
      <c r="H1581" s="220" t="s">
        <v>1666</v>
      </c>
    </row>
    <row r="1582" spans="1:8" ht="12.75">
      <c r="A1582" s="24" t="s">
        <v>2768</v>
      </c>
      <c r="B1582" s="14" t="s">
        <v>2855</v>
      </c>
      <c r="C1582" s="792">
        <v>0.7899159663865547</v>
      </c>
      <c r="D1582" s="18" t="s">
        <v>2528</v>
      </c>
      <c r="E1582" s="12">
        <v>5.5280749052132698E-2</v>
      </c>
      <c r="F1582" s="12">
        <v>0.16253532298578199</v>
      </c>
      <c r="G1582" s="12">
        <v>1.0836239353080568E-3</v>
      </c>
      <c r="H1582" s="12">
        <v>1.0196349526066351E-2</v>
      </c>
    </row>
    <row r="1583" spans="1:8" ht="12.75">
      <c r="A1583" s="24" t="s">
        <v>2768</v>
      </c>
      <c r="B1583" s="14" t="s">
        <v>2855</v>
      </c>
      <c r="C1583" s="792">
        <v>0.15798319327731092</v>
      </c>
      <c r="D1583" s="809" t="s">
        <v>2858</v>
      </c>
      <c r="E1583" s="829">
        <v>3.2015555555555601E-4</v>
      </c>
      <c r="F1583" s="829">
        <v>4.9060800000000002E-4</v>
      </c>
      <c r="G1583" s="829">
        <v>3.2872385079429705E-4</v>
      </c>
      <c r="H1583" s="829">
        <v>1.0873333333333299E-2</v>
      </c>
    </row>
    <row r="1584" spans="1:8" ht="12.75">
      <c r="A1584" s="24" t="s">
        <v>2768</v>
      </c>
      <c r="B1584" s="14" t="s">
        <v>2855</v>
      </c>
      <c r="C1584" s="792">
        <v>7.8991596638655459E-2</v>
      </c>
      <c r="D1584" s="18" t="s">
        <v>2859</v>
      </c>
      <c r="E1584" s="12">
        <v>3.2015555555555601E-4</v>
      </c>
      <c r="F1584" s="12">
        <v>4.9060800000000002E-4</v>
      </c>
      <c r="G1584" s="12">
        <v>3.2872385079429705E-4</v>
      </c>
      <c r="H1584" s="12">
        <v>1.0873333333333299E-2</v>
      </c>
    </row>
    <row r="1585" spans="1:8" ht="12.75">
      <c r="A1585" s="24" t="s">
        <v>2768</v>
      </c>
      <c r="B1585" s="14" t="s">
        <v>2855</v>
      </c>
      <c r="C1585" s="792" t="s">
        <v>1666</v>
      </c>
      <c r="D1585" s="13" t="s">
        <v>1666</v>
      </c>
      <c r="E1585" s="220" t="s">
        <v>1666</v>
      </c>
      <c r="F1585" s="220" t="s">
        <v>1666</v>
      </c>
      <c r="G1585" s="220" t="s">
        <v>1666</v>
      </c>
      <c r="H1585" s="220" t="s">
        <v>1666</v>
      </c>
    </row>
    <row r="1586" spans="1:8" ht="12.75">
      <c r="A1586" s="24" t="s">
        <v>2768</v>
      </c>
      <c r="B1586" s="14" t="s">
        <v>2855</v>
      </c>
      <c r="C1586" s="792">
        <v>0.7899159663865547</v>
      </c>
      <c r="D1586" s="18" t="s">
        <v>2733</v>
      </c>
      <c r="E1586" s="12">
        <v>9.6087130421459947E-3</v>
      </c>
      <c r="F1586" s="12">
        <v>0.16691911148384272</v>
      </c>
      <c r="G1586" s="12">
        <v>1.5345345345345343E-4</v>
      </c>
      <c r="H1586" s="12">
        <v>3.6247130630630633E-3</v>
      </c>
    </row>
    <row r="1587" spans="1:8" ht="12.75">
      <c r="A1587" s="24" t="s">
        <v>2768</v>
      </c>
      <c r="B1587" s="14" t="s">
        <v>2855</v>
      </c>
      <c r="C1587" s="792">
        <v>0.7899159663865547</v>
      </c>
      <c r="D1587" s="18" t="s">
        <v>459</v>
      </c>
      <c r="E1587" s="12">
        <v>2.8944733420025999E-4</v>
      </c>
      <c r="F1587" s="12">
        <v>9.8179453836150891E-3</v>
      </c>
      <c r="G1587" s="12">
        <v>1.0639011302594951E-5</v>
      </c>
      <c r="H1587" s="12">
        <v>1.4697466666666669E-4</v>
      </c>
    </row>
    <row r="1588" spans="1:8" ht="12.75">
      <c r="A1588" s="24" t="s">
        <v>2768</v>
      </c>
      <c r="B1588" s="14" t="s">
        <v>2855</v>
      </c>
      <c r="C1588" s="792">
        <v>7.8991596638655459E-2</v>
      </c>
      <c r="D1588" s="18" t="s">
        <v>2656</v>
      </c>
      <c r="E1588" s="12">
        <v>0</v>
      </c>
      <c r="F1588" s="12">
        <v>0</v>
      </c>
      <c r="G1588" s="12">
        <v>2.2323326446008546E-4</v>
      </c>
      <c r="H1588" s="12">
        <v>4.0785551773399884E-3</v>
      </c>
    </row>
    <row r="1589" spans="1:8" ht="12.75">
      <c r="A1589" s="24" t="s">
        <v>2768</v>
      </c>
      <c r="B1589" s="14" t="s">
        <v>2855</v>
      </c>
      <c r="C1589" s="792">
        <v>0.39495798319327735</v>
      </c>
      <c r="D1589" s="18" t="s">
        <v>86</v>
      </c>
      <c r="E1589" s="12">
        <v>0</v>
      </c>
      <c r="F1589" s="12">
        <v>0</v>
      </c>
      <c r="G1589" s="12">
        <v>0</v>
      </c>
      <c r="H1589" s="12">
        <v>0</v>
      </c>
    </row>
    <row r="1590" spans="1:8" ht="12.75">
      <c r="A1590" s="24" t="s">
        <v>2768</v>
      </c>
      <c r="B1590" s="14" t="s">
        <v>2855</v>
      </c>
      <c r="C1590" s="792" t="s">
        <v>1666</v>
      </c>
      <c r="D1590" s="13" t="s">
        <v>1666</v>
      </c>
      <c r="E1590" s="220" t="s">
        <v>1666</v>
      </c>
      <c r="F1590" s="220" t="s">
        <v>1666</v>
      </c>
      <c r="G1590" s="220" t="s">
        <v>1666</v>
      </c>
      <c r="H1590" s="220" t="s">
        <v>1666</v>
      </c>
    </row>
    <row r="1591" spans="1:8" ht="12.75">
      <c r="A1591" s="794" t="s">
        <v>2768</v>
      </c>
      <c r="B1591" s="617" t="s">
        <v>2855</v>
      </c>
      <c r="C1591" s="455" t="s">
        <v>1666</v>
      </c>
      <c r="D1591" s="799" t="s">
        <v>1666</v>
      </c>
      <c r="E1591" s="725" t="s">
        <v>1666</v>
      </c>
      <c r="F1591" s="725" t="s">
        <v>1666</v>
      </c>
      <c r="G1591" s="725" t="s">
        <v>1666</v>
      </c>
      <c r="H1591" s="725" t="s">
        <v>1666</v>
      </c>
    </row>
    <row r="1592" spans="1:8" ht="12.75">
      <c r="A1592" s="24" t="s">
        <v>2768</v>
      </c>
      <c r="B1592" s="14" t="s">
        <v>2860</v>
      </c>
      <c r="C1592" s="796">
        <v>47.493403693931398</v>
      </c>
      <c r="D1592" s="456" t="s">
        <v>72</v>
      </c>
      <c r="E1592" s="457">
        <v>0</v>
      </c>
      <c r="F1592" s="457">
        <v>0</v>
      </c>
      <c r="G1592" s="457">
        <v>0</v>
      </c>
      <c r="H1592" s="457">
        <v>0</v>
      </c>
    </row>
    <row r="1593" spans="1:8" ht="12.75">
      <c r="A1593" s="24" t="s">
        <v>2768</v>
      </c>
      <c r="B1593" s="14" t="s">
        <v>2860</v>
      </c>
      <c r="C1593" s="792">
        <v>40.201005025125625</v>
      </c>
      <c r="D1593" s="18" t="s">
        <v>508</v>
      </c>
      <c r="E1593" s="12">
        <v>2.8834234570203239E-3</v>
      </c>
      <c r="F1593" s="12">
        <v>5.9265729118619818E-2</v>
      </c>
      <c r="G1593" s="12">
        <v>3.7800000000000003E-4</v>
      </c>
      <c r="H1593" s="12">
        <v>1.4550492E-3</v>
      </c>
    </row>
    <row r="1594" spans="1:8" ht="12.75">
      <c r="A1594" s="24" t="s">
        <v>2768</v>
      </c>
      <c r="B1594" s="14" t="s">
        <v>2860</v>
      </c>
      <c r="C1594" s="792">
        <v>5.5276381909547743</v>
      </c>
      <c r="D1594" s="18" t="s">
        <v>425</v>
      </c>
      <c r="E1594" s="12">
        <v>3.8102374934982654E-3</v>
      </c>
      <c r="F1594" s="12">
        <v>0.20470422547079484</v>
      </c>
      <c r="G1594" s="12">
        <v>1.210810810810811E-4</v>
      </c>
      <c r="H1594" s="12">
        <v>1.0002400855855065E-3</v>
      </c>
    </row>
    <row r="1595" spans="1:8" ht="12.75">
      <c r="A1595" s="24" t="s">
        <v>2768</v>
      </c>
      <c r="B1595" s="14" t="s">
        <v>2860</v>
      </c>
      <c r="C1595" s="792">
        <v>2.0100502512562817</v>
      </c>
      <c r="D1595" s="18" t="s">
        <v>2658</v>
      </c>
      <c r="E1595" s="12">
        <v>5.0851930036188197E-3</v>
      </c>
      <c r="F1595" s="12">
        <v>5.9995417730640897E-2</v>
      </c>
      <c r="G1595" s="12">
        <v>3.4699999999999998E-4</v>
      </c>
      <c r="H1595" s="12">
        <v>2.9762429672480995E-4</v>
      </c>
    </row>
    <row r="1596" spans="1:8" ht="12.75">
      <c r="A1596" s="24" t="s">
        <v>2768</v>
      </c>
      <c r="B1596" s="14" t="s">
        <v>2860</v>
      </c>
      <c r="C1596" s="792">
        <v>2.0100502512562817</v>
      </c>
      <c r="D1596" s="18" t="s">
        <v>83</v>
      </c>
      <c r="E1596" s="12">
        <v>0</v>
      </c>
      <c r="F1596" s="12">
        <v>0</v>
      </c>
      <c r="G1596" s="12">
        <v>0</v>
      </c>
      <c r="H1596" s="12">
        <v>0</v>
      </c>
    </row>
    <row r="1597" spans="1:8" ht="12.75">
      <c r="A1597" s="24" t="s">
        <v>2768</v>
      </c>
      <c r="B1597" s="14" t="s">
        <v>2860</v>
      </c>
      <c r="C1597" s="830" t="s">
        <v>1666</v>
      </c>
      <c r="D1597" s="469" t="s">
        <v>1666</v>
      </c>
      <c r="E1597" s="470" t="s">
        <v>1666</v>
      </c>
      <c r="F1597" s="470" t="s">
        <v>1666</v>
      </c>
      <c r="G1597" s="470" t="s">
        <v>1666</v>
      </c>
      <c r="H1597" s="470" t="s">
        <v>1666</v>
      </c>
    </row>
    <row r="1598" spans="1:8" ht="12.75">
      <c r="A1598" s="794" t="s">
        <v>2768</v>
      </c>
      <c r="B1598" s="617" t="s">
        <v>2860</v>
      </c>
      <c r="C1598" s="455">
        <v>50.251256281407038</v>
      </c>
      <c r="D1598" s="793" t="s">
        <v>118</v>
      </c>
      <c r="E1598" s="635">
        <v>5.2598080568720387E-3</v>
      </c>
      <c r="F1598" s="635">
        <v>1.5464779620853082E-2</v>
      </c>
      <c r="G1598" s="635">
        <v>1.0310377488151661E-4</v>
      </c>
      <c r="H1598" s="635">
        <v>9.7015402843601893E-4</v>
      </c>
    </row>
    <row r="1599" spans="1:8" ht="12.75">
      <c r="A1599" s="24" t="s">
        <v>2768</v>
      </c>
      <c r="B1599" s="14" t="s">
        <v>2861</v>
      </c>
      <c r="C1599" s="792">
        <v>50</v>
      </c>
      <c r="D1599" s="18" t="s">
        <v>2862</v>
      </c>
      <c r="E1599" s="12">
        <v>4.8057057617005398E-4</v>
      </c>
      <c r="F1599" s="12">
        <v>9.8776215197699697E-3</v>
      </c>
      <c r="G1599" s="12">
        <v>6.3E-5</v>
      </c>
      <c r="H1599" s="12">
        <v>2.4250819999999999E-4</v>
      </c>
    </row>
    <row r="1600" spans="1:8" ht="12.75">
      <c r="A1600" s="24" t="s">
        <v>2768</v>
      </c>
      <c r="B1600" s="14" t="s">
        <v>2861</v>
      </c>
      <c r="C1600" s="792">
        <v>20</v>
      </c>
      <c r="D1600" s="18" t="s">
        <v>85</v>
      </c>
      <c r="E1600" s="12">
        <v>2.0262392565709405E-4</v>
      </c>
      <c r="F1600" s="12">
        <v>1.0885928720785719E-2</v>
      </c>
      <c r="G1600" s="12">
        <v>6.2837933649623454E-6</v>
      </c>
      <c r="H1600" s="12">
        <v>4.6142098112569087E-5</v>
      </c>
    </row>
    <row r="1601" spans="1:8" ht="12.75">
      <c r="A1601" s="24" t="s">
        <v>2768</v>
      </c>
      <c r="B1601" s="14" t="s">
        <v>2861</v>
      </c>
      <c r="C1601" s="792">
        <v>28</v>
      </c>
      <c r="D1601" s="18" t="s">
        <v>425</v>
      </c>
      <c r="E1601" s="12">
        <v>3.8102374934982654E-3</v>
      </c>
      <c r="F1601" s="12">
        <v>0.20470422547079484</v>
      </c>
      <c r="G1601" s="12">
        <v>1.210810810810811E-4</v>
      </c>
      <c r="H1601" s="12">
        <v>1.0002400855855065E-3</v>
      </c>
    </row>
    <row r="1602" spans="1:8" ht="12.75">
      <c r="A1602" s="24" t="s">
        <v>2768</v>
      </c>
      <c r="B1602" s="14" t="s">
        <v>2861</v>
      </c>
      <c r="C1602" s="792">
        <v>1</v>
      </c>
      <c r="D1602" s="831" t="s">
        <v>83</v>
      </c>
      <c r="E1602" s="12">
        <v>0</v>
      </c>
      <c r="F1602" s="12">
        <v>0</v>
      </c>
      <c r="G1602" s="12">
        <v>0</v>
      </c>
      <c r="H1602" s="12">
        <v>0</v>
      </c>
    </row>
    <row r="1603" spans="1:8" ht="12.75">
      <c r="A1603" s="794" t="s">
        <v>2768</v>
      </c>
      <c r="B1603" s="617" t="s">
        <v>2861</v>
      </c>
      <c r="C1603" s="455">
        <v>1</v>
      </c>
      <c r="D1603" s="793" t="s">
        <v>482</v>
      </c>
      <c r="E1603" s="635">
        <v>4.7754773653722405E-4</v>
      </c>
      <c r="F1603" s="635">
        <v>9.9048845026103102E-3</v>
      </c>
      <c r="G1603" s="635">
        <v>1.1598405219282348E-5</v>
      </c>
      <c r="H1603" s="635">
        <v>9.908404494382022E-5</v>
      </c>
    </row>
    <row r="1604" spans="1:8" ht="12.75">
      <c r="A1604" s="799" t="s">
        <v>2768</v>
      </c>
      <c r="B1604" s="617" t="s">
        <v>2863</v>
      </c>
      <c r="C1604" s="455">
        <v>100</v>
      </c>
      <c r="D1604" s="793" t="s">
        <v>236</v>
      </c>
      <c r="E1604" s="12">
        <v>5.0851930036188197E-3</v>
      </c>
      <c r="F1604" s="12">
        <v>5.9995417730640897E-2</v>
      </c>
      <c r="G1604" s="12">
        <v>3.4699999999999998E-4</v>
      </c>
      <c r="H1604" s="12">
        <v>2.9762429672480995E-4</v>
      </c>
    </row>
    <row r="1605" spans="1:8" ht="12.75">
      <c r="A1605" s="805" t="s">
        <v>2768</v>
      </c>
      <c r="B1605" s="753" t="s">
        <v>2864</v>
      </c>
      <c r="C1605" s="807">
        <v>100</v>
      </c>
      <c r="D1605" s="806" t="s">
        <v>462</v>
      </c>
      <c r="E1605" s="800">
        <v>1.6146898803046799E-3</v>
      </c>
      <c r="F1605" s="800">
        <v>2.6750090678273501E-2</v>
      </c>
      <c r="G1605" s="800">
        <v>9.3103448275862075E-5</v>
      </c>
      <c r="H1605" s="800">
        <v>1.0896397701149426E-3</v>
      </c>
    </row>
    <row r="1606" spans="1:8" ht="12.75">
      <c r="A1606" s="805" t="s">
        <v>2768</v>
      </c>
      <c r="B1606" s="753" t="s">
        <v>2865</v>
      </c>
      <c r="C1606" s="807">
        <v>100</v>
      </c>
      <c r="D1606" s="806" t="s">
        <v>325</v>
      </c>
      <c r="E1606" s="804">
        <v>1.0908510307875098E-2</v>
      </c>
      <c r="F1606" s="804">
        <v>0.10414261699680899</v>
      </c>
      <c r="G1606" s="804">
        <v>2.2359865447154469E-3</v>
      </c>
      <c r="H1606" s="804">
        <v>1.4E-3</v>
      </c>
    </row>
    <row r="1607" spans="1:8" ht="12.75">
      <c r="A1607" s="24" t="s">
        <v>2768</v>
      </c>
      <c r="B1607" s="14" t="s">
        <v>2866</v>
      </c>
      <c r="C1607" s="810">
        <v>62.280510485474245</v>
      </c>
      <c r="D1607" s="811" t="s">
        <v>72</v>
      </c>
      <c r="E1607" s="457">
        <v>0</v>
      </c>
      <c r="F1607" s="457">
        <v>0</v>
      </c>
      <c r="G1607" s="457">
        <v>0</v>
      </c>
      <c r="H1607" s="457">
        <v>0</v>
      </c>
    </row>
    <row r="1608" spans="1:8" ht="12.75">
      <c r="A1608" s="24" t="s">
        <v>2768</v>
      </c>
      <c r="B1608" s="14" t="s">
        <v>2866</v>
      </c>
      <c r="C1608" s="792">
        <v>33.726457399103133</v>
      </c>
      <c r="D1608" s="18" t="s">
        <v>346</v>
      </c>
      <c r="E1608" s="12">
        <v>2.9691872042618299E-2</v>
      </c>
      <c r="F1608" s="12">
        <v>7.5368545517799299E-2</v>
      </c>
      <c r="G1608" s="12">
        <v>2.9014018691588786E-4</v>
      </c>
      <c r="H1608" s="12">
        <v>1.4770983615231311E-3</v>
      </c>
    </row>
    <row r="1609" spans="1:8" ht="12.75">
      <c r="A1609" s="24" t="s">
        <v>2768</v>
      </c>
      <c r="B1609" s="14" t="s">
        <v>2866</v>
      </c>
      <c r="C1609" s="792">
        <v>10.829596412556052</v>
      </c>
      <c r="D1609" s="18" t="s">
        <v>85</v>
      </c>
      <c r="E1609" s="12">
        <v>2.0262392565709405E-4</v>
      </c>
      <c r="F1609" s="12">
        <v>1.0885928720785719E-2</v>
      </c>
      <c r="G1609" s="12">
        <v>6.2837933649623454E-6</v>
      </c>
      <c r="H1609" s="12">
        <v>4.6142098112569087E-5</v>
      </c>
    </row>
    <row r="1610" spans="1:8" ht="12.75">
      <c r="A1610" s="24" t="s">
        <v>2768</v>
      </c>
      <c r="B1610" s="14" t="s">
        <v>2866</v>
      </c>
      <c r="C1610" s="792">
        <v>14.893370939269117</v>
      </c>
      <c r="D1610" s="18" t="s">
        <v>227</v>
      </c>
      <c r="E1610" s="12">
        <v>2.5055367220000002E-3</v>
      </c>
      <c r="F1610" s="12">
        <v>3.8459841414181101E-2</v>
      </c>
      <c r="G1610" s="12">
        <v>1.1035422343324251E-4</v>
      </c>
      <c r="H1610" s="12">
        <v>8.109653861711444E-4</v>
      </c>
    </row>
    <row r="1611" spans="1:8" ht="12.75">
      <c r="A1611" s="24" t="s">
        <v>2768</v>
      </c>
      <c r="B1611" s="14" t="s">
        <v>2866</v>
      </c>
      <c r="C1611" s="792">
        <v>5.2704279366110001</v>
      </c>
      <c r="D1611" s="18" t="s">
        <v>2867</v>
      </c>
      <c r="E1611" s="12">
        <v>4.0165275294130297E-3</v>
      </c>
      <c r="F1611" s="12">
        <v>3.2725331200335404E-2</v>
      </c>
      <c r="G1611" s="12">
        <v>2.4399999999999999E-4</v>
      </c>
      <c r="H1611" s="12">
        <v>2.0392735E-3</v>
      </c>
    </row>
    <row r="1612" spans="1:8" ht="12.75">
      <c r="A1612" s="24" t="s">
        <v>2768</v>
      </c>
      <c r="B1612" s="14" t="s">
        <v>2866</v>
      </c>
      <c r="C1612" s="779" t="s">
        <v>1666</v>
      </c>
      <c r="D1612" s="831" t="s">
        <v>1666</v>
      </c>
      <c r="E1612" s="831" t="s">
        <v>1666</v>
      </c>
      <c r="F1612" s="831" t="s">
        <v>1666</v>
      </c>
      <c r="G1612" s="831" t="s">
        <v>1666</v>
      </c>
      <c r="H1612" s="831" t="s">
        <v>1666</v>
      </c>
    </row>
    <row r="1613" spans="1:8" ht="12.75">
      <c r="A1613" s="24" t="s">
        <v>2768</v>
      </c>
      <c r="B1613" s="14" t="s">
        <v>2866</v>
      </c>
      <c r="C1613" s="792">
        <v>11.97458555688574</v>
      </c>
      <c r="D1613" s="18" t="s">
        <v>433</v>
      </c>
      <c r="E1613" s="12">
        <v>3.0104466724907065E-4</v>
      </c>
      <c r="F1613" s="12">
        <v>1.2500000000000001E-2</v>
      </c>
      <c r="G1613" s="12">
        <v>5.1818181818181835E-4</v>
      </c>
      <c r="H1613" s="12">
        <v>4.0084080366977777E-4</v>
      </c>
    </row>
    <row r="1614" spans="1:8" ht="12.75">
      <c r="A1614" s="24" t="s">
        <v>2768</v>
      </c>
      <c r="B1614" s="14" t="s">
        <v>2866</v>
      </c>
      <c r="C1614" s="792">
        <v>6.5287725990706731</v>
      </c>
      <c r="D1614" s="18" t="s">
        <v>425</v>
      </c>
      <c r="E1614" s="12">
        <v>3.8102374934982654E-3</v>
      </c>
      <c r="F1614" s="12">
        <v>0.20470422547079484</v>
      </c>
      <c r="G1614" s="12">
        <v>1.210810810810811E-4</v>
      </c>
      <c r="H1614" s="12">
        <v>1.0002400855855065E-3</v>
      </c>
    </row>
    <row r="1615" spans="1:8" ht="12.75">
      <c r="A1615" s="24" t="s">
        <v>2768</v>
      </c>
      <c r="B1615" s="14" t="s">
        <v>2866</v>
      </c>
      <c r="C1615" s="792">
        <v>5.7593287746281669</v>
      </c>
      <c r="D1615" s="18" t="s">
        <v>83</v>
      </c>
      <c r="E1615" s="12">
        <v>0</v>
      </c>
      <c r="F1615" s="12">
        <v>0</v>
      </c>
      <c r="G1615" s="12">
        <v>0</v>
      </c>
      <c r="H1615" s="12">
        <v>0</v>
      </c>
    </row>
    <row r="1616" spans="1:8" ht="12.75">
      <c r="A1616" s="24" t="s">
        <v>2768</v>
      </c>
      <c r="B1616" s="14" t="s">
        <v>2866</v>
      </c>
      <c r="C1616" s="792">
        <v>3.7233427348172792</v>
      </c>
      <c r="D1616" s="466" t="s">
        <v>38</v>
      </c>
      <c r="E1616" s="12">
        <v>1.6939344187576338E-2</v>
      </c>
      <c r="F1616" s="12">
        <v>0.12747220842521731</v>
      </c>
      <c r="G1616" s="12">
        <v>6.4159613314729389E-4</v>
      </c>
      <c r="H1616" s="12">
        <v>1.9596661512744689E-4</v>
      </c>
    </row>
    <row r="1617" spans="1:8" ht="12.75">
      <c r="A1617" s="24" t="s">
        <v>2768</v>
      </c>
      <c r="B1617" s="14" t="s">
        <v>2866</v>
      </c>
      <c r="C1617" s="792" t="s">
        <v>1666</v>
      </c>
      <c r="D1617" s="831" t="s">
        <v>1666</v>
      </c>
      <c r="E1617" s="831" t="s">
        <v>1666</v>
      </c>
      <c r="F1617" s="831" t="s">
        <v>1666</v>
      </c>
      <c r="G1617" s="831" t="s">
        <v>1666</v>
      </c>
      <c r="H1617" s="831" t="s">
        <v>1666</v>
      </c>
    </row>
    <row r="1618" spans="1:8" ht="12.75">
      <c r="A1618" s="24" t="s">
        <v>2768</v>
      </c>
      <c r="B1618" s="14" t="s">
        <v>2866</v>
      </c>
      <c r="C1618" s="779" t="s">
        <v>1666</v>
      </c>
      <c r="D1618" s="831" t="s">
        <v>1666</v>
      </c>
      <c r="E1618" s="831" t="s">
        <v>1666</v>
      </c>
      <c r="F1618" s="831" t="s">
        <v>1666</v>
      </c>
      <c r="G1618" s="831" t="s">
        <v>1666</v>
      </c>
      <c r="H1618" s="831" t="s">
        <v>1666</v>
      </c>
    </row>
    <row r="1619" spans="1:8" ht="12.75">
      <c r="A1619" s="24" t="s">
        <v>2768</v>
      </c>
      <c r="B1619" s="14" t="s">
        <v>2866</v>
      </c>
      <c r="C1619" s="779" t="s">
        <v>1666</v>
      </c>
      <c r="D1619" s="831" t="s">
        <v>1666</v>
      </c>
      <c r="E1619" s="831" t="s">
        <v>1666</v>
      </c>
      <c r="F1619" s="831" t="s">
        <v>1666</v>
      </c>
      <c r="G1619" s="831" t="s">
        <v>1666</v>
      </c>
      <c r="H1619" s="831" t="s">
        <v>1666</v>
      </c>
    </row>
    <row r="1620" spans="1:8" ht="12.75">
      <c r="A1620" s="24" t="s">
        <v>2768</v>
      </c>
      <c r="B1620" s="14" t="s">
        <v>2866</v>
      </c>
      <c r="C1620" s="779" t="s">
        <v>1666</v>
      </c>
      <c r="D1620" s="831" t="s">
        <v>1666</v>
      </c>
      <c r="E1620" s="831" t="s">
        <v>1666</v>
      </c>
      <c r="F1620" s="831" t="s">
        <v>1666</v>
      </c>
      <c r="G1620" s="831" t="s">
        <v>1666</v>
      </c>
      <c r="H1620" s="831" t="s">
        <v>1666</v>
      </c>
    </row>
    <row r="1621" spans="1:8" ht="12.75">
      <c r="A1621" s="24" t="s">
        <v>2768</v>
      </c>
      <c r="B1621" s="14" t="s">
        <v>2866</v>
      </c>
      <c r="C1621" s="779" t="s">
        <v>1666</v>
      </c>
      <c r="D1621" s="831" t="s">
        <v>1666</v>
      </c>
      <c r="E1621" s="831" t="s">
        <v>1666</v>
      </c>
      <c r="F1621" s="831" t="s">
        <v>1666</v>
      </c>
      <c r="G1621" s="831" t="s">
        <v>1666</v>
      </c>
      <c r="H1621" s="831" t="s">
        <v>1666</v>
      </c>
    </row>
    <row r="1622" spans="1:8" ht="12.75">
      <c r="A1622" s="24" t="s">
        <v>2768</v>
      </c>
      <c r="B1622" s="14" t="s">
        <v>2866</v>
      </c>
      <c r="C1622" s="779" t="s">
        <v>1666</v>
      </c>
      <c r="D1622" s="831" t="s">
        <v>1666</v>
      </c>
      <c r="E1622" s="831" t="s">
        <v>1666</v>
      </c>
      <c r="F1622" s="831" t="s">
        <v>1666</v>
      </c>
      <c r="G1622" s="831" t="s">
        <v>1666</v>
      </c>
      <c r="H1622" s="831" t="s">
        <v>1666</v>
      </c>
    </row>
    <row r="1623" spans="1:8" ht="12.75">
      <c r="A1623" s="24" t="s">
        <v>2768</v>
      </c>
      <c r="B1623" s="14" t="s">
        <v>2866</v>
      </c>
      <c r="C1623" s="792" t="s">
        <v>1666</v>
      </c>
      <c r="D1623" s="831" t="s">
        <v>1666</v>
      </c>
      <c r="E1623" s="831" t="s">
        <v>1666</v>
      </c>
      <c r="F1623" s="831" t="s">
        <v>1666</v>
      </c>
      <c r="G1623" s="831" t="s">
        <v>1666</v>
      </c>
      <c r="H1623" s="831" t="s">
        <v>1666</v>
      </c>
    </row>
    <row r="1624" spans="1:8" ht="12.75">
      <c r="A1624" s="24" t="s">
        <v>2768</v>
      </c>
      <c r="B1624" s="14" t="s">
        <v>2866</v>
      </c>
      <c r="C1624" s="792">
        <v>7.0135746606334841</v>
      </c>
      <c r="D1624" s="18" t="s">
        <v>2732</v>
      </c>
      <c r="E1624" s="12">
        <v>1.5483515402843602E-2</v>
      </c>
      <c r="F1624" s="12">
        <v>4.5524313981042654E-2</v>
      </c>
      <c r="G1624" s="12">
        <v>3.0351086374407588E-4</v>
      </c>
      <c r="H1624" s="12">
        <v>2.8558827014218014E-3</v>
      </c>
    </row>
    <row r="1625" spans="1:8" ht="12.75">
      <c r="A1625" s="794" t="s">
        <v>2768</v>
      </c>
      <c r="B1625" s="617" t="s">
        <v>2866</v>
      </c>
      <c r="C1625" s="455">
        <v>0.28054298642533942</v>
      </c>
      <c r="D1625" s="793" t="s">
        <v>81</v>
      </c>
      <c r="E1625" s="635">
        <v>1.9912385503783353E-2</v>
      </c>
      <c r="F1625" s="635">
        <v>5.6949422540820388E-2</v>
      </c>
      <c r="G1625" s="635">
        <v>3.8829151732377542E-3</v>
      </c>
      <c r="H1625" s="635">
        <v>5.6321186778176026E-3</v>
      </c>
    </row>
    <row r="1626" spans="1:8" ht="12.75">
      <c r="A1626" s="24" t="s">
        <v>2768</v>
      </c>
      <c r="B1626" s="14" t="s">
        <v>2868</v>
      </c>
      <c r="C1626" s="792">
        <v>87.500000000000028</v>
      </c>
      <c r="D1626" s="18" t="s">
        <v>346</v>
      </c>
      <c r="E1626" s="12">
        <v>2.9691872042618299E-2</v>
      </c>
      <c r="F1626" s="12">
        <v>7.5368545517799299E-2</v>
      </c>
      <c r="G1626" s="12">
        <v>2.9014018691588786E-4</v>
      </c>
      <c r="H1626" s="12">
        <v>1.4770983615231311E-3</v>
      </c>
    </row>
    <row r="1627" spans="1:8" ht="12.75">
      <c r="A1627" s="24" t="s">
        <v>2768</v>
      </c>
      <c r="B1627" s="14" t="s">
        <v>2868</v>
      </c>
      <c r="C1627" s="796">
        <v>16.000000000000004</v>
      </c>
      <c r="D1627" s="456" t="s">
        <v>72</v>
      </c>
      <c r="E1627" s="457">
        <v>0</v>
      </c>
      <c r="F1627" s="457">
        <v>0</v>
      </c>
      <c r="G1627" s="457">
        <v>0</v>
      </c>
      <c r="H1627" s="457">
        <v>0</v>
      </c>
    </row>
    <row r="1628" spans="1:8" ht="12.75">
      <c r="A1628" s="24" t="s">
        <v>2768</v>
      </c>
      <c r="B1628" s="14" t="s">
        <v>2868</v>
      </c>
      <c r="C1628" s="792">
        <v>8.2142857142857135</v>
      </c>
      <c r="D1628" s="18" t="s">
        <v>2869</v>
      </c>
      <c r="E1628" s="12">
        <v>4.0165275294130297E-3</v>
      </c>
      <c r="F1628" s="12">
        <v>3.2725331200335404E-2</v>
      </c>
      <c r="G1628" s="12">
        <v>2.4399999999999999E-4</v>
      </c>
      <c r="H1628" s="12">
        <v>2.0392735E-3</v>
      </c>
    </row>
    <row r="1629" spans="1:8" ht="12.75">
      <c r="A1629" s="24" t="s">
        <v>2768</v>
      </c>
      <c r="B1629" s="14" t="s">
        <v>2868</v>
      </c>
      <c r="C1629" s="779" t="s">
        <v>1666</v>
      </c>
      <c r="D1629" s="831" t="s">
        <v>1666</v>
      </c>
      <c r="E1629" s="831" t="s">
        <v>1666</v>
      </c>
      <c r="F1629" s="831" t="s">
        <v>1666</v>
      </c>
      <c r="G1629" s="831" t="s">
        <v>1666</v>
      </c>
      <c r="H1629" s="831" t="s">
        <v>1666</v>
      </c>
    </row>
    <row r="1630" spans="1:8" ht="12.75">
      <c r="A1630" s="24" t="s">
        <v>2768</v>
      </c>
      <c r="B1630" s="14" t="s">
        <v>2868</v>
      </c>
      <c r="C1630" s="792">
        <v>1.1904761904761909</v>
      </c>
      <c r="D1630" s="466" t="s">
        <v>85</v>
      </c>
      <c r="E1630" s="12">
        <v>2.0262392565709405E-4</v>
      </c>
      <c r="F1630" s="12">
        <v>1.0885928720785719E-2</v>
      </c>
      <c r="G1630" s="12">
        <v>6.2837933649623454E-6</v>
      </c>
      <c r="H1630" s="12">
        <v>4.6142098112569087E-5</v>
      </c>
    </row>
    <row r="1631" spans="1:8" ht="12.75">
      <c r="A1631" s="24" t="s">
        <v>2768</v>
      </c>
      <c r="B1631" s="14" t="s">
        <v>2868</v>
      </c>
      <c r="C1631" s="792">
        <v>1.9047619047619051</v>
      </c>
      <c r="D1631" s="466" t="s">
        <v>83</v>
      </c>
      <c r="E1631" s="12">
        <v>0</v>
      </c>
      <c r="F1631" s="12">
        <v>0</v>
      </c>
      <c r="G1631" s="12">
        <v>0</v>
      </c>
      <c r="H1631" s="12">
        <v>0</v>
      </c>
    </row>
    <row r="1632" spans="1:8" ht="12.75">
      <c r="A1632" s="24" t="s">
        <v>2768</v>
      </c>
      <c r="B1632" s="14" t="s">
        <v>2868</v>
      </c>
      <c r="C1632" s="792">
        <v>0.59523809523809545</v>
      </c>
      <c r="D1632" s="466" t="s">
        <v>433</v>
      </c>
      <c r="E1632" s="12">
        <v>3.0104466724907065E-4</v>
      </c>
      <c r="F1632" s="12">
        <v>1.2500000000000001E-2</v>
      </c>
      <c r="G1632" s="12">
        <v>5.1818181818181835E-4</v>
      </c>
      <c r="H1632" s="12">
        <v>4.0084080366977777E-4</v>
      </c>
    </row>
    <row r="1633" spans="1:8" ht="12.75">
      <c r="A1633" s="794" t="s">
        <v>2768</v>
      </c>
      <c r="B1633" s="617" t="s">
        <v>2868</v>
      </c>
      <c r="C1633" s="455">
        <v>0.59523809523809545</v>
      </c>
      <c r="D1633" s="793" t="s">
        <v>38</v>
      </c>
      <c r="E1633" s="635">
        <v>1.6939344187576338E-2</v>
      </c>
      <c r="F1633" s="635">
        <v>0.12747220842521731</v>
      </c>
      <c r="G1633" s="635">
        <v>6.4159613314729389E-4</v>
      </c>
      <c r="H1633" s="635">
        <v>1.9596661512744689E-4</v>
      </c>
    </row>
    <row r="1634" spans="1:8" ht="12.75">
      <c r="A1634" s="24" t="s">
        <v>2768</v>
      </c>
      <c r="B1634" s="14" t="s">
        <v>2870</v>
      </c>
      <c r="C1634" s="796">
        <v>45.022511255627812</v>
      </c>
      <c r="D1634" s="456" t="s">
        <v>72</v>
      </c>
      <c r="E1634" s="457">
        <v>0</v>
      </c>
      <c r="F1634" s="457">
        <v>0</v>
      </c>
      <c r="G1634" s="457">
        <v>0</v>
      </c>
      <c r="H1634" s="457">
        <v>0</v>
      </c>
    </row>
    <row r="1635" spans="1:8" ht="12.75">
      <c r="A1635" s="24" t="s">
        <v>2768</v>
      </c>
      <c r="B1635" s="14" t="s">
        <v>2870</v>
      </c>
      <c r="C1635" s="792">
        <v>63.694267515923563</v>
      </c>
      <c r="D1635" s="18" t="s">
        <v>346</v>
      </c>
      <c r="E1635" s="12">
        <v>2.9691872042618299E-2</v>
      </c>
      <c r="F1635" s="12">
        <v>7.5368545517799299E-2</v>
      </c>
      <c r="G1635" s="12">
        <v>2.9014018691588786E-4</v>
      </c>
      <c r="H1635" s="12">
        <v>1.4770983615231311E-3</v>
      </c>
    </row>
    <row r="1636" spans="1:8" ht="12.75">
      <c r="A1636" s="24" t="s">
        <v>2768</v>
      </c>
      <c r="B1636" s="14" t="s">
        <v>2870</v>
      </c>
      <c r="C1636" s="792">
        <v>5.4595086442220184</v>
      </c>
      <c r="D1636" s="18" t="s">
        <v>340</v>
      </c>
      <c r="E1636" s="12">
        <v>2.1708241661196198E-2</v>
      </c>
      <c r="F1636" s="12">
        <v>0.36572952458380198</v>
      </c>
      <c r="G1636" s="12">
        <v>4.6350652173913045E-4</v>
      </c>
      <c r="H1636" s="12">
        <v>1.6975608035415088E-3</v>
      </c>
    </row>
    <row r="1637" spans="1:8" ht="12.75">
      <c r="A1637" s="24" t="s">
        <v>2768</v>
      </c>
      <c r="B1637" s="14" t="s">
        <v>2870</v>
      </c>
      <c r="C1637" s="792">
        <v>5.4595086442220184</v>
      </c>
      <c r="D1637" s="18" t="s">
        <v>85</v>
      </c>
      <c r="E1637" s="12">
        <v>2.0262392565709405E-4</v>
      </c>
      <c r="F1637" s="12">
        <v>1.0885928720785719E-2</v>
      </c>
      <c r="G1637" s="12">
        <v>6.2837933649623454E-6</v>
      </c>
      <c r="H1637" s="12">
        <v>4.6142098112569087E-5</v>
      </c>
    </row>
    <row r="1638" spans="1:8" ht="12.75">
      <c r="A1638" s="24" t="s">
        <v>2768</v>
      </c>
      <c r="B1638" s="14" t="s">
        <v>2870</v>
      </c>
      <c r="C1638" s="792">
        <v>5.4595086442220184</v>
      </c>
      <c r="D1638" s="18" t="s">
        <v>433</v>
      </c>
      <c r="E1638" s="12">
        <v>3.0104466724907065E-4</v>
      </c>
      <c r="F1638" s="12">
        <v>1.2500000000000001E-2</v>
      </c>
      <c r="G1638" s="12">
        <v>5.1818181818181835E-4</v>
      </c>
      <c r="H1638" s="12">
        <v>4.0084080366977777E-4</v>
      </c>
    </row>
    <row r="1639" spans="1:8" ht="12.75">
      <c r="A1639" s="24" t="s">
        <v>2768</v>
      </c>
      <c r="B1639" s="14" t="s">
        <v>2870</v>
      </c>
      <c r="C1639" s="792">
        <v>4.9135577797998167</v>
      </c>
      <c r="D1639" s="18" t="s">
        <v>2525</v>
      </c>
      <c r="E1639" s="12">
        <v>3.8102374934982654E-3</v>
      </c>
      <c r="F1639" s="12">
        <v>0.20470422547079484</v>
      </c>
      <c r="G1639" s="12">
        <v>1.210810810810811E-4</v>
      </c>
      <c r="H1639" s="12">
        <v>1.0002400855855065E-3</v>
      </c>
    </row>
    <row r="1640" spans="1:8" ht="12.75">
      <c r="A1640" s="24" t="s">
        <v>2768</v>
      </c>
      <c r="B1640" s="14" t="s">
        <v>2870</v>
      </c>
      <c r="C1640" s="792">
        <v>2.2747952684258408</v>
      </c>
      <c r="D1640" s="458" t="s">
        <v>2871</v>
      </c>
      <c r="E1640" s="12">
        <v>4.0165275294130297E-3</v>
      </c>
      <c r="F1640" s="12">
        <v>3.2725331200335404E-2</v>
      </c>
      <c r="G1640" s="12">
        <v>2.4399999999999999E-4</v>
      </c>
      <c r="H1640" s="12">
        <v>2.0392735E-3</v>
      </c>
    </row>
    <row r="1641" spans="1:8" ht="12.75">
      <c r="A1641" s="24" t="s">
        <v>2768</v>
      </c>
      <c r="B1641" s="14" t="s">
        <v>2870</v>
      </c>
      <c r="C1641" s="792">
        <v>1.8198362147406733</v>
      </c>
      <c r="D1641" s="466" t="s">
        <v>92</v>
      </c>
      <c r="E1641" s="12">
        <v>4.7583080568720385E-3</v>
      </c>
      <c r="F1641" s="12">
        <v>1.399027962085308E-2</v>
      </c>
      <c r="G1641" s="12">
        <v>9.3273274881516596E-5</v>
      </c>
      <c r="H1641" s="12">
        <v>8.7765402843601901E-4</v>
      </c>
    </row>
    <row r="1642" spans="1:8" ht="12.75">
      <c r="A1642" s="24" t="s">
        <v>2768</v>
      </c>
      <c r="B1642" s="14" t="s">
        <v>2870</v>
      </c>
      <c r="C1642" s="792">
        <v>1.8198362147406733</v>
      </c>
      <c r="D1642" s="458" t="s">
        <v>2584</v>
      </c>
      <c r="E1642" s="12">
        <v>4.7754773653722405E-4</v>
      </c>
      <c r="F1642" s="12">
        <v>9.9048845026103102E-3</v>
      </c>
      <c r="G1642" s="12">
        <v>1.1598405219282348E-5</v>
      </c>
      <c r="H1642" s="12">
        <v>9.908404494382022E-5</v>
      </c>
    </row>
    <row r="1643" spans="1:8" ht="12.75">
      <c r="A1643" s="24" t="s">
        <v>2768</v>
      </c>
      <c r="B1643" s="14" t="s">
        <v>2870</v>
      </c>
      <c r="C1643" s="792">
        <v>1.8198362147406733</v>
      </c>
      <c r="D1643" s="466" t="s">
        <v>465</v>
      </c>
      <c r="E1643" s="12">
        <v>3.5869956401399267E-3</v>
      </c>
      <c r="F1643" s="12">
        <v>5.9424698083949859E-2</v>
      </c>
      <c r="G1643" s="12">
        <v>2.0682712335107616E-4</v>
      </c>
      <c r="H1643" s="12">
        <v>2.4206091537452754E-3</v>
      </c>
    </row>
    <row r="1644" spans="1:8" ht="12.75">
      <c r="A1644" s="24" t="s">
        <v>2768</v>
      </c>
      <c r="B1644" s="14" t="s">
        <v>2870</v>
      </c>
      <c r="C1644" s="792">
        <v>1.8198362147406733</v>
      </c>
      <c r="D1644" s="466" t="s">
        <v>38</v>
      </c>
      <c r="E1644" s="12">
        <v>1.6939344187576338E-2</v>
      </c>
      <c r="F1644" s="12">
        <v>0.12747220842521731</v>
      </c>
      <c r="G1644" s="12">
        <v>6.4159613314729389E-4</v>
      </c>
      <c r="H1644" s="12">
        <v>1.9596661512744689E-4</v>
      </c>
    </row>
    <row r="1645" spans="1:8" ht="12.75">
      <c r="A1645" s="24" t="s">
        <v>2768</v>
      </c>
      <c r="B1645" s="14" t="s">
        <v>2870</v>
      </c>
      <c r="C1645" s="792">
        <v>1.8198362147406733</v>
      </c>
      <c r="D1645" s="18" t="s">
        <v>2530</v>
      </c>
      <c r="E1645" s="12">
        <v>2.5055367220000002E-3</v>
      </c>
      <c r="F1645" s="12">
        <v>3.8459841414181101E-2</v>
      </c>
      <c r="G1645" s="12">
        <v>1.1035422343324251E-4</v>
      </c>
      <c r="H1645" s="12">
        <v>8.109653861711444E-4</v>
      </c>
    </row>
    <row r="1646" spans="1:8" ht="12.75">
      <c r="A1646" s="24" t="s">
        <v>2768</v>
      </c>
      <c r="B1646" s="14" t="s">
        <v>2870</v>
      </c>
      <c r="C1646" s="792">
        <v>1.8198362147406733</v>
      </c>
      <c r="D1646" s="466" t="s">
        <v>2872</v>
      </c>
      <c r="E1646" s="832">
        <v>8.2739760746147598E-4</v>
      </c>
      <c r="F1646" s="832">
        <v>1.9887131659999998E-2</v>
      </c>
      <c r="G1646" s="832">
        <v>5.1219512195121953E-5</v>
      </c>
      <c r="H1646" s="832">
        <v>3.2262731707317075E-4</v>
      </c>
    </row>
    <row r="1647" spans="1:8" ht="12.75">
      <c r="A1647" s="794" t="s">
        <v>2768</v>
      </c>
      <c r="B1647" s="617" t="s">
        <v>2870</v>
      </c>
      <c r="C1647" s="455">
        <v>1.8198362147406733</v>
      </c>
      <c r="D1647" s="793" t="s">
        <v>81</v>
      </c>
      <c r="E1647" s="635">
        <v>1.9912385503783353E-2</v>
      </c>
      <c r="F1647" s="635">
        <v>5.6949422540820388E-2</v>
      </c>
      <c r="G1647" s="635">
        <v>3.8829151732377542E-3</v>
      </c>
      <c r="H1647" s="635">
        <v>5.6321186778176026E-3</v>
      </c>
    </row>
    <row r="1648" spans="1:8" ht="12.75">
      <c r="A1648" s="805" t="s">
        <v>2768</v>
      </c>
      <c r="B1648" s="753" t="s">
        <v>2873</v>
      </c>
      <c r="C1648" s="807">
        <v>100</v>
      </c>
      <c r="D1648" s="806" t="s">
        <v>438</v>
      </c>
      <c r="E1648" s="635">
        <v>0</v>
      </c>
      <c r="F1648" s="635">
        <v>0</v>
      </c>
      <c r="G1648" s="635">
        <v>0</v>
      </c>
      <c r="H1648" s="635">
        <v>0</v>
      </c>
    </row>
    <row r="1649" spans="1:8" ht="12.75">
      <c r="A1649" s="805">
        <v>27</v>
      </c>
      <c r="B1649" s="753" t="s">
        <v>2874</v>
      </c>
      <c r="C1649" s="807">
        <v>100</v>
      </c>
      <c r="D1649" s="806" t="s">
        <v>375</v>
      </c>
      <c r="E1649" s="635">
        <v>0.27103561643835616</v>
      </c>
      <c r="F1649" s="635">
        <v>0.32516506849315069</v>
      </c>
      <c r="G1649" s="635">
        <v>3.0369082191780824E-3</v>
      </c>
      <c r="H1649" s="635">
        <v>2.4160267618452354E-2</v>
      </c>
    </row>
    <row r="1650" spans="1:8" ht="12.75">
      <c r="A1650" s="805">
        <v>27</v>
      </c>
      <c r="B1650" s="753" t="s">
        <v>2875</v>
      </c>
      <c r="C1650" s="807">
        <v>100</v>
      </c>
      <c r="D1650" s="806" t="s">
        <v>356</v>
      </c>
      <c r="E1650" s="635">
        <v>1.4051129032258063E-2</v>
      </c>
      <c r="F1650" s="635">
        <v>0.11450467741935483</v>
      </c>
      <c r="G1650" s="635">
        <v>4.9811080645161291E-4</v>
      </c>
      <c r="H1650" s="635">
        <v>6.0449379263103585E-3</v>
      </c>
    </row>
    <row r="1651" spans="1:8" ht="12.75">
      <c r="A1651" s="617"/>
      <c r="B1651" s="617" t="s">
        <v>2876</v>
      </c>
      <c r="C1651" s="455">
        <v>100</v>
      </c>
      <c r="D1651" s="793" t="s">
        <v>204</v>
      </c>
      <c r="E1651" s="635">
        <v>1.1000494215432999E-3</v>
      </c>
      <c r="F1651" s="635">
        <v>1.5073570706503401E-2</v>
      </c>
      <c r="G1651" s="635">
        <v>5.4347826086956524E-5</v>
      </c>
      <c r="H1651" s="635">
        <v>2.8755970698049265E-4</v>
      </c>
    </row>
    <row r="1652" spans="1:8" ht="12.75">
      <c r="A1652" s="24"/>
      <c r="B1652" s="24"/>
      <c r="C1652" s="462"/>
      <c r="D1652" s="18"/>
      <c r="E1652" s="454"/>
      <c r="F1652" s="454"/>
      <c r="G1652" s="454"/>
      <c r="H1652" s="454"/>
    </row>
    <row r="1653" spans="1:8" ht="12.75">
      <c r="C1653" s="462"/>
      <c r="D1653" s="18"/>
      <c r="E1653" s="454"/>
      <c r="F1653" s="454"/>
      <c r="G1653" s="454"/>
      <c r="H1653" s="454"/>
    </row>
    <row r="1654" spans="1:8" ht="12.75">
      <c r="C1654" s="462"/>
      <c r="D1654" s="18"/>
      <c r="E1654" s="454"/>
      <c r="F1654" s="454"/>
      <c r="G1654" s="454"/>
      <c r="H1654" s="454"/>
    </row>
    <row r="1655" spans="1:8" ht="12.75">
      <c r="C1655" s="462"/>
      <c r="D1655" s="18"/>
      <c r="E1655" s="454"/>
      <c r="F1655" s="454"/>
      <c r="G1655" s="454"/>
      <c r="H1655" s="454"/>
    </row>
    <row r="1656" spans="1:8" ht="12.75">
      <c r="C1656" s="462"/>
      <c r="D1656" s="18"/>
      <c r="E1656" s="454"/>
      <c r="F1656" s="454"/>
      <c r="G1656" s="454"/>
      <c r="H1656" s="454"/>
    </row>
    <row r="1657" spans="1:8" ht="12.75">
      <c r="C1657" s="462"/>
      <c r="D1657" s="18"/>
      <c r="E1657" s="454"/>
      <c r="F1657" s="454"/>
      <c r="G1657" s="454"/>
      <c r="H1657" s="454"/>
    </row>
    <row r="1658" spans="1:8" ht="12.75">
      <c r="C1658" s="462"/>
      <c r="D1658" s="18"/>
      <c r="E1658" s="454"/>
      <c r="F1658" s="454"/>
      <c r="G1658" s="454"/>
      <c r="H1658" s="454"/>
    </row>
    <row r="1659" spans="1:8" ht="12.75">
      <c r="C1659" s="462"/>
      <c r="D1659" s="18"/>
      <c r="E1659" s="454"/>
      <c r="F1659" s="454"/>
      <c r="G1659" s="454"/>
      <c r="H1659" s="454"/>
    </row>
    <row r="1660" spans="1:8" ht="12.75">
      <c r="C1660" s="462"/>
      <c r="D1660" s="18"/>
      <c r="E1660" s="454"/>
      <c r="F1660" s="454"/>
      <c r="G1660" s="454"/>
      <c r="H1660" s="454"/>
    </row>
    <row r="1661" spans="1:8" ht="12.75">
      <c r="C1661" s="462"/>
      <c r="D1661" s="18"/>
      <c r="E1661" s="454"/>
      <c r="F1661" s="454"/>
      <c r="G1661" s="454"/>
      <c r="H1661" s="454"/>
    </row>
    <row r="1662" spans="1:8" ht="12.75">
      <c r="C1662" s="462"/>
      <c r="D1662" s="18"/>
      <c r="E1662" s="454"/>
      <c r="F1662" s="454"/>
      <c r="G1662" s="454"/>
      <c r="H1662" s="454"/>
    </row>
    <row r="1663" spans="1:8" ht="12.75">
      <c r="C1663" s="833"/>
      <c r="D1663" s="18"/>
      <c r="E1663" s="454"/>
      <c r="F1663" s="454"/>
      <c r="G1663" s="454"/>
      <c r="H1663" s="454"/>
    </row>
    <row r="1664" spans="1:8" ht="12.75">
      <c r="C1664" s="834"/>
      <c r="D1664" s="18"/>
      <c r="E1664" s="454"/>
      <c r="F1664" s="454"/>
      <c r="G1664" s="454"/>
      <c r="H1664" s="454"/>
    </row>
    <row r="1665" spans="1:8" ht="12.75">
      <c r="C1665" s="462"/>
      <c r="D1665" s="18"/>
      <c r="E1665" s="454"/>
      <c r="F1665" s="454"/>
      <c r="G1665" s="454"/>
      <c r="H1665" s="454"/>
    </row>
    <row r="1666" spans="1:8" ht="12.75">
      <c r="C1666" s="462"/>
      <c r="D1666" s="18"/>
      <c r="E1666" s="454"/>
      <c r="F1666" s="454"/>
      <c r="G1666" s="454"/>
      <c r="H1666" s="454"/>
    </row>
    <row r="1667" spans="1:8" ht="12.75">
      <c r="A1667" s="14"/>
      <c r="C1667" s="462"/>
      <c r="D1667" s="18"/>
      <c r="E1667" s="454"/>
      <c r="F1667" s="454"/>
      <c r="G1667" s="454"/>
      <c r="H1667" s="454"/>
    </row>
    <row r="1668" spans="1:8" ht="12.75">
      <c r="A1668" s="14"/>
      <c r="C1668" s="462"/>
      <c r="D1668" s="18"/>
      <c r="E1668" s="454"/>
      <c r="F1668" s="454"/>
      <c r="G1668" s="454"/>
      <c r="H1668" s="454"/>
    </row>
    <row r="1669" spans="1:8" ht="12.75">
      <c r="A1669" s="14"/>
      <c r="C1669" s="462"/>
      <c r="D1669" s="18"/>
      <c r="E1669" s="454"/>
      <c r="F1669" s="454"/>
      <c r="G1669" s="454"/>
      <c r="H1669" s="454"/>
    </row>
    <row r="1670" spans="1:8" ht="12.75">
      <c r="A1670" s="14"/>
      <c r="B1670" s="14"/>
      <c r="C1670" s="462"/>
      <c r="D1670" s="18"/>
      <c r="E1670" s="454"/>
      <c r="F1670" s="454"/>
      <c r="G1670" s="454"/>
      <c r="H1670" s="454"/>
    </row>
    <row r="1671" spans="1:8" ht="12.75">
      <c r="A1671" s="14"/>
      <c r="B1671" s="14"/>
      <c r="C1671" s="462"/>
      <c r="D1671" s="18"/>
      <c r="E1671" s="454"/>
      <c r="F1671" s="454"/>
      <c r="G1671" s="454"/>
      <c r="H1671" s="454"/>
    </row>
    <row r="1672" spans="1:8" ht="12.75">
      <c r="A1672" s="14"/>
      <c r="B1672" s="14"/>
      <c r="C1672" s="462"/>
      <c r="D1672" s="18"/>
      <c r="E1672" s="454"/>
      <c r="F1672" s="454"/>
      <c r="G1672" s="454"/>
      <c r="H1672" s="454"/>
    </row>
    <row r="1673" spans="1:8" ht="12.75">
      <c r="A1673" s="14"/>
      <c r="B1673" s="14"/>
      <c r="C1673" s="462"/>
      <c r="D1673" s="18"/>
      <c r="E1673" s="454"/>
      <c r="F1673" s="454"/>
      <c r="G1673" s="454"/>
      <c r="H1673" s="454"/>
    </row>
    <row r="1674" spans="1:8" ht="12.75">
      <c r="A1674" s="14"/>
      <c r="B1674" s="14"/>
      <c r="C1674" s="462"/>
      <c r="D1674" s="18"/>
      <c r="E1674" s="454"/>
      <c r="F1674" s="454"/>
      <c r="G1674" s="454"/>
      <c r="H1674" s="454"/>
    </row>
    <row r="1675" spans="1:8" ht="12.75">
      <c r="A1675" s="14"/>
      <c r="B1675" s="14"/>
      <c r="C1675" s="462"/>
      <c r="D1675" s="18"/>
      <c r="E1675" s="454"/>
      <c r="F1675" s="454"/>
      <c r="G1675" s="454"/>
      <c r="H1675" s="454"/>
    </row>
    <row r="1676" spans="1:8" ht="12.75">
      <c r="A1676" s="14"/>
      <c r="B1676" s="14"/>
      <c r="C1676" s="462"/>
      <c r="D1676" s="18"/>
      <c r="E1676" s="454"/>
      <c r="F1676" s="454"/>
      <c r="G1676" s="454"/>
      <c r="H1676" s="454"/>
    </row>
    <row r="1677" spans="1:8" ht="12.75">
      <c r="A1677" s="14"/>
      <c r="B1677" s="14"/>
      <c r="C1677" s="462"/>
      <c r="D1677" s="18"/>
      <c r="E1677" s="454"/>
      <c r="F1677" s="454"/>
      <c r="G1677" s="454"/>
      <c r="H1677" s="454"/>
    </row>
    <row r="1678" spans="1:8" ht="12.75">
      <c r="A1678" s="14"/>
      <c r="B1678" s="14"/>
      <c r="C1678" s="462"/>
      <c r="D1678" s="18"/>
      <c r="E1678" s="454"/>
      <c r="F1678" s="454"/>
      <c r="G1678" s="454"/>
      <c r="H1678" s="454"/>
    </row>
    <row r="1679" spans="1:8" ht="12.75">
      <c r="A1679" s="14"/>
      <c r="B1679" s="14"/>
      <c r="C1679" s="462"/>
      <c r="D1679" s="18"/>
      <c r="E1679" s="454"/>
      <c r="F1679" s="454"/>
      <c r="G1679" s="454"/>
      <c r="H1679" s="454"/>
    </row>
    <row r="1680" spans="1:8" ht="12.75">
      <c r="A1680" s="14"/>
      <c r="B1680" s="14"/>
      <c r="C1680" s="462"/>
      <c r="D1680" s="18"/>
      <c r="E1680" s="454"/>
      <c r="F1680" s="454"/>
      <c r="G1680" s="454"/>
      <c r="H1680" s="454"/>
    </row>
  </sheetData>
  <pageMargins left="0" right="0" top="0" bottom="0" header="0" footer="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H1680"/>
  <sheetViews>
    <sheetView workbookViewId="0">
      <pane ySplit="2" topLeftCell="A3" activePane="bottomLeft" state="frozen"/>
      <selection pane="bottomLeft" activeCell="B4" sqref="B4"/>
    </sheetView>
  </sheetViews>
  <sheetFormatPr defaultColWidth="12.5703125" defaultRowHeight="15.75" customHeight="1"/>
  <cols>
    <col min="1" max="1" width="20.42578125" customWidth="1"/>
    <col min="2" max="2" width="13.28515625" customWidth="1"/>
    <col min="3" max="9" width="16.28515625" customWidth="1"/>
    <col min="11" max="11" width="10.5703125" customWidth="1"/>
    <col min="12" max="12" width="10.42578125" customWidth="1"/>
    <col min="13" max="13" width="12.7109375" customWidth="1"/>
    <col min="14" max="14" width="7.42578125" customWidth="1"/>
    <col min="15" max="15" width="30.5703125" customWidth="1"/>
    <col min="16" max="16" width="20.140625" customWidth="1"/>
    <col min="17" max="17" width="19.42578125" customWidth="1"/>
    <col min="18" max="18" width="17.42578125" customWidth="1"/>
    <col min="19" max="19" width="20.28515625" customWidth="1"/>
    <col min="20" max="21" width="7.7109375" customWidth="1"/>
    <col min="22" max="22" width="8.42578125" customWidth="1"/>
    <col min="23" max="23" width="21.28515625" customWidth="1"/>
    <col min="24" max="24" width="12.28515625" customWidth="1"/>
    <col min="25" max="26" width="6.85546875" customWidth="1"/>
    <col min="27" max="27" width="18.7109375" customWidth="1"/>
    <col min="28" max="28" width="20" customWidth="1"/>
    <col min="29" max="29" width="10.7109375" hidden="1" customWidth="1"/>
    <col min="30" max="30" width="7.7109375" hidden="1" customWidth="1"/>
    <col min="31" max="34" width="21.28515625" customWidth="1"/>
  </cols>
  <sheetData>
    <row r="1" spans="1:34" ht="14.25">
      <c r="A1" s="13"/>
      <c r="B1" s="13" t="s">
        <v>2502</v>
      </c>
      <c r="C1" s="13" t="s">
        <v>2502</v>
      </c>
      <c r="D1" s="13" t="s">
        <v>2502</v>
      </c>
      <c r="E1" s="835" t="s">
        <v>2877</v>
      </c>
      <c r="F1" t="s">
        <v>2878</v>
      </c>
      <c r="G1" t="s">
        <v>2878</v>
      </c>
      <c r="H1" s="13" t="s">
        <v>2879</v>
      </c>
      <c r="I1" s="471" t="s">
        <v>2878</v>
      </c>
      <c r="J1" s="471" t="s">
        <v>2878</v>
      </c>
      <c r="K1" s="471" t="s">
        <v>2878</v>
      </c>
      <c r="L1" s="471" t="s">
        <v>2878</v>
      </c>
      <c r="M1" s="472" t="s">
        <v>2880</v>
      </c>
      <c r="N1" s="473"/>
      <c r="O1" s="473"/>
      <c r="P1" s="24" t="s">
        <v>2881</v>
      </c>
      <c r="Q1" s="24" t="s">
        <v>2882</v>
      </c>
      <c r="R1" s="471" t="s">
        <v>2883</v>
      </c>
      <c r="S1" s="24"/>
      <c r="T1" s="13"/>
      <c r="U1" s="13"/>
      <c r="V1" s="13"/>
      <c r="W1" s="13"/>
      <c r="X1" s="13"/>
      <c r="Y1" s="13"/>
      <c r="Z1" s="13"/>
      <c r="AA1" s="789"/>
      <c r="AB1" s="13"/>
      <c r="AC1" s="13"/>
      <c r="AD1" s="13"/>
      <c r="AE1" s="454"/>
      <c r="AF1" s="454"/>
      <c r="AG1" s="454"/>
      <c r="AH1" s="454"/>
    </row>
    <row r="2" spans="1:34" ht="12.75">
      <c r="A2" s="148" t="s">
        <v>2884</v>
      </c>
      <c r="B2" s="148" t="s">
        <v>2503</v>
      </c>
      <c r="C2" s="148" t="s">
        <v>2504</v>
      </c>
      <c r="D2" s="148" t="s">
        <v>2885</v>
      </c>
      <c r="E2" s="148" t="s">
        <v>2886</v>
      </c>
      <c r="F2" s="18" t="s">
        <v>2887</v>
      </c>
      <c r="G2" s="148" t="s">
        <v>2888</v>
      </c>
      <c r="H2" s="18" t="s">
        <v>2889</v>
      </c>
      <c r="I2" s="148" t="s">
        <v>2890</v>
      </c>
      <c r="J2" s="148" t="s">
        <v>2891</v>
      </c>
      <c r="K2" s="148" t="s">
        <v>2892</v>
      </c>
      <c r="L2" s="419" t="s">
        <v>2893</v>
      </c>
      <c r="M2" s="836" t="s">
        <v>2894</v>
      </c>
      <c r="N2" s="18" t="s">
        <v>2895</v>
      </c>
      <c r="O2" s="148" t="s">
        <v>2896</v>
      </c>
      <c r="P2" s="474" t="s">
        <v>2897</v>
      </c>
      <c r="Q2" s="474" t="s">
        <v>2898</v>
      </c>
      <c r="R2" s="474" t="s">
        <v>2899</v>
      </c>
      <c r="S2" s="222" t="s">
        <v>2900</v>
      </c>
      <c r="T2" s="148" t="s">
        <v>2901</v>
      </c>
      <c r="U2" s="148" t="s">
        <v>2902</v>
      </c>
      <c r="V2" s="419" t="s">
        <v>2903</v>
      </c>
      <c r="W2" s="148" t="s">
        <v>2904</v>
      </c>
      <c r="X2" s="148" t="s">
        <v>2905</v>
      </c>
      <c r="Y2" s="18" t="s">
        <v>2906</v>
      </c>
      <c r="Z2" s="18" t="s">
        <v>2907</v>
      </c>
      <c r="AA2" s="792" t="s">
        <v>2505</v>
      </c>
      <c r="AB2" s="18" t="s">
        <v>2506</v>
      </c>
      <c r="AC2" s="18" t="s">
        <v>2908</v>
      </c>
      <c r="AD2" s="18" t="s">
        <v>2909</v>
      </c>
      <c r="AE2" s="837" t="s">
        <v>549</v>
      </c>
      <c r="AF2" s="837" t="s">
        <v>550</v>
      </c>
      <c r="AG2" s="837" t="s">
        <v>2507</v>
      </c>
      <c r="AH2" s="837" t="s">
        <v>552</v>
      </c>
    </row>
    <row r="3" spans="1:34" ht="12.75">
      <c r="A3" s="617" t="s">
        <v>2910</v>
      </c>
      <c r="B3" s="617" t="s">
        <v>2508</v>
      </c>
      <c r="C3" s="617" t="s">
        <v>2509</v>
      </c>
      <c r="D3" s="617" t="s">
        <v>2911</v>
      </c>
      <c r="E3" s="617" t="s">
        <v>2912</v>
      </c>
      <c r="F3" s="799">
        <v>245</v>
      </c>
      <c r="G3" s="617" t="s">
        <v>2913</v>
      </c>
      <c r="H3" s="799">
        <v>1085</v>
      </c>
      <c r="I3" s="617" t="s">
        <v>2912</v>
      </c>
      <c r="J3" s="617" t="s">
        <v>2914</v>
      </c>
      <c r="K3" s="838">
        <v>1</v>
      </c>
      <c r="L3" s="725">
        <v>245</v>
      </c>
      <c r="M3" s="799">
        <v>1085</v>
      </c>
      <c r="N3" s="799"/>
      <c r="O3" s="725"/>
      <c r="P3" s="617" t="s">
        <v>2912</v>
      </c>
      <c r="Q3" s="617" t="s">
        <v>2915</v>
      </c>
      <c r="R3" s="617">
        <v>100</v>
      </c>
      <c r="S3" s="617">
        <f t="shared" ref="S3:S22" si="0">(0.01*R3)*L3</f>
        <v>245</v>
      </c>
      <c r="T3" s="725">
        <f t="shared" ref="T3:T6" si="1">SUM(R3)</f>
        <v>100</v>
      </c>
      <c r="U3" s="617">
        <v>100</v>
      </c>
      <c r="V3" s="725">
        <f t="shared" ref="V3:V5" si="2">U3</f>
        <v>100</v>
      </c>
      <c r="W3" s="617" t="s">
        <v>124</v>
      </c>
      <c r="X3" s="14">
        <f>V3*K3</f>
        <v>100</v>
      </c>
      <c r="Y3" s="220">
        <f t="shared" ref="Y3:AA3" si="3">X3</f>
        <v>100</v>
      </c>
      <c r="Z3" s="725">
        <f t="shared" si="3"/>
        <v>100</v>
      </c>
      <c r="AA3" s="792">
        <f t="shared" si="3"/>
        <v>100</v>
      </c>
      <c r="AB3" s="793" t="s">
        <v>124</v>
      </c>
      <c r="AC3" s="13" t="s">
        <v>877</v>
      </c>
      <c r="AD3" s="14" t="s">
        <v>2916</v>
      </c>
      <c r="AE3" s="635">
        <v>3.9416473933649287E-3</v>
      </c>
      <c r="AF3" s="635">
        <v>1.1589150710900475E-2</v>
      </c>
      <c r="AG3" s="635">
        <v>7.7264934597156404E-5</v>
      </c>
      <c r="AH3" s="635">
        <v>7.2702369668246447E-4</v>
      </c>
    </row>
    <row r="4" spans="1:34" ht="12.75">
      <c r="A4" s="14" t="s">
        <v>2917</v>
      </c>
      <c r="B4" s="24" t="s">
        <v>2508</v>
      </c>
      <c r="C4" s="14" t="s">
        <v>2510</v>
      </c>
      <c r="D4" s="14" t="s">
        <v>2911</v>
      </c>
      <c r="E4" s="14" t="s">
        <v>2918</v>
      </c>
      <c r="F4" s="13">
        <v>244</v>
      </c>
      <c r="G4" s="14" t="s">
        <v>2913</v>
      </c>
      <c r="H4" s="13">
        <v>1079</v>
      </c>
      <c r="I4" s="135" t="s">
        <v>2919</v>
      </c>
      <c r="J4" s="135" t="s">
        <v>2920</v>
      </c>
      <c r="K4" s="475">
        <v>0.5</v>
      </c>
      <c r="L4" s="476">
        <v>122</v>
      </c>
      <c r="M4" s="477">
        <v>1082</v>
      </c>
      <c r="N4" s="477"/>
      <c r="O4" s="476"/>
      <c r="P4" s="135" t="s">
        <v>2919</v>
      </c>
      <c r="Q4" s="135" t="s">
        <v>2921</v>
      </c>
      <c r="R4" s="135">
        <v>100</v>
      </c>
      <c r="S4" s="135">
        <f t="shared" si="0"/>
        <v>122</v>
      </c>
      <c r="T4" s="476">
        <f t="shared" si="1"/>
        <v>100</v>
      </c>
      <c r="U4" s="135">
        <f t="shared" ref="U4:U5" si="4">R4*100/T4</f>
        <v>100</v>
      </c>
      <c r="V4" s="476">
        <f t="shared" si="2"/>
        <v>100</v>
      </c>
      <c r="W4" s="135" t="s">
        <v>2511</v>
      </c>
      <c r="X4" s="839">
        <f t="shared" ref="X4:X5" si="5">K4*V4</f>
        <v>50</v>
      </c>
      <c r="Y4" s="839">
        <f t="shared" ref="Y4:Z4" si="6">X4</f>
        <v>50</v>
      </c>
      <c r="Z4" s="220">
        <f t="shared" si="6"/>
        <v>50</v>
      </c>
      <c r="AA4" s="463">
        <f>Z5</f>
        <v>50</v>
      </c>
      <c r="AB4" s="18" t="s">
        <v>2511</v>
      </c>
      <c r="AC4" s="840" t="s">
        <v>2922</v>
      </c>
      <c r="AD4" s="840" t="s">
        <v>2923</v>
      </c>
      <c r="AE4" s="12">
        <v>4.9087580568720375E-3</v>
      </c>
      <c r="AF4" s="12">
        <v>1.4432629620853081E-2</v>
      </c>
      <c r="AG4" s="12">
        <v>9.6222424881516595E-5</v>
      </c>
      <c r="AH4" s="12">
        <v>9.0540402843601901E-4</v>
      </c>
    </row>
    <row r="5" spans="1:34" ht="12.75">
      <c r="A5" s="617" t="s">
        <v>2917</v>
      </c>
      <c r="B5" s="794" t="s">
        <v>2508</v>
      </c>
      <c r="C5" s="617" t="s">
        <v>2510</v>
      </c>
      <c r="D5" s="617" t="s">
        <v>2911</v>
      </c>
      <c r="E5" s="617" t="s">
        <v>2918</v>
      </c>
      <c r="F5" s="799">
        <v>244</v>
      </c>
      <c r="G5" s="617" t="s">
        <v>2913</v>
      </c>
      <c r="H5" s="799">
        <v>1079</v>
      </c>
      <c r="I5" s="617" t="s">
        <v>2924</v>
      </c>
      <c r="J5" s="617" t="s">
        <v>2925</v>
      </c>
      <c r="K5" s="838">
        <v>0.5</v>
      </c>
      <c r="L5" s="725">
        <v>122</v>
      </c>
      <c r="M5" s="799">
        <v>1079</v>
      </c>
      <c r="N5" s="799"/>
      <c r="O5" s="725"/>
      <c r="P5" s="617" t="s">
        <v>2924</v>
      </c>
      <c r="Q5" s="617" t="s">
        <v>2926</v>
      </c>
      <c r="R5" s="617">
        <v>100</v>
      </c>
      <c r="S5" s="617">
        <f t="shared" si="0"/>
        <v>122</v>
      </c>
      <c r="T5" s="725">
        <f t="shared" si="1"/>
        <v>100</v>
      </c>
      <c r="U5" s="617">
        <f t="shared" si="4"/>
        <v>100</v>
      </c>
      <c r="V5" s="725">
        <f t="shared" si="2"/>
        <v>100</v>
      </c>
      <c r="W5" s="799" t="s">
        <v>2512</v>
      </c>
      <c r="X5" s="725">
        <f t="shared" si="5"/>
        <v>50</v>
      </c>
      <c r="Y5" s="725">
        <f t="shared" ref="Y5:AA5" si="7">X5</f>
        <v>50</v>
      </c>
      <c r="Z5" s="725">
        <f t="shared" si="7"/>
        <v>50</v>
      </c>
      <c r="AA5" s="455">
        <f t="shared" si="7"/>
        <v>50</v>
      </c>
      <c r="AB5" s="793" t="s">
        <v>2512</v>
      </c>
      <c r="AC5" s="799" t="s">
        <v>2922</v>
      </c>
      <c r="AD5" s="799" t="s">
        <v>2923</v>
      </c>
      <c r="AE5" s="635">
        <v>5.2598080568720387E-3</v>
      </c>
      <c r="AF5" s="635">
        <v>1.5464779620853082E-2</v>
      </c>
      <c r="AG5" s="635">
        <v>1.0310377488151661E-4</v>
      </c>
      <c r="AH5" s="635">
        <v>9.7015402843601893E-4</v>
      </c>
    </row>
    <row r="6" spans="1:34" ht="12.75">
      <c r="A6" s="617" t="s">
        <v>2927</v>
      </c>
      <c r="B6" s="794" t="s">
        <v>2508</v>
      </c>
      <c r="C6" s="617" t="s">
        <v>2513</v>
      </c>
      <c r="D6" s="617" t="s">
        <v>2911</v>
      </c>
      <c r="E6" s="617" t="s">
        <v>2928</v>
      </c>
      <c r="F6" s="799">
        <v>244</v>
      </c>
      <c r="G6" s="617" t="s">
        <v>2913</v>
      </c>
      <c r="H6" s="799">
        <v>1077</v>
      </c>
      <c r="I6" s="617" t="s">
        <v>2928</v>
      </c>
      <c r="J6" s="617" t="s">
        <v>2929</v>
      </c>
      <c r="K6" s="838">
        <v>1</v>
      </c>
      <c r="L6" s="725">
        <v>244</v>
      </c>
      <c r="M6" s="799">
        <v>1077</v>
      </c>
      <c r="N6" s="799"/>
      <c r="O6" s="725"/>
      <c r="P6" s="617" t="s">
        <v>2928</v>
      </c>
      <c r="Q6" s="617" t="s">
        <v>2928</v>
      </c>
      <c r="R6" s="617">
        <v>100</v>
      </c>
      <c r="S6" s="617">
        <f t="shared" si="0"/>
        <v>244</v>
      </c>
      <c r="T6" s="725">
        <f t="shared" si="1"/>
        <v>100</v>
      </c>
      <c r="U6" s="617">
        <f t="shared" ref="U6:V6" si="8">T6</f>
        <v>100</v>
      </c>
      <c r="V6" s="725">
        <f t="shared" si="8"/>
        <v>100</v>
      </c>
      <c r="W6" s="799" t="s">
        <v>876</v>
      </c>
      <c r="X6" s="725">
        <f t="shared" ref="X6:X174" si="9">V6*K6</f>
        <v>100</v>
      </c>
      <c r="Y6" s="725">
        <f t="shared" ref="Y6:AA6" si="10">X6</f>
        <v>100</v>
      </c>
      <c r="Z6" s="725">
        <f t="shared" si="10"/>
        <v>100</v>
      </c>
      <c r="AA6" s="455">
        <f t="shared" si="10"/>
        <v>100</v>
      </c>
      <c r="AB6" s="793" t="s">
        <v>876</v>
      </c>
      <c r="AC6" s="799" t="s">
        <v>2930</v>
      </c>
      <c r="AD6" s="799" t="s">
        <v>2931</v>
      </c>
      <c r="AE6" s="635">
        <v>6.0179999999999999E-3</v>
      </c>
      <c r="AF6" s="795">
        <v>1.7694000000000001E-2</v>
      </c>
      <c r="AG6" s="635">
        <v>1.17966E-4</v>
      </c>
      <c r="AH6" s="635">
        <v>1.1100000000000001E-3</v>
      </c>
    </row>
    <row r="7" spans="1:34" ht="14.25">
      <c r="A7" s="14" t="s">
        <v>2932</v>
      </c>
      <c r="B7" s="24" t="s">
        <v>2508</v>
      </c>
      <c r="C7" s="14" t="s">
        <v>2514</v>
      </c>
      <c r="D7" s="14" t="s">
        <v>2911</v>
      </c>
      <c r="E7" s="14" t="s">
        <v>2933</v>
      </c>
      <c r="F7" s="13">
        <v>240</v>
      </c>
      <c r="G7" s="14" t="s">
        <v>2913</v>
      </c>
      <c r="H7" s="13" t="s">
        <v>2934</v>
      </c>
      <c r="I7" s="14" t="s">
        <v>2933</v>
      </c>
      <c r="J7" s="14" t="s">
        <v>2935</v>
      </c>
      <c r="K7" s="478">
        <v>1</v>
      </c>
      <c r="L7" s="220">
        <v>240</v>
      </c>
      <c r="M7" s="24" t="s">
        <v>2936</v>
      </c>
      <c r="N7" s="479" t="s">
        <v>2937</v>
      </c>
      <c r="O7" s="480"/>
      <c r="P7" s="14" t="s">
        <v>2938</v>
      </c>
      <c r="Q7" s="14" t="s">
        <v>2939</v>
      </c>
      <c r="R7" s="14">
        <v>80.5</v>
      </c>
      <c r="S7" s="14">
        <f t="shared" si="0"/>
        <v>193.20000000000002</v>
      </c>
      <c r="T7" s="220">
        <f>SUM(R7:R12)</f>
        <v>100</v>
      </c>
      <c r="U7" s="14">
        <f t="shared" ref="U7:U12" si="11">R7</f>
        <v>80.5</v>
      </c>
      <c r="V7" s="481">
        <f>U7</f>
        <v>80.5</v>
      </c>
      <c r="W7" s="482" t="s">
        <v>72</v>
      </c>
      <c r="X7" s="481">
        <f t="shared" si="9"/>
        <v>80.5</v>
      </c>
      <c r="Y7" s="481">
        <f t="shared" ref="Y7:AA7" si="12">X7</f>
        <v>80.5</v>
      </c>
      <c r="Z7" s="481">
        <f t="shared" si="12"/>
        <v>80.5</v>
      </c>
      <c r="AA7" s="796">
        <f t="shared" si="12"/>
        <v>80.5</v>
      </c>
      <c r="AB7" s="456" t="s">
        <v>72</v>
      </c>
      <c r="AC7" s="469" t="s">
        <v>2938</v>
      </c>
      <c r="AD7" s="469" t="s">
        <v>2940</v>
      </c>
      <c r="AE7" s="457">
        <v>0</v>
      </c>
      <c r="AF7" s="457">
        <v>0</v>
      </c>
      <c r="AG7" s="457">
        <v>0</v>
      </c>
      <c r="AH7" s="457">
        <v>0</v>
      </c>
    </row>
    <row r="8" spans="1:34" ht="14.25">
      <c r="A8" s="14" t="s">
        <v>2932</v>
      </c>
      <c r="B8" s="24" t="s">
        <v>2508</v>
      </c>
      <c r="C8" s="14" t="s">
        <v>2514</v>
      </c>
      <c r="D8" s="14" t="s">
        <v>2911</v>
      </c>
      <c r="E8" s="14" t="s">
        <v>2933</v>
      </c>
      <c r="F8" s="13">
        <v>240</v>
      </c>
      <c r="G8" s="14" t="s">
        <v>2913</v>
      </c>
      <c r="H8" s="13" t="s">
        <v>2934</v>
      </c>
      <c r="I8" s="14" t="s">
        <v>2933</v>
      </c>
      <c r="J8" s="14" t="s">
        <v>2935</v>
      </c>
      <c r="K8" s="478">
        <v>1</v>
      </c>
      <c r="L8" s="220">
        <v>240</v>
      </c>
      <c r="M8" s="24" t="s">
        <v>2936</v>
      </c>
      <c r="N8" s="479" t="s">
        <v>2937</v>
      </c>
      <c r="O8" s="480"/>
      <c r="P8" s="14" t="s">
        <v>2941</v>
      </c>
      <c r="Q8" s="14" t="s">
        <v>2942</v>
      </c>
      <c r="R8" s="14">
        <v>16.3</v>
      </c>
      <c r="S8" s="14">
        <f t="shared" si="0"/>
        <v>39.120000000000005</v>
      </c>
      <c r="T8" s="220">
        <f>SUM(R7:R12)</f>
        <v>100</v>
      </c>
      <c r="U8" s="14">
        <f t="shared" si="11"/>
        <v>16.3</v>
      </c>
      <c r="V8" s="220">
        <f>U8*100/(SUM(U8:U12))</f>
        <v>83.589743589743591</v>
      </c>
      <c r="W8" s="14" t="s">
        <v>308</v>
      </c>
      <c r="X8" s="483">
        <f t="shared" si="9"/>
        <v>83.589743589743591</v>
      </c>
      <c r="Y8" s="483">
        <f>SUM(X8,X10)</f>
        <v>85.641025641025635</v>
      </c>
      <c r="Z8" s="483">
        <f t="shared" ref="Z8:AA8" si="13">Y8</f>
        <v>85.641025641025635</v>
      </c>
      <c r="AA8" s="792">
        <f t="shared" si="13"/>
        <v>85.641025641025635</v>
      </c>
      <c r="AB8" s="18" t="s">
        <v>2515</v>
      </c>
      <c r="AC8" s="13" t="s">
        <v>2943</v>
      </c>
      <c r="AD8" s="13" t="s">
        <v>2944</v>
      </c>
      <c r="AE8" s="12">
        <v>5.0661296264537621E-3</v>
      </c>
      <c r="AF8" s="12">
        <v>4.1132611249310447E-2</v>
      </c>
      <c r="AG8" s="12">
        <v>8.190476190476189E-5</v>
      </c>
      <c r="AH8" s="12">
        <v>6.4489013651634311E-4</v>
      </c>
    </row>
    <row r="9" spans="1:34" ht="14.25">
      <c r="A9" s="14" t="s">
        <v>2932</v>
      </c>
      <c r="B9" s="24" t="s">
        <v>2508</v>
      </c>
      <c r="C9" s="14" t="s">
        <v>2514</v>
      </c>
      <c r="D9" s="14" t="s">
        <v>2911</v>
      </c>
      <c r="E9" s="14" t="s">
        <v>2933</v>
      </c>
      <c r="F9" s="13">
        <v>240</v>
      </c>
      <c r="G9" s="14" t="s">
        <v>2913</v>
      </c>
      <c r="H9" s="13" t="s">
        <v>2934</v>
      </c>
      <c r="I9" s="14" t="s">
        <v>2933</v>
      </c>
      <c r="J9" s="14" t="s">
        <v>2935</v>
      </c>
      <c r="K9" s="478">
        <v>1</v>
      </c>
      <c r="L9" s="220">
        <v>240</v>
      </c>
      <c r="M9" s="24" t="s">
        <v>2936</v>
      </c>
      <c r="N9" s="479" t="s">
        <v>2937</v>
      </c>
      <c r="O9" s="480"/>
      <c r="P9" s="14" t="s">
        <v>2945</v>
      </c>
      <c r="Q9" s="14" t="s">
        <v>2946</v>
      </c>
      <c r="R9" s="435">
        <v>2.65</v>
      </c>
      <c r="S9" s="14">
        <f t="shared" si="0"/>
        <v>6.3599999999999994</v>
      </c>
      <c r="T9" s="220">
        <f>SUM(R7:R12)</f>
        <v>100</v>
      </c>
      <c r="U9" s="14">
        <f t="shared" si="11"/>
        <v>2.65</v>
      </c>
      <c r="V9" s="220">
        <f>U9*100/(SUM(U8:U12))</f>
        <v>13.589743589743589</v>
      </c>
      <c r="W9" s="14" t="s">
        <v>433</v>
      </c>
      <c r="X9" s="483">
        <f t="shared" si="9"/>
        <v>13.589743589743589</v>
      </c>
      <c r="Y9" s="483">
        <f t="shared" ref="Y9:AA9" si="14">X9</f>
        <v>13.589743589743589</v>
      </c>
      <c r="Z9" s="483">
        <f t="shared" si="14"/>
        <v>13.589743589743589</v>
      </c>
      <c r="AA9" s="792">
        <f t="shared" si="14"/>
        <v>13.589743589743589</v>
      </c>
      <c r="AB9" s="18" t="s">
        <v>433</v>
      </c>
      <c r="AC9" s="13" t="s">
        <v>433</v>
      </c>
      <c r="AD9" s="13" t="s">
        <v>2947</v>
      </c>
      <c r="AE9" s="12">
        <v>3.0104466724907065E-4</v>
      </c>
      <c r="AF9" s="12">
        <v>1.2500000000000001E-2</v>
      </c>
      <c r="AG9" s="12">
        <v>5.1818181818181835E-4</v>
      </c>
      <c r="AH9" s="12">
        <v>4.0084080366977777E-4</v>
      </c>
    </row>
    <row r="10" spans="1:34" ht="14.25">
      <c r="A10" s="14" t="s">
        <v>2932</v>
      </c>
      <c r="B10" s="24" t="s">
        <v>2508</v>
      </c>
      <c r="C10" s="14" t="s">
        <v>2514</v>
      </c>
      <c r="D10" s="14" t="s">
        <v>2911</v>
      </c>
      <c r="E10" s="14" t="s">
        <v>2933</v>
      </c>
      <c r="F10" s="13">
        <v>240</v>
      </c>
      <c r="G10" s="14" t="s">
        <v>2913</v>
      </c>
      <c r="H10" s="13" t="s">
        <v>2934</v>
      </c>
      <c r="I10" s="14" t="s">
        <v>2933</v>
      </c>
      <c r="J10" s="14" t="s">
        <v>2935</v>
      </c>
      <c r="K10" s="478">
        <v>1</v>
      </c>
      <c r="L10" s="220">
        <v>240</v>
      </c>
      <c r="M10" s="24" t="s">
        <v>2936</v>
      </c>
      <c r="N10" s="479" t="s">
        <v>2937</v>
      </c>
      <c r="O10" s="480"/>
      <c r="P10" s="14" t="s">
        <v>2948</v>
      </c>
      <c r="Q10" s="14" t="s">
        <v>2949</v>
      </c>
      <c r="R10" s="435">
        <v>0.4</v>
      </c>
      <c r="S10" s="14">
        <f t="shared" si="0"/>
        <v>0.96</v>
      </c>
      <c r="T10" s="220">
        <f>SUM(R7:R12)</f>
        <v>100</v>
      </c>
      <c r="U10" s="14">
        <f t="shared" si="11"/>
        <v>0.4</v>
      </c>
      <c r="V10" s="220">
        <f>U10*100/(SUM(U8:U12))</f>
        <v>2.0512820512820511</v>
      </c>
      <c r="W10" s="14" t="s">
        <v>305</v>
      </c>
      <c r="X10" s="483">
        <f t="shared" si="9"/>
        <v>2.0512820512820511</v>
      </c>
      <c r="Y10" s="220" t="s">
        <v>1666</v>
      </c>
      <c r="Z10" s="220" t="str">
        <f t="shared" ref="Z10:AA10" si="15">Y10</f>
        <v>*</v>
      </c>
      <c r="AA10" s="792" t="str">
        <f t="shared" si="15"/>
        <v>*</v>
      </c>
      <c r="AB10" s="18" t="s">
        <v>1666</v>
      </c>
      <c r="AC10" s="13" t="str">
        <f t="shared" ref="AC10:AH10" si="16">AB10</f>
        <v>*</v>
      </c>
      <c r="AD10" s="13" t="str">
        <f t="shared" si="16"/>
        <v>*</v>
      </c>
      <c r="AE10" s="454" t="str">
        <f t="shared" si="16"/>
        <v>*</v>
      </c>
      <c r="AF10" s="454" t="str">
        <f t="shared" si="16"/>
        <v>*</v>
      </c>
      <c r="AG10" s="454" t="str">
        <f t="shared" si="16"/>
        <v>*</v>
      </c>
      <c r="AH10" s="454" t="str">
        <f t="shared" si="16"/>
        <v>*</v>
      </c>
    </row>
    <row r="11" spans="1:34" ht="14.25">
      <c r="A11" s="14" t="s">
        <v>2932</v>
      </c>
      <c r="B11" s="24" t="s">
        <v>2508</v>
      </c>
      <c r="C11" s="14" t="s">
        <v>2514</v>
      </c>
      <c r="D11" s="14" t="s">
        <v>2911</v>
      </c>
      <c r="E11" s="14" t="s">
        <v>2933</v>
      </c>
      <c r="F11" s="13">
        <v>240</v>
      </c>
      <c r="G11" s="14" t="s">
        <v>2913</v>
      </c>
      <c r="H11" s="13" t="s">
        <v>2934</v>
      </c>
      <c r="I11" s="14" t="s">
        <v>2933</v>
      </c>
      <c r="J11" s="14" t="s">
        <v>2935</v>
      </c>
      <c r="K11" s="478">
        <v>1</v>
      </c>
      <c r="L11" s="220">
        <v>240</v>
      </c>
      <c r="M11" s="24" t="s">
        <v>2936</v>
      </c>
      <c r="N11" s="479" t="s">
        <v>2937</v>
      </c>
      <c r="O11" s="480"/>
      <c r="P11" s="14" t="s">
        <v>83</v>
      </c>
      <c r="Q11" s="14" t="s">
        <v>2950</v>
      </c>
      <c r="R11" s="107">
        <v>0.1</v>
      </c>
      <c r="S11" s="14">
        <f t="shared" si="0"/>
        <v>0.24</v>
      </c>
      <c r="T11" s="220">
        <f>SUM(R7:R12)</f>
        <v>100</v>
      </c>
      <c r="U11" s="14">
        <f t="shared" si="11"/>
        <v>0.1</v>
      </c>
      <c r="V11" s="220">
        <f>U11*100/SUM(U8:U12)</f>
        <v>0.51282051282051277</v>
      </c>
      <c r="W11" s="14" t="s">
        <v>83</v>
      </c>
      <c r="X11" s="484">
        <f t="shared" si="9"/>
        <v>0.51282051282051277</v>
      </c>
      <c r="Y11" s="220" t="s">
        <v>1624</v>
      </c>
      <c r="Z11" s="483">
        <f t="shared" ref="Z11:Z12" si="17">X11</f>
        <v>0.51282051282051277</v>
      </c>
      <c r="AA11" s="792">
        <f t="shared" ref="AA11:AA12" si="18">Z11</f>
        <v>0.51282051282051277</v>
      </c>
      <c r="AB11" s="18" t="s">
        <v>83</v>
      </c>
      <c r="AC11" s="14" t="s">
        <v>83</v>
      </c>
      <c r="AD11" s="14" t="s">
        <v>2951</v>
      </c>
      <c r="AE11" s="12">
        <v>0</v>
      </c>
      <c r="AF11" s="12">
        <v>0</v>
      </c>
      <c r="AG11" s="12">
        <v>0</v>
      </c>
      <c r="AH11" s="12">
        <v>0</v>
      </c>
    </row>
    <row r="12" spans="1:34" ht="14.25">
      <c r="A12" s="617" t="s">
        <v>2932</v>
      </c>
      <c r="B12" s="794" t="s">
        <v>2508</v>
      </c>
      <c r="C12" s="617" t="s">
        <v>2514</v>
      </c>
      <c r="D12" s="617" t="s">
        <v>2911</v>
      </c>
      <c r="E12" s="617" t="s">
        <v>2933</v>
      </c>
      <c r="F12" s="799">
        <v>240</v>
      </c>
      <c r="G12" s="617" t="s">
        <v>2913</v>
      </c>
      <c r="H12" s="799" t="s">
        <v>2934</v>
      </c>
      <c r="I12" s="617" t="s">
        <v>2933</v>
      </c>
      <c r="J12" s="617" t="s">
        <v>2935</v>
      </c>
      <c r="K12" s="838">
        <v>1</v>
      </c>
      <c r="L12" s="725">
        <v>240</v>
      </c>
      <c r="M12" s="794" t="s">
        <v>2936</v>
      </c>
      <c r="N12" s="841" t="s">
        <v>2937</v>
      </c>
      <c r="O12" s="842"/>
      <c r="P12" s="617" t="s">
        <v>421</v>
      </c>
      <c r="Q12" s="617" t="s">
        <v>2952</v>
      </c>
      <c r="R12" s="843">
        <v>0.05</v>
      </c>
      <c r="S12" s="617">
        <f t="shared" si="0"/>
        <v>0.12</v>
      </c>
      <c r="T12" s="725">
        <f>SUM(R7:R12)</f>
        <v>100</v>
      </c>
      <c r="U12" s="617">
        <f t="shared" si="11"/>
        <v>0.05</v>
      </c>
      <c r="V12" s="725">
        <f>U12*100/SUM(U8:U12)</f>
        <v>0.25641025641025639</v>
      </c>
      <c r="W12" s="617" t="s">
        <v>421</v>
      </c>
      <c r="X12" s="844">
        <f t="shared" si="9"/>
        <v>0.25641025641025639</v>
      </c>
      <c r="Y12" s="845">
        <f>SUM(X12,X11)</f>
        <v>0.76923076923076916</v>
      </c>
      <c r="Z12" s="845">
        <f t="shared" si="17"/>
        <v>0.25641025641025639</v>
      </c>
      <c r="AA12" s="455">
        <f t="shared" si="18"/>
        <v>0.25641025641025639</v>
      </c>
      <c r="AB12" s="793" t="s">
        <v>421</v>
      </c>
      <c r="AC12" s="617" t="s">
        <v>2953</v>
      </c>
      <c r="AD12" s="617" t="s">
        <v>2954</v>
      </c>
      <c r="AE12" s="635">
        <v>3.372204299368619E-2</v>
      </c>
      <c r="AF12" s="635">
        <v>6.4584205812988751E-2</v>
      </c>
      <c r="AG12" s="635">
        <v>3.9999999999999998E-6</v>
      </c>
      <c r="AH12" s="635">
        <v>1.477309663377164E-3</v>
      </c>
    </row>
    <row r="13" spans="1:34" ht="12.75">
      <c r="A13" s="14" t="s">
        <v>2955</v>
      </c>
      <c r="B13" s="24" t="s">
        <v>2508</v>
      </c>
      <c r="C13" s="14" t="s">
        <v>2516</v>
      </c>
      <c r="D13" s="14" t="s">
        <v>2911</v>
      </c>
      <c r="E13" s="14" t="s">
        <v>2776</v>
      </c>
      <c r="F13" s="13">
        <v>8</v>
      </c>
      <c r="G13" s="14" t="s">
        <v>2956</v>
      </c>
      <c r="H13" s="485" t="s">
        <v>2957</v>
      </c>
      <c r="I13" s="14" t="s">
        <v>2958</v>
      </c>
      <c r="J13" s="14" t="s">
        <v>2959</v>
      </c>
      <c r="K13" s="478">
        <v>1</v>
      </c>
      <c r="L13" s="220">
        <v>8</v>
      </c>
      <c r="M13" s="13">
        <v>1072</v>
      </c>
      <c r="N13" s="13" t="s">
        <v>2960</v>
      </c>
      <c r="O13" s="220" t="s">
        <v>2961</v>
      </c>
      <c r="P13" s="14" t="s">
        <v>2938</v>
      </c>
      <c r="Q13" s="14" t="s">
        <v>2939</v>
      </c>
      <c r="R13" s="220">
        <v>64</v>
      </c>
      <c r="S13" s="14">
        <f t="shared" si="0"/>
        <v>5.12</v>
      </c>
      <c r="T13" s="220">
        <f>SUM(R13:R18)</f>
        <v>99.800000000000011</v>
      </c>
      <c r="U13" s="220">
        <f t="shared" ref="U13:U22" si="19">R13*100/T13</f>
        <v>64.128256513026045</v>
      </c>
      <c r="V13" s="481">
        <f>U13</f>
        <v>64.128256513026045</v>
      </c>
      <c r="W13" s="482" t="s">
        <v>72</v>
      </c>
      <c r="X13" s="482">
        <f t="shared" si="9"/>
        <v>64.128256513026045</v>
      </c>
      <c r="Y13" s="481">
        <f t="shared" ref="Y13:AA13" si="20">X13</f>
        <v>64.128256513026045</v>
      </c>
      <c r="Z13" s="481">
        <f t="shared" si="20"/>
        <v>64.128256513026045</v>
      </c>
      <c r="AA13" s="796">
        <f t="shared" si="20"/>
        <v>64.128256513026045</v>
      </c>
      <c r="AB13" s="456" t="s">
        <v>72</v>
      </c>
      <c r="AC13" s="469" t="s">
        <v>2938</v>
      </c>
      <c r="AD13" s="469" t="s">
        <v>2940</v>
      </c>
      <c r="AE13" s="457">
        <v>0</v>
      </c>
      <c r="AF13" s="457">
        <v>0</v>
      </c>
      <c r="AG13" s="457">
        <v>0</v>
      </c>
      <c r="AH13" s="457">
        <v>0</v>
      </c>
    </row>
    <row r="14" spans="1:34" ht="12.75">
      <c r="A14" s="14" t="s">
        <v>2955</v>
      </c>
      <c r="B14" s="24" t="s">
        <v>2508</v>
      </c>
      <c r="C14" s="14" t="s">
        <v>2516</v>
      </c>
      <c r="D14" s="14" t="s">
        <v>2911</v>
      </c>
      <c r="E14" s="14" t="s">
        <v>2776</v>
      </c>
      <c r="F14" s="13">
        <v>8</v>
      </c>
      <c r="G14" s="14" t="s">
        <v>2956</v>
      </c>
      <c r="H14" s="485" t="s">
        <v>2957</v>
      </c>
      <c r="I14" s="14" t="s">
        <v>2958</v>
      </c>
      <c r="J14" s="14" t="s">
        <v>2959</v>
      </c>
      <c r="K14" s="478">
        <v>1</v>
      </c>
      <c r="L14" s="220">
        <v>8</v>
      </c>
      <c r="M14" s="13">
        <v>1072</v>
      </c>
      <c r="N14" s="13" t="s">
        <v>2960</v>
      </c>
      <c r="O14" s="220" t="s">
        <v>2961</v>
      </c>
      <c r="P14" s="14" t="s">
        <v>2962</v>
      </c>
      <c r="Q14" s="14" t="s">
        <v>2963</v>
      </c>
      <c r="R14" s="220">
        <v>13.2</v>
      </c>
      <c r="S14" s="14">
        <f t="shared" si="0"/>
        <v>1.056</v>
      </c>
      <c r="T14" s="220">
        <f>SUM(R13:R18)</f>
        <v>99.800000000000011</v>
      </c>
      <c r="U14" s="220">
        <f t="shared" si="19"/>
        <v>13.226452905811621</v>
      </c>
      <c r="V14" s="220">
        <f>U14*100/(SUM(U14:U18))</f>
        <v>36.871508379888262</v>
      </c>
      <c r="W14" s="14" t="s">
        <v>425</v>
      </c>
      <c r="X14" s="14">
        <f t="shared" si="9"/>
        <v>36.871508379888262</v>
      </c>
      <c r="Y14" s="220">
        <f>SUM(X14,X17)</f>
        <v>42.458100558659211</v>
      </c>
      <c r="Z14" s="220">
        <f>X14</f>
        <v>36.871508379888262</v>
      </c>
      <c r="AA14" s="792">
        <f>Z14</f>
        <v>36.871508379888262</v>
      </c>
      <c r="AB14" s="18" t="s">
        <v>425</v>
      </c>
      <c r="AC14" s="13" t="s">
        <v>2964</v>
      </c>
      <c r="AD14" s="13" t="s">
        <v>2965</v>
      </c>
      <c r="AE14" s="12">
        <v>3.8102374934982654E-3</v>
      </c>
      <c r="AF14" s="12">
        <v>0.20470422547079484</v>
      </c>
      <c r="AG14" s="12">
        <v>1.210810810810811E-4</v>
      </c>
      <c r="AH14" s="12">
        <v>1.0002400855855065E-3</v>
      </c>
    </row>
    <row r="15" spans="1:34" ht="12.75">
      <c r="A15" s="14" t="s">
        <v>2955</v>
      </c>
      <c r="B15" s="24" t="s">
        <v>2508</v>
      </c>
      <c r="C15" s="14" t="s">
        <v>2516</v>
      </c>
      <c r="D15" s="14" t="s">
        <v>2911</v>
      </c>
      <c r="E15" s="14" t="s">
        <v>2776</v>
      </c>
      <c r="F15" s="13">
        <v>8</v>
      </c>
      <c r="G15" s="14" t="s">
        <v>2956</v>
      </c>
      <c r="H15" s="485" t="s">
        <v>2957</v>
      </c>
      <c r="I15" s="14" t="s">
        <v>2958</v>
      </c>
      <c r="J15" s="14" t="s">
        <v>2959</v>
      </c>
      <c r="K15" s="478">
        <v>1</v>
      </c>
      <c r="L15" s="220">
        <v>8</v>
      </c>
      <c r="M15" s="13">
        <v>1072</v>
      </c>
      <c r="N15" s="13" t="s">
        <v>2960</v>
      </c>
      <c r="O15" s="220" t="s">
        <v>2961</v>
      </c>
      <c r="P15" s="14" t="s">
        <v>319</v>
      </c>
      <c r="Q15" s="486" t="s">
        <v>2966</v>
      </c>
      <c r="R15" s="220">
        <v>9.4</v>
      </c>
      <c r="S15" s="14">
        <f t="shared" si="0"/>
        <v>0.752</v>
      </c>
      <c r="T15" s="220">
        <f>SUM(R13:R18)</f>
        <v>99.800000000000011</v>
      </c>
      <c r="U15" s="220">
        <f t="shared" si="19"/>
        <v>9.4188376753506997</v>
      </c>
      <c r="V15" s="220">
        <f>U15*100/SUM(U14:U18)</f>
        <v>26.256983240223459</v>
      </c>
      <c r="W15" s="14" t="s">
        <v>319</v>
      </c>
      <c r="X15" s="14">
        <f t="shared" si="9"/>
        <v>26.256983240223459</v>
      </c>
      <c r="Y15" s="220">
        <f t="shared" ref="Y15:AA15" si="21">X15</f>
        <v>26.256983240223459</v>
      </c>
      <c r="Z15" s="220">
        <f t="shared" si="21"/>
        <v>26.256983240223459</v>
      </c>
      <c r="AA15" s="792">
        <f t="shared" si="21"/>
        <v>26.256983240223459</v>
      </c>
      <c r="AB15" s="18" t="s">
        <v>319</v>
      </c>
      <c r="AC15" s="13" t="s">
        <v>18</v>
      </c>
      <c r="AD15" s="13" t="s">
        <v>2967</v>
      </c>
      <c r="AE15" s="12">
        <v>1.4285714285714287E-2</v>
      </c>
      <c r="AF15" s="12">
        <v>6.2E-2</v>
      </c>
      <c r="AG15" s="12">
        <v>3.0000000000000001E-6</v>
      </c>
      <c r="AH15" s="12">
        <v>8.9999999999999998E-4</v>
      </c>
    </row>
    <row r="16" spans="1:34" ht="12.75">
      <c r="A16" s="14" t="s">
        <v>2955</v>
      </c>
      <c r="B16" s="24" t="s">
        <v>2508</v>
      </c>
      <c r="C16" s="14" t="s">
        <v>2516</v>
      </c>
      <c r="D16" s="14" t="s">
        <v>2911</v>
      </c>
      <c r="E16" s="14" t="s">
        <v>2776</v>
      </c>
      <c r="F16" s="13">
        <v>8</v>
      </c>
      <c r="G16" s="14" t="s">
        <v>2956</v>
      </c>
      <c r="H16" s="485" t="s">
        <v>2957</v>
      </c>
      <c r="I16" s="14" t="s">
        <v>2958</v>
      </c>
      <c r="J16" s="14" t="s">
        <v>2959</v>
      </c>
      <c r="K16" s="478">
        <v>1</v>
      </c>
      <c r="L16" s="220">
        <v>8</v>
      </c>
      <c r="M16" s="13">
        <v>1072</v>
      </c>
      <c r="N16" s="13" t="s">
        <v>2960</v>
      </c>
      <c r="O16" s="220" t="s">
        <v>2961</v>
      </c>
      <c r="P16" s="14" t="s">
        <v>1370</v>
      </c>
      <c r="Q16" s="486" t="s">
        <v>2968</v>
      </c>
      <c r="R16" s="220">
        <v>9.4</v>
      </c>
      <c r="S16" s="14">
        <f t="shared" si="0"/>
        <v>0.752</v>
      </c>
      <c r="T16" s="220">
        <f>SUM(R13:R18)</f>
        <v>99.800000000000011</v>
      </c>
      <c r="U16" s="220">
        <f t="shared" si="19"/>
        <v>9.4188376753506997</v>
      </c>
      <c r="V16" s="220">
        <f>U16*100/SUM(U14:U18)</f>
        <v>26.256983240223459</v>
      </c>
      <c r="W16" s="14" t="s">
        <v>1370</v>
      </c>
      <c r="X16" s="14">
        <f t="shared" si="9"/>
        <v>26.256983240223459</v>
      </c>
      <c r="Y16" s="220">
        <f t="shared" ref="Y16:AA16" si="22">X16</f>
        <v>26.256983240223459</v>
      </c>
      <c r="Z16" s="220">
        <f t="shared" si="22"/>
        <v>26.256983240223459</v>
      </c>
      <c r="AA16" s="792">
        <f t="shared" si="22"/>
        <v>26.256983240223459</v>
      </c>
      <c r="AB16" s="18" t="s">
        <v>1370</v>
      </c>
      <c r="AC16" s="13"/>
      <c r="AD16" s="13"/>
      <c r="AE16" s="12">
        <v>1.7000000000000001E-2</v>
      </c>
      <c r="AF16" s="12">
        <v>3.15E-2</v>
      </c>
      <c r="AG16" s="12">
        <v>9.9999999999999995E-7</v>
      </c>
      <c r="AH16" s="12">
        <v>9.0389601227534877E-4</v>
      </c>
    </row>
    <row r="17" spans="1:34" ht="12.75">
      <c r="A17" s="14" t="s">
        <v>2955</v>
      </c>
      <c r="B17" s="24" t="s">
        <v>2508</v>
      </c>
      <c r="C17" s="14" t="s">
        <v>2516</v>
      </c>
      <c r="D17" s="14" t="s">
        <v>2911</v>
      </c>
      <c r="E17" s="14" t="s">
        <v>2776</v>
      </c>
      <c r="F17" s="13">
        <v>8</v>
      </c>
      <c r="G17" s="14" t="s">
        <v>2956</v>
      </c>
      <c r="H17" s="485" t="s">
        <v>2957</v>
      </c>
      <c r="I17" s="14" t="s">
        <v>2958</v>
      </c>
      <c r="J17" s="14" t="s">
        <v>2959</v>
      </c>
      <c r="K17" s="478">
        <v>1</v>
      </c>
      <c r="L17" s="220">
        <v>8</v>
      </c>
      <c r="M17" s="13">
        <v>1072</v>
      </c>
      <c r="N17" s="13" t="s">
        <v>2960</v>
      </c>
      <c r="O17" s="220" t="s">
        <v>2961</v>
      </c>
      <c r="P17" s="14" t="s">
        <v>2517</v>
      </c>
      <c r="Q17" s="486" t="s">
        <v>2963</v>
      </c>
      <c r="R17" s="220">
        <v>2</v>
      </c>
      <c r="S17" s="14">
        <f t="shared" si="0"/>
        <v>0.16</v>
      </c>
      <c r="T17" s="220">
        <f>SUM(R13:R18)</f>
        <v>99.800000000000011</v>
      </c>
      <c r="U17" s="220">
        <f t="shared" si="19"/>
        <v>2.0040080160320639</v>
      </c>
      <c r="V17" s="220">
        <f>U17*100/SUM(U14:U18)</f>
        <v>5.5865921787709487</v>
      </c>
      <c r="W17" s="14" t="s">
        <v>2517</v>
      </c>
      <c r="X17" s="14">
        <f t="shared" si="9"/>
        <v>5.5865921787709487</v>
      </c>
      <c r="Y17" s="220" t="s">
        <v>1666</v>
      </c>
      <c r="Z17" s="220">
        <f>X17</f>
        <v>5.5865921787709487</v>
      </c>
      <c r="AA17" s="792">
        <f>Z17</f>
        <v>5.5865921787709487</v>
      </c>
      <c r="AB17" s="18" t="s">
        <v>2517</v>
      </c>
      <c r="AC17" s="13" t="s">
        <v>2964</v>
      </c>
      <c r="AD17" s="13" t="s">
        <v>2965</v>
      </c>
      <c r="AE17" s="12">
        <v>3.8102374934982654E-3</v>
      </c>
      <c r="AF17" s="12">
        <v>0.20470422547079484</v>
      </c>
      <c r="AG17" s="12">
        <v>1.210810810810811E-4</v>
      </c>
      <c r="AH17" s="12">
        <v>1.0002400855855065E-3</v>
      </c>
    </row>
    <row r="18" spans="1:34" ht="12.75">
      <c r="A18" s="617" t="s">
        <v>2955</v>
      </c>
      <c r="B18" s="794" t="s">
        <v>2508</v>
      </c>
      <c r="C18" s="617" t="s">
        <v>2516</v>
      </c>
      <c r="D18" s="617" t="s">
        <v>2911</v>
      </c>
      <c r="E18" s="617" t="s">
        <v>2776</v>
      </c>
      <c r="F18" s="799">
        <v>8</v>
      </c>
      <c r="G18" s="617" t="s">
        <v>2956</v>
      </c>
      <c r="H18" s="846" t="s">
        <v>2957</v>
      </c>
      <c r="I18" s="617" t="s">
        <v>2958</v>
      </c>
      <c r="J18" s="617" t="s">
        <v>2959</v>
      </c>
      <c r="K18" s="838">
        <v>1</v>
      </c>
      <c r="L18" s="725">
        <v>8</v>
      </c>
      <c r="M18" s="799">
        <v>1072</v>
      </c>
      <c r="N18" s="799" t="s">
        <v>2960</v>
      </c>
      <c r="O18" s="725" t="s">
        <v>2961</v>
      </c>
      <c r="P18" s="617" t="s">
        <v>2969</v>
      </c>
      <c r="Q18" s="617"/>
      <c r="R18" s="725">
        <v>1.8</v>
      </c>
      <c r="S18" s="617">
        <f t="shared" si="0"/>
        <v>0.14400000000000002</v>
      </c>
      <c r="T18" s="725">
        <f>SUM(R13:R18)</f>
        <v>99.800000000000011</v>
      </c>
      <c r="U18" s="725">
        <f t="shared" si="19"/>
        <v>1.8036072144288575</v>
      </c>
      <c r="V18" s="725">
        <f>U18*100/SUM(U14:U18)</f>
        <v>5.0279329608938541</v>
      </c>
      <c r="W18" s="617" t="s">
        <v>2518</v>
      </c>
      <c r="X18" s="781">
        <f t="shared" si="9"/>
        <v>5.0279329608938541</v>
      </c>
      <c r="Y18" s="725">
        <f t="shared" ref="Y18:AA18" si="23">X18</f>
        <v>5.0279329608938541</v>
      </c>
      <c r="Z18" s="725">
        <f t="shared" si="23"/>
        <v>5.0279329608938541</v>
      </c>
      <c r="AA18" s="455">
        <f t="shared" si="23"/>
        <v>5.0279329608938541</v>
      </c>
      <c r="AB18" s="797" t="s">
        <v>2518</v>
      </c>
      <c r="AC18" s="847" t="s">
        <v>877</v>
      </c>
      <c r="AD18" s="847" t="s">
        <v>2916</v>
      </c>
      <c r="AE18" s="798">
        <v>3.9416473933649287E-3</v>
      </c>
      <c r="AF18" s="798">
        <v>1.1589150710900475E-2</v>
      </c>
      <c r="AG18" s="798">
        <v>7.7264934597156404E-5</v>
      </c>
      <c r="AH18" s="798">
        <v>7.2702369668246447E-4</v>
      </c>
    </row>
    <row r="19" spans="1:34" ht="14.25">
      <c r="A19" s="14" t="s">
        <v>2970</v>
      </c>
      <c r="B19" s="24" t="s">
        <v>2508</v>
      </c>
      <c r="C19" s="14" t="s">
        <v>2519</v>
      </c>
      <c r="D19" s="14" t="s">
        <v>2911</v>
      </c>
      <c r="E19" s="14" t="s">
        <v>2971</v>
      </c>
      <c r="F19" s="13">
        <v>14</v>
      </c>
      <c r="G19" s="14" t="s">
        <v>2972</v>
      </c>
      <c r="H19" s="13" t="s">
        <v>2973</v>
      </c>
      <c r="I19" s="14" t="s">
        <v>2971</v>
      </c>
      <c r="J19" s="14" t="s">
        <v>2974</v>
      </c>
      <c r="K19" s="478">
        <v>0.81</v>
      </c>
      <c r="L19" s="220">
        <v>11.34</v>
      </c>
      <c r="M19" s="473" t="s">
        <v>2975</v>
      </c>
      <c r="N19" s="479" t="s">
        <v>2937</v>
      </c>
      <c r="O19" s="480" t="s">
        <v>2976</v>
      </c>
      <c r="P19" s="14" t="s">
        <v>2938</v>
      </c>
      <c r="Q19" s="14" t="s">
        <v>2939</v>
      </c>
      <c r="R19" s="14">
        <v>65</v>
      </c>
      <c r="S19" s="14">
        <f t="shared" si="0"/>
        <v>7.3710000000000004</v>
      </c>
      <c r="T19" s="487">
        <f>SUM(R19:R26)</f>
        <v>95.85</v>
      </c>
      <c r="U19" s="14">
        <f t="shared" si="19"/>
        <v>67.814293166405847</v>
      </c>
      <c r="V19" s="481">
        <f>U19</f>
        <v>67.814293166405847</v>
      </c>
      <c r="W19" s="482" t="s">
        <v>72</v>
      </c>
      <c r="X19" s="481">
        <f t="shared" si="9"/>
        <v>54.929577464788743</v>
      </c>
      <c r="Y19" s="481">
        <f>SUM(X19,X27)</f>
        <v>68.067875337129166</v>
      </c>
      <c r="Z19" s="481">
        <f t="shared" ref="Z19:AA19" si="24">Y19</f>
        <v>68.067875337129166</v>
      </c>
      <c r="AA19" s="796">
        <f t="shared" si="24"/>
        <v>68.067875337129166</v>
      </c>
      <c r="AB19" s="456" t="s">
        <v>72</v>
      </c>
      <c r="AC19" s="469" t="s">
        <v>2938</v>
      </c>
      <c r="AD19" s="469" t="s">
        <v>2940</v>
      </c>
      <c r="AE19" s="457">
        <v>0</v>
      </c>
      <c r="AF19" s="457">
        <v>0</v>
      </c>
      <c r="AG19" s="457">
        <v>0</v>
      </c>
      <c r="AH19" s="457">
        <v>0</v>
      </c>
    </row>
    <row r="20" spans="1:34" ht="14.25">
      <c r="A20" s="14" t="s">
        <v>2970</v>
      </c>
      <c r="B20" s="24" t="s">
        <v>2508</v>
      </c>
      <c r="C20" s="14" t="s">
        <v>2519</v>
      </c>
      <c r="D20" s="14" t="s">
        <v>2911</v>
      </c>
      <c r="E20" s="14" t="s">
        <v>2971</v>
      </c>
      <c r="F20" s="13">
        <v>14</v>
      </c>
      <c r="G20" s="14" t="s">
        <v>2972</v>
      </c>
      <c r="H20" s="13" t="s">
        <v>2973</v>
      </c>
      <c r="I20" s="14" t="s">
        <v>2971</v>
      </c>
      <c r="J20" s="14" t="s">
        <v>2974</v>
      </c>
      <c r="K20" s="478">
        <v>0.81</v>
      </c>
      <c r="L20" s="220">
        <v>11.34</v>
      </c>
      <c r="M20" s="473" t="s">
        <v>2975</v>
      </c>
      <c r="N20" s="479" t="s">
        <v>2937</v>
      </c>
      <c r="O20" s="480" t="s">
        <v>2976</v>
      </c>
      <c r="P20" s="655" t="s">
        <v>2977</v>
      </c>
      <c r="Q20" s="14" t="s">
        <v>2978</v>
      </c>
      <c r="R20" s="14">
        <v>12</v>
      </c>
      <c r="S20" s="14">
        <f t="shared" si="0"/>
        <v>1.3608</v>
      </c>
      <c r="T20" s="487">
        <f>SUM(R19:R26)</f>
        <v>95.85</v>
      </c>
      <c r="U20" s="14">
        <f t="shared" si="19"/>
        <v>12.519561815336465</v>
      </c>
      <c r="V20" s="220">
        <f>U20*100/SUM(U20:U26)</f>
        <v>38.897893030794165</v>
      </c>
      <c r="W20" s="14" t="s">
        <v>227</v>
      </c>
      <c r="X20" s="220">
        <f t="shared" si="9"/>
        <v>31.507293354943275</v>
      </c>
      <c r="Y20" s="220">
        <f>SUM(X20,X21,X28,X29)</f>
        <v>67.250772792246664</v>
      </c>
      <c r="Z20" s="220">
        <f t="shared" ref="Z20:Z21" si="25">SUM(X20,X28)</f>
        <v>43.041863338079871</v>
      </c>
      <c r="AA20" s="792">
        <f t="shared" ref="AA20:AA21" si="26">Z20</f>
        <v>43.041863338079871</v>
      </c>
      <c r="AB20" s="18" t="s">
        <v>227</v>
      </c>
      <c r="AC20" s="13" t="s">
        <v>55</v>
      </c>
      <c r="AD20" s="13" t="s">
        <v>2979</v>
      </c>
      <c r="AE20" s="12">
        <v>2.5055367220000002E-3</v>
      </c>
      <c r="AF20" s="12">
        <v>3.8459841414181101E-2</v>
      </c>
      <c r="AG20" s="12">
        <v>1.1035422343324251E-4</v>
      </c>
      <c r="AH20" s="12">
        <v>8.109653861711444E-4</v>
      </c>
    </row>
    <row r="21" spans="1:34" ht="14.25">
      <c r="A21" s="14" t="s">
        <v>2970</v>
      </c>
      <c r="B21" s="24" t="s">
        <v>2508</v>
      </c>
      <c r="C21" s="14" t="s">
        <v>2519</v>
      </c>
      <c r="D21" s="14" t="s">
        <v>2911</v>
      </c>
      <c r="E21" s="14" t="s">
        <v>2971</v>
      </c>
      <c r="F21" s="13">
        <v>14</v>
      </c>
      <c r="G21" s="14" t="s">
        <v>2972</v>
      </c>
      <c r="H21" s="13" t="s">
        <v>2973</v>
      </c>
      <c r="I21" s="14" t="s">
        <v>2971</v>
      </c>
      <c r="J21" s="14" t="s">
        <v>2974</v>
      </c>
      <c r="K21" s="478">
        <v>0.81</v>
      </c>
      <c r="L21" s="220">
        <v>11.34</v>
      </c>
      <c r="M21" s="473" t="s">
        <v>2975</v>
      </c>
      <c r="N21" s="479" t="s">
        <v>2937</v>
      </c>
      <c r="O21" s="480" t="s">
        <v>2976</v>
      </c>
      <c r="P21" s="14" t="s">
        <v>2962</v>
      </c>
      <c r="Q21" s="14" t="s">
        <v>2963</v>
      </c>
      <c r="R21" s="14">
        <v>8</v>
      </c>
      <c r="S21" s="14">
        <f t="shared" si="0"/>
        <v>0.90720000000000001</v>
      </c>
      <c r="T21" s="487">
        <f>SUM(R19:R26)</f>
        <v>95.85</v>
      </c>
      <c r="U21" s="14">
        <f t="shared" si="19"/>
        <v>8.3463745435576424</v>
      </c>
      <c r="V21" s="220">
        <f>U21*100/SUM(U20:U26)</f>
        <v>25.931928687196109</v>
      </c>
      <c r="W21" s="14" t="s">
        <v>425</v>
      </c>
      <c r="X21" s="220">
        <f t="shared" si="9"/>
        <v>21.004862236628849</v>
      </c>
      <c r="Y21" s="220" t="s">
        <v>1666</v>
      </c>
      <c r="Z21" s="220">
        <f t="shared" si="25"/>
        <v>24.208909454166793</v>
      </c>
      <c r="AA21" s="792">
        <f t="shared" si="26"/>
        <v>24.208909454166793</v>
      </c>
      <c r="AB21" s="18" t="s">
        <v>425</v>
      </c>
      <c r="AC21" s="13" t="s">
        <v>2964</v>
      </c>
      <c r="AD21" s="13" t="s">
        <v>2965</v>
      </c>
      <c r="AE21" s="12">
        <v>3.8102374934982654E-3</v>
      </c>
      <c r="AF21" s="12">
        <v>0.20470422547079484</v>
      </c>
      <c r="AG21" s="12">
        <v>1.210810810810811E-4</v>
      </c>
      <c r="AH21" s="12">
        <v>1.0002400855855065E-3</v>
      </c>
    </row>
    <row r="22" spans="1:34" ht="14.25">
      <c r="A22" s="14" t="s">
        <v>2970</v>
      </c>
      <c r="B22" s="24" t="s">
        <v>2508</v>
      </c>
      <c r="C22" s="14" t="s">
        <v>2519</v>
      </c>
      <c r="D22" s="14" t="s">
        <v>2911</v>
      </c>
      <c r="E22" s="14" t="s">
        <v>2971</v>
      </c>
      <c r="F22" s="13">
        <v>14</v>
      </c>
      <c r="G22" s="14" t="s">
        <v>2972</v>
      </c>
      <c r="H22" s="13" t="s">
        <v>2973</v>
      </c>
      <c r="I22" s="14" t="s">
        <v>2971</v>
      </c>
      <c r="J22" s="14" t="s">
        <v>2974</v>
      </c>
      <c r="K22" s="478">
        <v>0.81</v>
      </c>
      <c r="L22" s="220">
        <v>11.34</v>
      </c>
      <c r="M22" s="473" t="s">
        <v>2975</v>
      </c>
      <c r="N22" s="479" t="s">
        <v>2937</v>
      </c>
      <c r="O22" s="480" t="s">
        <v>2976</v>
      </c>
      <c r="P22" s="14" t="s">
        <v>2945</v>
      </c>
      <c r="Q22" s="14" t="s">
        <v>2946</v>
      </c>
      <c r="R22" s="14">
        <v>2</v>
      </c>
      <c r="S22" s="14">
        <f t="shared" si="0"/>
        <v>0.2268</v>
      </c>
      <c r="T22" s="487">
        <f>SUM(R19:R26)</f>
        <v>95.85</v>
      </c>
      <c r="U22" s="14">
        <f t="shared" si="19"/>
        <v>2.0865936358894106</v>
      </c>
      <c r="V22" s="488">
        <f>U22*100/SUM(U20:U26)</f>
        <v>6.4829821717990272</v>
      </c>
      <c r="W22" s="14" t="s">
        <v>433</v>
      </c>
      <c r="X22" s="220">
        <f t="shared" si="9"/>
        <v>5.2512155591572123</v>
      </c>
      <c r="Y22" s="220">
        <f>SUM(X22,X34)</f>
        <v>5.8920250026648011</v>
      </c>
      <c r="Z22" s="220">
        <f t="shared" ref="Z22:AA22" si="27">Y22</f>
        <v>5.8920250026648011</v>
      </c>
      <c r="AA22" s="792">
        <f t="shared" si="27"/>
        <v>5.8920250026648011</v>
      </c>
      <c r="AB22" s="18" t="s">
        <v>433</v>
      </c>
      <c r="AC22" s="13" t="s">
        <v>433</v>
      </c>
      <c r="AD22" s="13" t="s">
        <v>2947</v>
      </c>
      <c r="AE22" s="12">
        <v>3.0104466724907065E-4</v>
      </c>
      <c r="AF22" s="12">
        <v>1.2500000000000001E-2</v>
      </c>
      <c r="AG22" s="12">
        <v>5.1818181818181835E-4</v>
      </c>
      <c r="AH22" s="12">
        <v>4.0084080366977777E-4</v>
      </c>
    </row>
    <row r="23" spans="1:34" ht="14.25">
      <c r="A23" s="14" t="s">
        <v>2970</v>
      </c>
      <c r="B23" s="24" t="s">
        <v>2508</v>
      </c>
      <c r="C23" s="14" t="s">
        <v>2519</v>
      </c>
      <c r="D23" s="14" t="s">
        <v>2911</v>
      </c>
      <c r="E23" s="14" t="s">
        <v>2971</v>
      </c>
      <c r="F23" s="13">
        <v>14</v>
      </c>
      <c r="G23" s="14" t="s">
        <v>2972</v>
      </c>
      <c r="H23" s="13" t="s">
        <v>2973</v>
      </c>
      <c r="I23" s="14" t="s">
        <v>2971</v>
      </c>
      <c r="J23" s="14" t="s">
        <v>2974</v>
      </c>
      <c r="K23" s="478">
        <v>0.81</v>
      </c>
      <c r="L23" s="220">
        <v>11.34</v>
      </c>
      <c r="M23" s="473" t="s">
        <v>2975</v>
      </c>
      <c r="N23" s="479" t="s">
        <v>2937</v>
      </c>
      <c r="O23" s="480" t="s">
        <v>2976</v>
      </c>
      <c r="P23" s="489" t="s">
        <v>2980</v>
      </c>
      <c r="Q23" s="486" t="s">
        <v>2981</v>
      </c>
      <c r="R23" s="14">
        <f t="shared" ref="R23:R24" si="28">4.85/2</f>
        <v>2.4249999999999998</v>
      </c>
      <c r="S23" s="14">
        <f t="shared" ref="S23:S24" si="29">((0.01*R23)*L23)</f>
        <v>0.27499499999999999</v>
      </c>
      <c r="T23" s="487">
        <f>SUM(R19:R26)</f>
        <v>95.85</v>
      </c>
      <c r="U23" s="14">
        <f>(R23*100/T23)</f>
        <v>2.5299947835159102</v>
      </c>
      <c r="V23" s="220">
        <f>U23*100/SUM(U20:U26)</f>
        <v>7.8606158833063198</v>
      </c>
      <c r="W23" s="14" t="s">
        <v>349</v>
      </c>
      <c r="X23" s="220">
        <f t="shared" si="9"/>
        <v>6.3670988654781198</v>
      </c>
      <c r="Y23" s="220">
        <f>SUM(X23,X26,X30)</f>
        <v>9.6335160885643152</v>
      </c>
      <c r="Z23" s="220">
        <f t="shared" ref="Z23:AA23" si="30">Y23</f>
        <v>9.6335160885643152</v>
      </c>
      <c r="AA23" s="792">
        <f t="shared" si="30"/>
        <v>9.6335160885643152</v>
      </c>
      <c r="AB23" s="18" t="s">
        <v>2520</v>
      </c>
      <c r="AC23" s="13" t="s">
        <v>2982</v>
      </c>
      <c r="AD23" s="13" t="s">
        <v>2983</v>
      </c>
      <c r="AE23" s="12">
        <v>2.9691872042618299E-2</v>
      </c>
      <c r="AF23" s="12">
        <v>7.5368545517799299E-2</v>
      </c>
      <c r="AG23" s="12">
        <v>2.9014018691588786E-4</v>
      </c>
      <c r="AH23" s="12">
        <v>1.4770983615231311E-3</v>
      </c>
    </row>
    <row r="24" spans="1:34" ht="14.25">
      <c r="A24" s="14" t="s">
        <v>2970</v>
      </c>
      <c r="B24" s="24" t="s">
        <v>2508</v>
      </c>
      <c r="C24" s="14" t="s">
        <v>2519</v>
      </c>
      <c r="D24" s="14" t="s">
        <v>2911</v>
      </c>
      <c r="E24" s="14" t="s">
        <v>2971</v>
      </c>
      <c r="F24" s="13">
        <v>14</v>
      </c>
      <c r="G24" s="14" t="s">
        <v>2972</v>
      </c>
      <c r="H24" s="13" t="s">
        <v>2973</v>
      </c>
      <c r="I24" s="14" t="s">
        <v>2971</v>
      </c>
      <c r="J24" s="14" t="s">
        <v>2974</v>
      </c>
      <c r="K24" s="478">
        <v>0.81</v>
      </c>
      <c r="L24" s="220">
        <v>11.34</v>
      </c>
      <c r="M24" s="473" t="s">
        <v>2975</v>
      </c>
      <c r="N24" s="479" t="s">
        <v>2937</v>
      </c>
      <c r="O24" s="480" t="s">
        <v>2976</v>
      </c>
      <c r="P24" s="490" t="s">
        <v>2980</v>
      </c>
      <c r="Q24" s="491" t="s">
        <v>2984</v>
      </c>
      <c r="R24" s="14">
        <f t="shared" si="28"/>
        <v>2.4249999999999998</v>
      </c>
      <c r="S24" s="14">
        <f t="shared" si="29"/>
        <v>0.27499499999999999</v>
      </c>
      <c r="T24" s="487">
        <f>SUM(R19:R26)</f>
        <v>95.85</v>
      </c>
      <c r="U24" s="14">
        <f t="shared" ref="U24:U27" si="31">R24*100/T24</f>
        <v>2.5299947835159102</v>
      </c>
      <c r="V24" s="220">
        <f>U24*100/SUM(U20:U26)</f>
        <v>7.8606158833063198</v>
      </c>
      <c r="W24" s="14" t="s">
        <v>2521</v>
      </c>
      <c r="X24" s="220">
        <f t="shared" si="9"/>
        <v>6.3670988654781198</v>
      </c>
      <c r="Y24" s="220">
        <f t="shared" ref="Y24:Y25" si="32">SUM(X24,X31)</f>
        <v>7.0079083089857086</v>
      </c>
      <c r="Z24" s="220">
        <f t="shared" ref="Z24:AA24" si="33">Y24</f>
        <v>7.0079083089857086</v>
      </c>
      <c r="AA24" s="792">
        <f t="shared" si="33"/>
        <v>7.0079083089857086</v>
      </c>
      <c r="AB24" s="18" t="s">
        <v>2521</v>
      </c>
      <c r="AC24" s="13"/>
      <c r="AD24" s="13"/>
      <c r="AE24" s="12">
        <v>1.0652903141570055E-3</v>
      </c>
      <c r="AF24" s="12">
        <v>1.7273631840796021E-2</v>
      </c>
      <c r="AG24" s="12">
        <v>1.3582399999999999E-4</v>
      </c>
      <c r="AH24" s="12">
        <v>2.14E-3</v>
      </c>
    </row>
    <row r="25" spans="1:34" ht="14.25">
      <c r="A25" s="14" t="s">
        <v>2970</v>
      </c>
      <c r="B25" s="24" t="s">
        <v>2508</v>
      </c>
      <c r="C25" s="14" t="s">
        <v>2519</v>
      </c>
      <c r="D25" s="14" t="s">
        <v>2911</v>
      </c>
      <c r="E25" s="14" t="s">
        <v>2971</v>
      </c>
      <c r="F25" s="13">
        <v>14</v>
      </c>
      <c r="G25" s="14" t="s">
        <v>2972</v>
      </c>
      <c r="H25" s="13" t="s">
        <v>2973</v>
      </c>
      <c r="I25" s="14" t="s">
        <v>2971</v>
      </c>
      <c r="J25" s="14" t="s">
        <v>2974</v>
      </c>
      <c r="K25" s="478">
        <v>0.81</v>
      </c>
      <c r="L25" s="220">
        <v>11.34</v>
      </c>
      <c r="M25" s="473" t="s">
        <v>2975</v>
      </c>
      <c r="N25" s="479" t="s">
        <v>2937</v>
      </c>
      <c r="O25" s="480" t="s">
        <v>2976</v>
      </c>
      <c r="P25" s="655" t="s">
        <v>2985</v>
      </c>
      <c r="Q25" s="486" t="s">
        <v>2986</v>
      </c>
      <c r="R25" s="14">
        <v>3</v>
      </c>
      <c r="S25" s="14">
        <f t="shared" ref="S25:S123" si="34">(0.01*R25)*L25</f>
        <v>0.3402</v>
      </c>
      <c r="T25" s="487">
        <f>SUM(R19:R26)</f>
        <v>95.85</v>
      </c>
      <c r="U25" s="14">
        <f t="shared" si="31"/>
        <v>3.1298904538341161</v>
      </c>
      <c r="V25" s="220">
        <f>U25*100/SUM(U20:U26)</f>
        <v>9.7244732576985413</v>
      </c>
      <c r="W25" s="14" t="s">
        <v>2522</v>
      </c>
      <c r="X25" s="220">
        <f t="shared" si="9"/>
        <v>7.8768233387358189</v>
      </c>
      <c r="Y25" s="220">
        <f t="shared" si="32"/>
        <v>9.1584422257509956</v>
      </c>
      <c r="Z25" s="142">
        <f t="shared" ref="Z25:AA25" si="35">Y25</f>
        <v>9.1584422257509956</v>
      </c>
      <c r="AA25" s="792">
        <f t="shared" si="35"/>
        <v>9.1584422257509956</v>
      </c>
      <c r="AB25" s="18" t="s">
        <v>2522</v>
      </c>
      <c r="AC25" s="13"/>
      <c r="AD25" s="13"/>
      <c r="AE25" s="12">
        <v>1.7000000000000001E-2</v>
      </c>
      <c r="AF25" s="12">
        <v>3.15E-2</v>
      </c>
      <c r="AG25" s="12">
        <v>9.9999999999999995E-7</v>
      </c>
      <c r="AH25" s="12">
        <v>9.0389601227534877E-4</v>
      </c>
    </row>
    <row r="26" spans="1:34" ht="14.25">
      <c r="A26" s="14" t="s">
        <v>2970</v>
      </c>
      <c r="B26" s="24" t="s">
        <v>2508</v>
      </c>
      <c r="C26" s="14" t="s">
        <v>2519</v>
      </c>
      <c r="D26" s="14" t="s">
        <v>2911</v>
      </c>
      <c r="E26" s="14" t="s">
        <v>2971</v>
      </c>
      <c r="F26" s="13">
        <v>14</v>
      </c>
      <c r="G26" s="14" t="s">
        <v>2972</v>
      </c>
      <c r="H26" s="13" t="s">
        <v>2973</v>
      </c>
      <c r="I26" s="135" t="s">
        <v>2971</v>
      </c>
      <c r="J26" s="135" t="s">
        <v>2974</v>
      </c>
      <c r="K26" s="475">
        <v>0.81</v>
      </c>
      <c r="L26" s="476">
        <v>11.34</v>
      </c>
      <c r="M26" s="492" t="s">
        <v>2975</v>
      </c>
      <c r="N26" s="493" t="s">
        <v>2937</v>
      </c>
      <c r="O26" s="494" t="s">
        <v>2976</v>
      </c>
      <c r="P26" s="848" t="s">
        <v>2987</v>
      </c>
      <c r="Q26" s="495" t="s">
        <v>2981</v>
      </c>
      <c r="R26" s="135">
        <f>1*1</f>
        <v>1</v>
      </c>
      <c r="S26" s="135">
        <f t="shared" si="34"/>
        <v>0.1134</v>
      </c>
      <c r="T26" s="496">
        <f>SUM(R19:R26)</f>
        <v>95.85</v>
      </c>
      <c r="U26" s="135">
        <f t="shared" si="31"/>
        <v>1.0432968179447053</v>
      </c>
      <c r="V26" s="476">
        <f>U26*100/SUM(U20:U26)</f>
        <v>3.2414910858995136</v>
      </c>
      <c r="W26" s="135" t="s">
        <v>349</v>
      </c>
      <c r="X26" s="220">
        <f t="shared" si="9"/>
        <v>2.6256077795786061</v>
      </c>
      <c r="Y26" s="220" t="s">
        <v>1666</v>
      </c>
      <c r="Z26" s="220" t="str">
        <f t="shared" ref="Z26:AH26" si="36">Y26</f>
        <v>*</v>
      </c>
      <c r="AA26" s="792" t="str">
        <f t="shared" si="36"/>
        <v>*</v>
      </c>
      <c r="AB26" s="458" t="str">
        <f t="shared" si="36"/>
        <v>*</v>
      </c>
      <c r="AC26" s="497" t="str">
        <f t="shared" si="36"/>
        <v>*</v>
      </c>
      <c r="AD26" s="497" t="str">
        <f t="shared" si="36"/>
        <v>*</v>
      </c>
      <c r="AE26" s="454" t="str">
        <f t="shared" si="36"/>
        <v>*</v>
      </c>
      <c r="AF26" s="454" t="str">
        <f t="shared" si="36"/>
        <v>*</v>
      </c>
      <c r="AG26" s="454" t="str">
        <f t="shared" si="36"/>
        <v>*</v>
      </c>
      <c r="AH26" s="454" t="str">
        <f t="shared" si="36"/>
        <v>*</v>
      </c>
    </row>
    <row r="27" spans="1:34" ht="14.25">
      <c r="A27" s="14" t="s">
        <v>2970</v>
      </c>
      <c r="B27" s="24" t="s">
        <v>2508</v>
      </c>
      <c r="C27" s="14" t="s">
        <v>2519</v>
      </c>
      <c r="D27" s="14" t="s">
        <v>2911</v>
      </c>
      <c r="E27" s="14" t="s">
        <v>2971</v>
      </c>
      <c r="F27" s="13">
        <v>14</v>
      </c>
      <c r="G27" s="14" t="s">
        <v>2972</v>
      </c>
      <c r="H27" s="13" t="s">
        <v>2973</v>
      </c>
      <c r="I27" s="655" t="s">
        <v>2988</v>
      </c>
      <c r="J27" s="14" t="s">
        <v>2989</v>
      </c>
      <c r="K27" s="478">
        <v>0.19</v>
      </c>
      <c r="L27" s="220">
        <v>2.66</v>
      </c>
      <c r="M27" s="473" t="s">
        <v>2990</v>
      </c>
      <c r="N27" s="479" t="s">
        <v>2937</v>
      </c>
      <c r="O27" s="480" t="s">
        <v>2976</v>
      </c>
      <c r="P27" s="14" t="s">
        <v>2938</v>
      </c>
      <c r="Q27" s="14" t="s">
        <v>2939</v>
      </c>
      <c r="R27" s="14">
        <v>65</v>
      </c>
      <c r="S27" s="14">
        <f t="shared" si="34"/>
        <v>1.7290000000000001</v>
      </c>
      <c r="T27" s="498">
        <f>SUM(R27:R35)</f>
        <v>94</v>
      </c>
      <c r="U27" s="14">
        <f t="shared" si="31"/>
        <v>69.148936170212764</v>
      </c>
      <c r="V27" s="481">
        <f>U27</f>
        <v>69.148936170212764</v>
      </c>
      <c r="W27" s="482" t="s">
        <v>72</v>
      </c>
      <c r="X27" s="481">
        <f t="shared" si="9"/>
        <v>13.138297872340425</v>
      </c>
      <c r="Y27" s="220" t="s">
        <v>1666</v>
      </c>
      <c r="Z27" s="220" t="str">
        <f t="shared" ref="Z27:AA27" si="37">Y27</f>
        <v>*</v>
      </c>
      <c r="AA27" s="792" t="str">
        <f t="shared" si="37"/>
        <v>*</v>
      </c>
      <c r="AB27" s="18" t="s">
        <v>1666</v>
      </c>
      <c r="AC27" s="13" t="str">
        <f t="shared" ref="AC27:AH27" si="38">AB27</f>
        <v>*</v>
      </c>
      <c r="AD27" s="13" t="str">
        <f t="shared" si="38"/>
        <v>*</v>
      </c>
      <c r="AE27" s="454" t="str">
        <f t="shared" si="38"/>
        <v>*</v>
      </c>
      <c r="AF27" s="454" t="str">
        <f t="shared" si="38"/>
        <v>*</v>
      </c>
      <c r="AG27" s="454" t="str">
        <f t="shared" si="38"/>
        <v>*</v>
      </c>
      <c r="AH27" s="454" t="str">
        <f t="shared" si="38"/>
        <v>*</v>
      </c>
    </row>
    <row r="28" spans="1:34" ht="14.25">
      <c r="A28" s="14" t="s">
        <v>2970</v>
      </c>
      <c r="B28" s="24" t="s">
        <v>2508</v>
      </c>
      <c r="C28" s="14" t="s">
        <v>2519</v>
      </c>
      <c r="D28" s="14" t="s">
        <v>2911</v>
      </c>
      <c r="E28" s="14" t="s">
        <v>2971</v>
      </c>
      <c r="F28" s="13">
        <v>14</v>
      </c>
      <c r="G28" s="14" t="s">
        <v>2972</v>
      </c>
      <c r="H28" s="13" t="s">
        <v>2973</v>
      </c>
      <c r="I28" s="655" t="s">
        <v>2988</v>
      </c>
      <c r="J28" s="14" t="s">
        <v>2989</v>
      </c>
      <c r="K28" s="478">
        <v>0.19</v>
      </c>
      <c r="L28" s="220">
        <v>2.66</v>
      </c>
      <c r="M28" s="473" t="s">
        <v>2990</v>
      </c>
      <c r="N28" s="479" t="s">
        <v>2937</v>
      </c>
      <c r="O28" s="480" t="s">
        <v>2976</v>
      </c>
      <c r="P28" s="655" t="s">
        <v>2977</v>
      </c>
      <c r="Q28" s="486" t="s">
        <v>2978</v>
      </c>
      <c r="R28" s="14">
        <v>18</v>
      </c>
      <c r="S28" s="14">
        <f t="shared" si="34"/>
        <v>0.4788</v>
      </c>
      <c r="T28" s="498">
        <f>SUM(R27:R35)</f>
        <v>94</v>
      </c>
      <c r="U28" s="14">
        <f>R28*100/T27</f>
        <v>19.148936170212767</v>
      </c>
      <c r="V28" s="220">
        <f>U28*100/SUM(U28:U35)</f>
        <v>60.708263069139974</v>
      </c>
      <c r="W28" s="14" t="s">
        <v>227</v>
      </c>
      <c r="X28" s="220">
        <f t="shared" si="9"/>
        <v>11.534569983136596</v>
      </c>
      <c r="Y28" s="220" t="s">
        <v>1666</v>
      </c>
      <c r="Z28" s="220" t="str">
        <f t="shared" ref="Z28:AA28" si="39">Y28</f>
        <v>*</v>
      </c>
      <c r="AA28" s="792" t="str">
        <f t="shared" si="39"/>
        <v>*</v>
      </c>
      <c r="AB28" s="18" t="s">
        <v>1666</v>
      </c>
      <c r="AC28" s="13" t="str">
        <f t="shared" ref="AC28:AH28" si="40">AB28</f>
        <v>*</v>
      </c>
      <c r="AD28" s="13" t="str">
        <f t="shared" si="40"/>
        <v>*</v>
      </c>
      <c r="AE28" s="454" t="str">
        <f t="shared" si="40"/>
        <v>*</v>
      </c>
      <c r="AF28" s="454" t="str">
        <f t="shared" si="40"/>
        <v>*</v>
      </c>
      <c r="AG28" s="454" t="str">
        <f t="shared" si="40"/>
        <v>*</v>
      </c>
      <c r="AH28" s="454" t="str">
        <f t="shared" si="40"/>
        <v>*</v>
      </c>
    </row>
    <row r="29" spans="1:34" ht="14.25">
      <c r="A29" s="14" t="s">
        <v>2970</v>
      </c>
      <c r="B29" s="24" t="s">
        <v>2508</v>
      </c>
      <c r="C29" s="14" t="s">
        <v>2519</v>
      </c>
      <c r="D29" s="14" t="s">
        <v>2911</v>
      </c>
      <c r="E29" s="14" t="s">
        <v>2971</v>
      </c>
      <c r="F29" s="13">
        <v>14</v>
      </c>
      <c r="G29" s="14" t="s">
        <v>2972</v>
      </c>
      <c r="H29" s="13" t="s">
        <v>2973</v>
      </c>
      <c r="I29" s="655" t="s">
        <v>2988</v>
      </c>
      <c r="J29" s="14" t="s">
        <v>2989</v>
      </c>
      <c r="K29" s="478">
        <v>0.19</v>
      </c>
      <c r="L29" s="220">
        <v>2.66</v>
      </c>
      <c r="M29" s="473" t="s">
        <v>2990</v>
      </c>
      <c r="N29" s="479" t="s">
        <v>2937</v>
      </c>
      <c r="O29" s="480" t="s">
        <v>2976</v>
      </c>
      <c r="P29" s="14" t="s">
        <v>2962</v>
      </c>
      <c r="Q29" s="490" t="s">
        <v>2963</v>
      </c>
      <c r="R29" s="14">
        <v>5</v>
      </c>
      <c r="S29" s="14">
        <f t="shared" si="34"/>
        <v>0.13300000000000001</v>
      </c>
      <c r="T29" s="498">
        <f>SUM(R27:R35)</f>
        <v>94</v>
      </c>
      <c r="U29" s="14">
        <f>R29*100/T27</f>
        <v>5.3191489361702127</v>
      </c>
      <c r="V29" s="220">
        <f>U29*100/SUM(U28:U35)</f>
        <v>16.863406408094434</v>
      </c>
      <c r="W29" s="14" t="s">
        <v>425</v>
      </c>
      <c r="X29" s="220">
        <f t="shared" si="9"/>
        <v>3.2040472175379424</v>
      </c>
      <c r="Y29" s="220" t="s">
        <v>1666</v>
      </c>
      <c r="Z29" s="220" t="str">
        <f t="shared" ref="Z29:AA29" si="41">Y29</f>
        <v>*</v>
      </c>
      <c r="AA29" s="792" t="str">
        <f t="shared" si="41"/>
        <v>*</v>
      </c>
      <c r="AB29" s="18" t="s">
        <v>1666</v>
      </c>
      <c r="AC29" s="13" t="str">
        <f t="shared" ref="AC29:AH29" si="42">AB29</f>
        <v>*</v>
      </c>
      <c r="AD29" s="13" t="str">
        <f t="shared" si="42"/>
        <v>*</v>
      </c>
      <c r="AE29" s="454" t="str">
        <f t="shared" si="42"/>
        <v>*</v>
      </c>
      <c r="AF29" s="454" t="str">
        <f t="shared" si="42"/>
        <v>*</v>
      </c>
      <c r="AG29" s="454" t="str">
        <f t="shared" si="42"/>
        <v>*</v>
      </c>
      <c r="AH29" s="454" t="str">
        <f t="shared" si="42"/>
        <v>*</v>
      </c>
    </row>
    <row r="30" spans="1:34" ht="14.25">
      <c r="A30" s="14" t="s">
        <v>2970</v>
      </c>
      <c r="B30" s="24" t="s">
        <v>2508</v>
      </c>
      <c r="C30" s="14" t="s">
        <v>2519</v>
      </c>
      <c r="D30" s="14" t="s">
        <v>2911</v>
      </c>
      <c r="E30" s="14" t="s">
        <v>2971</v>
      </c>
      <c r="F30" s="13">
        <v>14</v>
      </c>
      <c r="G30" s="14" t="s">
        <v>2972</v>
      </c>
      <c r="H30" s="13" t="s">
        <v>2973</v>
      </c>
      <c r="I30" s="655" t="s">
        <v>2988</v>
      </c>
      <c r="J30" s="14" t="s">
        <v>2989</v>
      </c>
      <c r="K30" s="478">
        <v>0.19</v>
      </c>
      <c r="L30" s="220">
        <v>2.66</v>
      </c>
      <c r="M30" s="473" t="s">
        <v>2990</v>
      </c>
      <c r="N30" s="479" t="s">
        <v>2937</v>
      </c>
      <c r="O30" s="480" t="s">
        <v>2976</v>
      </c>
      <c r="P30" s="489" t="s">
        <v>2980</v>
      </c>
      <c r="Q30" s="486" t="s">
        <v>2981</v>
      </c>
      <c r="R30" s="14">
        <f t="shared" ref="R30:R31" si="43">2/2</f>
        <v>1</v>
      </c>
      <c r="S30" s="14">
        <f t="shared" si="34"/>
        <v>2.6600000000000002E-2</v>
      </c>
      <c r="T30" s="498">
        <f>SUM(R27:R35)</f>
        <v>94</v>
      </c>
      <c r="U30" s="14">
        <f>R30*100/T27</f>
        <v>1.0638297872340425</v>
      </c>
      <c r="V30" s="220">
        <f>U30*100/SUM(U28:U35)</f>
        <v>3.3726812816188874</v>
      </c>
      <c r="W30" s="14" t="s">
        <v>349</v>
      </c>
      <c r="X30" s="220">
        <f t="shared" si="9"/>
        <v>0.64080944350758862</v>
      </c>
      <c r="Y30" s="220" t="s">
        <v>1666</v>
      </c>
      <c r="Z30" s="220" t="str">
        <f t="shared" ref="Z30:AA30" si="44">Y30</f>
        <v>*</v>
      </c>
      <c r="AA30" s="792" t="str">
        <f t="shared" si="44"/>
        <v>*</v>
      </c>
      <c r="AB30" s="18" t="s">
        <v>1666</v>
      </c>
      <c r="AC30" s="13" t="str">
        <f t="shared" ref="AC30:AH30" si="45">AB30</f>
        <v>*</v>
      </c>
      <c r="AD30" s="13" t="str">
        <f t="shared" si="45"/>
        <v>*</v>
      </c>
      <c r="AE30" s="454" t="str">
        <f t="shared" si="45"/>
        <v>*</v>
      </c>
      <c r="AF30" s="454" t="str">
        <f t="shared" si="45"/>
        <v>*</v>
      </c>
      <c r="AG30" s="454" t="str">
        <f t="shared" si="45"/>
        <v>*</v>
      </c>
      <c r="AH30" s="454" t="str">
        <f t="shared" si="45"/>
        <v>*</v>
      </c>
    </row>
    <row r="31" spans="1:34" ht="14.25">
      <c r="A31" s="14" t="s">
        <v>2970</v>
      </c>
      <c r="B31" s="24" t="s">
        <v>2508</v>
      </c>
      <c r="C31" s="14" t="s">
        <v>2519</v>
      </c>
      <c r="D31" s="14" t="s">
        <v>2911</v>
      </c>
      <c r="E31" s="14" t="s">
        <v>2971</v>
      </c>
      <c r="F31" s="13">
        <v>14</v>
      </c>
      <c r="G31" s="14" t="s">
        <v>2972</v>
      </c>
      <c r="H31" s="13" t="s">
        <v>2973</v>
      </c>
      <c r="I31" s="655" t="s">
        <v>2988</v>
      </c>
      <c r="J31" s="14" t="s">
        <v>2989</v>
      </c>
      <c r="K31" s="478">
        <v>0.19</v>
      </c>
      <c r="L31" s="220">
        <v>2.66</v>
      </c>
      <c r="M31" s="473" t="s">
        <v>2990</v>
      </c>
      <c r="N31" s="479" t="s">
        <v>2937</v>
      </c>
      <c r="O31" s="480" t="s">
        <v>2976</v>
      </c>
      <c r="P31" s="490" t="s">
        <v>2980</v>
      </c>
      <c r="Q31" s="491" t="s">
        <v>2991</v>
      </c>
      <c r="R31" s="14">
        <f t="shared" si="43"/>
        <v>1</v>
      </c>
      <c r="S31" s="14">
        <f t="shared" si="34"/>
        <v>2.6600000000000002E-2</v>
      </c>
      <c r="T31" s="498">
        <f>SUM(R27:R35)</f>
        <v>94</v>
      </c>
      <c r="U31" s="14">
        <f>R31*100/T27</f>
        <v>1.0638297872340425</v>
      </c>
      <c r="V31" s="220">
        <f>U31*100/SUM(U28:U35)</f>
        <v>3.3726812816188874</v>
      </c>
      <c r="W31" s="14" t="s">
        <v>2521</v>
      </c>
      <c r="X31" s="220">
        <f t="shared" si="9"/>
        <v>0.64080944350758862</v>
      </c>
      <c r="Y31" s="220" t="s">
        <v>1666</v>
      </c>
      <c r="Z31" s="220" t="str">
        <f t="shared" ref="Z31:AA31" si="46">Y31</f>
        <v>*</v>
      </c>
      <c r="AA31" s="792" t="str">
        <f t="shared" si="46"/>
        <v>*</v>
      </c>
      <c r="AB31" s="18" t="s">
        <v>1666</v>
      </c>
      <c r="AC31" s="13" t="str">
        <f t="shared" ref="AC31:AH31" si="47">AB31</f>
        <v>*</v>
      </c>
      <c r="AD31" s="13" t="str">
        <f t="shared" si="47"/>
        <v>*</v>
      </c>
      <c r="AE31" s="454" t="str">
        <f t="shared" si="47"/>
        <v>*</v>
      </c>
      <c r="AF31" s="454" t="str">
        <f t="shared" si="47"/>
        <v>*</v>
      </c>
      <c r="AG31" s="454" t="str">
        <f t="shared" si="47"/>
        <v>*</v>
      </c>
      <c r="AH31" s="454" t="str">
        <f t="shared" si="47"/>
        <v>*</v>
      </c>
    </row>
    <row r="32" spans="1:34" ht="14.25">
      <c r="A32" s="14" t="s">
        <v>2970</v>
      </c>
      <c r="B32" s="24" t="s">
        <v>2508</v>
      </c>
      <c r="C32" s="14" t="s">
        <v>2519</v>
      </c>
      <c r="D32" s="14" t="s">
        <v>2911</v>
      </c>
      <c r="E32" s="14" t="s">
        <v>2971</v>
      </c>
      <c r="F32" s="13">
        <v>14</v>
      </c>
      <c r="G32" s="14" t="s">
        <v>2972</v>
      </c>
      <c r="H32" s="13" t="s">
        <v>2973</v>
      </c>
      <c r="I32" s="655" t="s">
        <v>2988</v>
      </c>
      <c r="J32" s="14" t="s">
        <v>2989</v>
      </c>
      <c r="K32" s="478">
        <v>0.19</v>
      </c>
      <c r="L32" s="220">
        <v>2.66</v>
      </c>
      <c r="M32" s="473" t="s">
        <v>2990</v>
      </c>
      <c r="N32" s="479" t="s">
        <v>2937</v>
      </c>
      <c r="O32" s="480" t="s">
        <v>2976</v>
      </c>
      <c r="P32" s="655" t="s">
        <v>2985</v>
      </c>
      <c r="Q32" s="486" t="s">
        <v>2968</v>
      </c>
      <c r="R32" s="14">
        <v>2</v>
      </c>
      <c r="S32" s="14">
        <f t="shared" si="34"/>
        <v>5.3200000000000004E-2</v>
      </c>
      <c r="T32" s="498">
        <f>SUM(R27:R35)</f>
        <v>94</v>
      </c>
      <c r="U32" s="14">
        <f>R32*100/T27</f>
        <v>2.1276595744680851</v>
      </c>
      <c r="V32" s="220">
        <f>U32*100/SUM(U28:U35)</f>
        <v>6.7453625632377747</v>
      </c>
      <c r="W32" s="14" t="s">
        <v>2522</v>
      </c>
      <c r="X32" s="220">
        <f t="shared" si="9"/>
        <v>1.2816188870151772</v>
      </c>
      <c r="Y32" s="220" t="s">
        <v>1666</v>
      </c>
      <c r="Z32" s="220" t="s">
        <v>1666</v>
      </c>
      <c r="AA32" s="792" t="str">
        <f>Z32</f>
        <v>*</v>
      </c>
      <c r="AB32" s="18" t="s">
        <v>1666</v>
      </c>
      <c r="AC32" s="13" t="str">
        <f t="shared" ref="AC32:AH32" si="48">AB32</f>
        <v>*</v>
      </c>
      <c r="AD32" s="13" t="str">
        <f t="shared" si="48"/>
        <v>*</v>
      </c>
      <c r="AE32" s="454" t="str">
        <f t="shared" si="48"/>
        <v>*</v>
      </c>
      <c r="AF32" s="454" t="str">
        <f t="shared" si="48"/>
        <v>*</v>
      </c>
      <c r="AG32" s="454" t="str">
        <f t="shared" si="48"/>
        <v>*</v>
      </c>
      <c r="AH32" s="454" t="str">
        <f t="shared" si="48"/>
        <v>*</v>
      </c>
    </row>
    <row r="33" spans="1:34" ht="14.25">
      <c r="A33" s="14" t="s">
        <v>2970</v>
      </c>
      <c r="B33" s="24" t="s">
        <v>2508</v>
      </c>
      <c r="C33" s="14" t="s">
        <v>2519</v>
      </c>
      <c r="D33" s="14" t="s">
        <v>2911</v>
      </c>
      <c r="E33" s="14" t="s">
        <v>2971</v>
      </c>
      <c r="F33" s="13">
        <v>14</v>
      </c>
      <c r="G33" s="14" t="s">
        <v>2972</v>
      </c>
      <c r="H33" s="13" t="s">
        <v>2973</v>
      </c>
      <c r="I33" s="655" t="s">
        <v>2988</v>
      </c>
      <c r="J33" s="14" t="s">
        <v>2989</v>
      </c>
      <c r="K33" s="478">
        <v>0.19</v>
      </c>
      <c r="L33" s="220">
        <v>2.66</v>
      </c>
      <c r="M33" s="473" t="s">
        <v>2990</v>
      </c>
      <c r="N33" s="479" t="s">
        <v>2937</v>
      </c>
      <c r="O33" s="480" t="s">
        <v>2976</v>
      </c>
      <c r="P33" s="14" t="s">
        <v>2992</v>
      </c>
      <c r="Q33" s="486" t="s">
        <v>2966</v>
      </c>
      <c r="R33" s="480" t="s">
        <v>2993</v>
      </c>
      <c r="S33" s="14">
        <f t="shared" si="34"/>
        <v>1.7290000000000003E-2</v>
      </c>
      <c r="T33" s="498">
        <f>SUM(R27:R35)</f>
        <v>94</v>
      </c>
      <c r="U33" s="14">
        <f>R33*100/T27</f>
        <v>0.69148936170212771</v>
      </c>
      <c r="V33" s="220">
        <f>U33*100/SUM(U28:U35)</f>
        <v>2.1922428330522772</v>
      </c>
      <c r="W33" s="14" t="s">
        <v>319</v>
      </c>
      <c r="X33" s="220">
        <f t="shared" si="9"/>
        <v>0.41652613827993268</v>
      </c>
      <c r="Y33" s="499">
        <f t="shared" ref="Y33:AA33" si="49">X33</f>
        <v>0.41652613827993268</v>
      </c>
      <c r="Z33" s="220">
        <f t="shared" si="49"/>
        <v>0.41652613827993268</v>
      </c>
      <c r="AA33" s="792">
        <f t="shared" si="49"/>
        <v>0.41652613827993268</v>
      </c>
      <c r="AB33" s="18" t="s">
        <v>319</v>
      </c>
      <c r="AC33" s="13" t="s">
        <v>18</v>
      </c>
      <c r="AD33" s="13" t="s">
        <v>2967</v>
      </c>
      <c r="AE33" s="12">
        <v>1.4285714285714287E-2</v>
      </c>
      <c r="AF33" s="12">
        <v>6.2E-2</v>
      </c>
      <c r="AG33" s="12">
        <v>3.0000000000000001E-6</v>
      </c>
      <c r="AH33" s="12">
        <v>8.9999999999999998E-4</v>
      </c>
    </row>
    <row r="34" spans="1:34" ht="14.25">
      <c r="A34" s="14" t="s">
        <v>2970</v>
      </c>
      <c r="B34" s="24" t="s">
        <v>2508</v>
      </c>
      <c r="C34" s="14" t="s">
        <v>2519</v>
      </c>
      <c r="D34" s="14" t="s">
        <v>2911</v>
      </c>
      <c r="E34" s="14" t="s">
        <v>2971</v>
      </c>
      <c r="F34" s="13">
        <v>14</v>
      </c>
      <c r="G34" s="14" t="s">
        <v>2972</v>
      </c>
      <c r="H34" s="13" t="s">
        <v>2973</v>
      </c>
      <c r="I34" s="655" t="s">
        <v>2988</v>
      </c>
      <c r="J34" s="14" t="s">
        <v>2989</v>
      </c>
      <c r="K34" s="478">
        <v>0.19</v>
      </c>
      <c r="L34" s="220">
        <v>2.66</v>
      </c>
      <c r="M34" s="473" t="s">
        <v>2990</v>
      </c>
      <c r="N34" s="479" t="s">
        <v>2937</v>
      </c>
      <c r="O34" s="480" t="s">
        <v>2976</v>
      </c>
      <c r="P34" s="14" t="s">
        <v>2945</v>
      </c>
      <c r="Q34" s="14" t="s">
        <v>2946</v>
      </c>
      <c r="R34" s="14">
        <v>1</v>
      </c>
      <c r="S34" s="14">
        <f t="shared" si="34"/>
        <v>2.6600000000000002E-2</v>
      </c>
      <c r="T34" s="498">
        <f>SUM(R27:R35)</f>
        <v>94</v>
      </c>
      <c r="U34" s="14">
        <f>R34*100/T27</f>
        <v>1.0638297872340425</v>
      </c>
      <c r="V34" s="220">
        <f>U34*100/SUM(U28:U35)</f>
        <v>3.3726812816188874</v>
      </c>
      <c r="W34" s="14" t="s">
        <v>433</v>
      </c>
      <c r="X34" s="220">
        <f t="shared" si="9"/>
        <v>0.64080944350758862</v>
      </c>
      <c r="Y34" s="220" t="s">
        <v>1666</v>
      </c>
      <c r="Z34" s="220" t="str">
        <f t="shared" ref="Z34:AA34" si="50">Y34</f>
        <v>*</v>
      </c>
      <c r="AA34" s="792" t="str">
        <f t="shared" si="50"/>
        <v>*</v>
      </c>
      <c r="AB34" s="18" t="s">
        <v>1666</v>
      </c>
      <c r="AC34" s="13" t="str">
        <f t="shared" ref="AC34:AH34" si="51">AB34</f>
        <v>*</v>
      </c>
      <c r="AD34" s="13" t="str">
        <f t="shared" si="51"/>
        <v>*</v>
      </c>
      <c r="AE34" s="454" t="str">
        <f t="shared" si="51"/>
        <v>*</v>
      </c>
      <c r="AF34" s="454" t="str">
        <f t="shared" si="51"/>
        <v>*</v>
      </c>
      <c r="AG34" s="454" t="str">
        <f t="shared" si="51"/>
        <v>*</v>
      </c>
      <c r="AH34" s="454" t="str">
        <f t="shared" si="51"/>
        <v>*</v>
      </c>
    </row>
    <row r="35" spans="1:34" ht="14.25">
      <c r="A35" s="617" t="s">
        <v>2970</v>
      </c>
      <c r="B35" s="794" t="s">
        <v>2508</v>
      </c>
      <c r="C35" s="617" t="s">
        <v>2519</v>
      </c>
      <c r="D35" s="617" t="s">
        <v>2911</v>
      </c>
      <c r="E35" s="617" t="s">
        <v>2971</v>
      </c>
      <c r="F35" s="799">
        <v>14</v>
      </c>
      <c r="G35" s="617" t="s">
        <v>2972</v>
      </c>
      <c r="H35" s="799" t="s">
        <v>2973</v>
      </c>
      <c r="I35" s="849" t="s">
        <v>2988</v>
      </c>
      <c r="J35" s="617" t="s">
        <v>2989</v>
      </c>
      <c r="K35" s="838">
        <v>0.19</v>
      </c>
      <c r="L35" s="725">
        <v>2.66</v>
      </c>
      <c r="M35" s="850" t="s">
        <v>2990</v>
      </c>
      <c r="N35" s="841" t="s">
        <v>2937</v>
      </c>
      <c r="O35" s="842" t="s">
        <v>2976</v>
      </c>
      <c r="P35" s="617" t="s">
        <v>2994</v>
      </c>
      <c r="Q35" s="617" t="s">
        <v>2995</v>
      </c>
      <c r="R35" s="617">
        <v>1</v>
      </c>
      <c r="S35" s="617">
        <f t="shared" si="34"/>
        <v>2.6600000000000002E-2</v>
      </c>
      <c r="T35" s="851">
        <f>SUM(R27:R35)</f>
        <v>94</v>
      </c>
      <c r="U35" s="852">
        <f>R35*100/T27</f>
        <v>1.0638297872340425</v>
      </c>
      <c r="V35" s="725">
        <f>U35*100/SUM(U28:U35)</f>
        <v>3.3726812816188874</v>
      </c>
      <c r="W35" s="617" t="s">
        <v>121</v>
      </c>
      <c r="X35" s="725">
        <f t="shared" si="9"/>
        <v>0.64080944350758862</v>
      </c>
      <c r="Y35" s="725" t="s">
        <v>1666</v>
      </c>
      <c r="Z35" s="725">
        <f>X35</f>
        <v>0.64080944350758862</v>
      </c>
      <c r="AA35" s="455">
        <f t="shared" ref="AA35:AA36" si="52">Z35</f>
        <v>0.64080944350758862</v>
      </c>
      <c r="AB35" s="793" t="s">
        <v>2523</v>
      </c>
      <c r="AC35" s="799" t="s">
        <v>2930</v>
      </c>
      <c r="AD35" s="799" t="s">
        <v>2996</v>
      </c>
      <c r="AE35" s="635">
        <v>4.1127278199052132E-2</v>
      </c>
      <c r="AF35" s="635">
        <v>0.12092157867298578</v>
      </c>
      <c r="AG35" s="635">
        <v>8.0618486208530824E-4</v>
      </c>
      <c r="AH35" s="635">
        <v>7.5857890995260661E-3</v>
      </c>
    </row>
    <row r="36" spans="1:34" ht="14.25">
      <c r="A36" s="14" t="s">
        <v>2997</v>
      </c>
      <c r="B36" s="24" t="s">
        <v>2508</v>
      </c>
      <c r="C36" s="14" t="s">
        <v>2524</v>
      </c>
      <c r="D36" s="14" t="s">
        <v>2911</v>
      </c>
      <c r="E36" s="14" t="s">
        <v>2998</v>
      </c>
      <c r="F36" s="13">
        <v>143.41999999999999</v>
      </c>
      <c r="G36" s="14" t="s">
        <v>2999</v>
      </c>
      <c r="H36" s="13" t="s">
        <v>2973</v>
      </c>
      <c r="I36" s="655" t="s">
        <v>3000</v>
      </c>
      <c r="J36" s="14" t="s">
        <v>3001</v>
      </c>
      <c r="K36" s="478">
        <v>0.05</v>
      </c>
      <c r="L36" s="220">
        <v>8.6999999999999993</v>
      </c>
      <c r="M36" s="473" t="s">
        <v>3002</v>
      </c>
      <c r="N36" s="479" t="s">
        <v>2937</v>
      </c>
      <c r="O36" s="480" t="s">
        <v>2976</v>
      </c>
      <c r="P36" s="14" t="s">
        <v>2912</v>
      </c>
      <c r="Q36" s="14" t="s">
        <v>2915</v>
      </c>
      <c r="R36" s="14">
        <v>80</v>
      </c>
      <c r="S36" s="14">
        <f t="shared" si="34"/>
        <v>6.96</v>
      </c>
      <c r="T36" s="220">
        <f>SUM(R36:R57)</f>
        <v>125.5</v>
      </c>
      <c r="U36" s="14">
        <f t="shared" ref="U36:U58" si="53">R36*100/T36</f>
        <v>63.745019920318725</v>
      </c>
      <c r="V36" s="220">
        <f>U36*100/SUM(U38:U57,U36)</f>
        <v>66.945606694560666</v>
      </c>
      <c r="W36" s="14" t="s">
        <v>124</v>
      </c>
      <c r="X36" s="500">
        <f t="shared" si="9"/>
        <v>3.3472803347280333</v>
      </c>
      <c r="Y36" s="501">
        <f>SUM(X36,X58,X66,X77,X96,X109,X46,X57,X63,X72,X87,X95,X108,X68,X69,X101,X44,X73,X82,X91,X97,X110,X86)</f>
        <v>68.627241580363773</v>
      </c>
      <c r="Z36" s="501">
        <f>SUM(X36,X58,X66,X77,X96,X109)</f>
        <v>43.253067305881572</v>
      </c>
      <c r="AA36" s="792">
        <f t="shared" si="52"/>
        <v>43.253067305881572</v>
      </c>
      <c r="AB36" s="18" t="s">
        <v>124</v>
      </c>
      <c r="AC36" s="13" t="s">
        <v>877</v>
      </c>
      <c r="AD36" s="14" t="s">
        <v>2916</v>
      </c>
      <c r="AE36" s="12">
        <v>3.9416473933649287E-3</v>
      </c>
      <c r="AF36" s="12">
        <v>1.1589150710900475E-2</v>
      </c>
      <c r="AG36" s="12">
        <v>7.7264934597156404E-5</v>
      </c>
      <c r="AH36" s="12">
        <v>7.2702369668246447E-4</v>
      </c>
    </row>
    <row r="37" spans="1:34" ht="14.25">
      <c r="A37" s="14" t="s">
        <v>2997</v>
      </c>
      <c r="B37" s="24" t="s">
        <v>2508</v>
      </c>
      <c r="C37" s="14" t="s">
        <v>2524</v>
      </c>
      <c r="D37" s="14" t="s">
        <v>2911</v>
      </c>
      <c r="E37" s="14" t="s">
        <v>2998</v>
      </c>
      <c r="F37" s="13">
        <v>143.41999999999999</v>
      </c>
      <c r="G37" s="14" t="s">
        <v>2999</v>
      </c>
      <c r="H37" s="13" t="s">
        <v>2973</v>
      </c>
      <c r="I37" s="655" t="s">
        <v>3000</v>
      </c>
      <c r="J37" s="14" t="s">
        <v>3001</v>
      </c>
      <c r="K37" s="478">
        <v>0.05</v>
      </c>
      <c r="L37" s="220">
        <v>8.6999999999999993</v>
      </c>
      <c r="M37" s="473" t="s">
        <v>3002</v>
      </c>
      <c r="N37" s="479" t="s">
        <v>2937</v>
      </c>
      <c r="O37" s="480" t="s">
        <v>2976</v>
      </c>
      <c r="P37" s="14" t="s">
        <v>2938</v>
      </c>
      <c r="Q37" s="14" t="s">
        <v>2939</v>
      </c>
      <c r="R37" s="14">
        <v>6</v>
      </c>
      <c r="S37" s="14">
        <f t="shared" si="34"/>
        <v>0.52199999999999991</v>
      </c>
      <c r="T37" s="220">
        <f>SUM(R36:R57)</f>
        <v>125.5</v>
      </c>
      <c r="U37" s="14">
        <f t="shared" si="53"/>
        <v>4.7808764940239046</v>
      </c>
      <c r="V37" s="481">
        <f>U37</f>
        <v>4.7808764940239046</v>
      </c>
      <c r="W37" s="482" t="s">
        <v>72</v>
      </c>
      <c r="X37" s="502">
        <f t="shared" si="9"/>
        <v>0.23904382470119523</v>
      </c>
      <c r="Y37" s="503">
        <f>SUM(X76,X37,X79,X106)</f>
        <v>6.7894642298702053</v>
      </c>
      <c r="Z37" s="503">
        <f t="shared" ref="Z37:AA37" si="54">Y37</f>
        <v>6.7894642298702053</v>
      </c>
      <c r="AA37" s="796">
        <f t="shared" si="54"/>
        <v>6.7894642298702053</v>
      </c>
      <c r="AB37" s="456" t="s">
        <v>72</v>
      </c>
      <c r="AC37" s="469" t="s">
        <v>2938</v>
      </c>
      <c r="AD37" s="469" t="s">
        <v>2940</v>
      </c>
      <c r="AE37" s="457">
        <v>0</v>
      </c>
      <c r="AF37" s="457">
        <v>0</v>
      </c>
      <c r="AG37" s="457">
        <v>0</v>
      </c>
      <c r="AH37" s="457">
        <v>0</v>
      </c>
    </row>
    <row r="38" spans="1:34" ht="14.25">
      <c r="A38" s="14" t="s">
        <v>2997</v>
      </c>
      <c r="B38" s="24" t="s">
        <v>2508</v>
      </c>
      <c r="C38" s="14" t="s">
        <v>2524</v>
      </c>
      <c r="D38" s="14" t="s">
        <v>2911</v>
      </c>
      <c r="E38" s="14" t="s">
        <v>2998</v>
      </c>
      <c r="F38" s="13">
        <v>143.41999999999999</v>
      </c>
      <c r="G38" s="14" t="s">
        <v>2999</v>
      </c>
      <c r="H38" s="13" t="s">
        <v>2973</v>
      </c>
      <c r="I38" s="655" t="s">
        <v>3000</v>
      </c>
      <c r="J38" s="14" t="s">
        <v>3001</v>
      </c>
      <c r="K38" s="478">
        <v>0.05</v>
      </c>
      <c r="L38" s="220">
        <v>8.6999999999999993</v>
      </c>
      <c r="M38" s="473" t="s">
        <v>3002</v>
      </c>
      <c r="N38" s="479" t="s">
        <v>2937</v>
      </c>
      <c r="O38" s="480" t="s">
        <v>2976</v>
      </c>
      <c r="P38" s="14" t="s">
        <v>2945</v>
      </c>
      <c r="Q38" s="14" t="s">
        <v>3003</v>
      </c>
      <c r="R38" s="14">
        <v>6</v>
      </c>
      <c r="S38" s="14">
        <f t="shared" si="34"/>
        <v>0.52199999999999991</v>
      </c>
      <c r="T38" s="220">
        <f>SUM(R36:R57)</f>
        <v>125.5</v>
      </c>
      <c r="U38" s="14">
        <f t="shared" si="53"/>
        <v>4.7808764940239046</v>
      </c>
      <c r="V38" s="220">
        <f>U38*100/SUM(U38:U57,U36)</f>
        <v>5.02092050209205</v>
      </c>
      <c r="W38" s="17" t="s">
        <v>433</v>
      </c>
      <c r="X38" s="500">
        <f t="shared" si="9"/>
        <v>0.2510460251046025</v>
      </c>
      <c r="Y38" s="501">
        <f>SUM(X38,X40,X42,X59,X74,X80,X81,X98,X107,X104,X118,X54)</f>
        <v>10.792863095559584</v>
      </c>
      <c r="Z38" s="501">
        <f>SUM(X38,X40,X59,X74,X80,X81,X98,X104,X107,X118)</f>
        <v>10.573197823593059</v>
      </c>
      <c r="AA38" s="792">
        <f t="shared" ref="AA38:AA39" si="55">Z38</f>
        <v>10.573197823593059</v>
      </c>
      <c r="AB38" s="18" t="s">
        <v>433</v>
      </c>
      <c r="AC38" s="13" t="s">
        <v>433</v>
      </c>
      <c r="AD38" s="13" t="s">
        <v>2947</v>
      </c>
      <c r="AE38" s="12">
        <v>3.0104466724907065E-4</v>
      </c>
      <c r="AF38" s="12">
        <v>1.2500000000000001E-2</v>
      </c>
      <c r="AG38" s="12">
        <v>5.1818181818181835E-4</v>
      </c>
      <c r="AH38" s="12">
        <v>4.0084080366977777E-4</v>
      </c>
    </row>
    <row r="39" spans="1:34" ht="14.25">
      <c r="A39" s="14" t="s">
        <v>2997</v>
      </c>
      <c r="B39" s="24" t="s">
        <v>2508</v>
      </c>
      <c r="C39" s="14" t="s">
        <v>2524</v>
      </c>
      <c r="D39" s="14" t="s">
        <v>2911</v>
      </c>
      <c r="E39" s="14" t="s">
        <v>2998</v>
      </c>
      <c r="F39" s="13">
        <v>143.41999999999999</v>
      </c>
      <c r="G39" s="14" t="s">
        <v>2999</v>
      </c>
      <c r="H39" s="13" t="s">
        <v>2973</v>
      </c>
      <c r="I39" s="655" t="s">
        <v>3000</v>
      </c>
      <c r="J39" s="14" t="s">
        <v>3001</v>
      </c>
      <c r="K39" s="478">
        <v>0.05</v>
      </c>
      <c r="L39" s="220">
        <v>8.6999999999999993</v>
      </c>
      <c r="M39" s="473" t="s">
        <v>3002</v>
      </c>
      <c r="N39" s="479" t="s">
        <v>2937</v>
      </c>
      <c r="O39" s="480" t="s">
        <v>2976</v>
      </c>
      <c r="P39" s="14" t="s">
        <v>2962</v>
      </c>
      <c r="Q39" s="14" t="s">
        <v>3004</v>
      </c>
      <c r="R39" s="14">
        <v>5</v>
      </c>
      <c r="S39" s="14">
        <f t="shared" si="34"/>
        <v>0.435</v>
      </c>
      <c r="T39" s="220">
        <f>SUM(R36:R57)</f>
        <v>125.5</v>
      </c>
      <c r="U39" s="14">
        <f t="shared" si="53"/>
        <v>3.9840637450199203</v>
      </c>
      <c r="V39" s="220">
        <f>U39*100/SUM(U38:U57,U36)</f>
        <v>4.1841004184100417</v>
      </c>
      <c r="W39" s="17" t="s">
        <v>425</v>
      </c>
      <c r="X39" s="500">
        <f t="shared" si="9"/>
        <v>0.20920502092050208</v>
      </c>
      <c r="Y39" s="501">
        <f>SUM(X39,X45,X60,X62,X78,X85,X99,X111,X116,X117,X56,X61,X105,X67)</f>
        <v>9.2232616879190061</v>
      </c>
      <c r="Z39" s="501">
        <f>SUM(X39,X45,X60,X62,X78,X85,X99,X111,X116,X117)</f>
        <v>4.2880401104256975</v>
      </c>
      <c r="AA39" s="792">
        <f t="shared" si="55"/>
        <v>4.2880401104256975</v>
      </c>
      <c r="AB39" s="18" t="s">
        <v>2525</v>
      </c>
      <c r="AC39" s="13" t="s">
        <v>2964</v>
      </c>
      <c r="AD39" s="13" t="s">
        <v>2965</v>
      </c>
      <c r="AE39" s="12">
        <v>3.8102374934982654E-3</v>
      </c>
      <c r="AF39" s="12">
        <v>0.20470422547079484</v>
      </c>
      <c r="AG39" s="12">
        <v>1.210810810810811E-4</v>
      </c>
      <c r="AH39" s="12">
        <v>1.0002400855855065E-3</v>
      </c>
    </row>
    <row r="40" spans="1:34" ht="14.25">
      <c r="A40" s="14" t="s">
        <v>2997</v>
      </c>
      <c r="B40" s="24" t="s">
        <v>2508</v>
      </c>
      <c r="C40" s="14" t="s">
        <v>2524</v>
      </c>
      <c r="D40" s="14" t="s">
        <v>2911</v>
      </c>
      <c r="E40" s="14" t="s">
        <v>2998</v>
      </c>
      <c r="F40" s="13">
        <v>143.41999999999999</v>
      </c>
      <c r="G40" s="14" t="s">
        <v>2999</v>
      </c>
      <c r="H40" s="13" t="s">
        <v>2973</v>
      </c>
      <c r="I40" s="655" t="s">
        <v>3000</v>
      </c>
      <c r="J40" s="14" t="s">
        <v>3001</v>
      </c>
      <c r="K40" s="478">
        <v>0.05</v>
      </c>
      <c r="L40" s="220">
        <v>8.6999999999999993</v>
      </c>
      <c r="M40" s="473" t="s">
        <v>3002</v>
      </c>
      <c r="N40" s="479" t="s">
        <v>2937</v>
      </c>
      <c r="O40" s="480" t="s">
        <v>2976</v>
      </c>
      <c r="P40" s="14" t="s">
        <v>2945</v>
      </c>
      <c r="Q40" s="435" t="s">
        <v>2946</v>
      </c>
      <c r="R40" s="14">
        <v>5</v>
      </c>
      <c r="S40" s="14">
        <f t="shared" si="34"/>
        <v>0.435</v>
      </c>
      <c r="T40" s="220">
        <f>SUM(R36:R57)</f>
        <v>125.5</v>
      </c>
      <c r="U40" s="14">
        <f t="shared" si="53"/>
        <v>3.9840637450199203</v>
      </c>
      <c r="V40" s="220">
        <f>U40*100/SUM(U38:U57,U36)</f>
        <v>4.1841004184100417</v>
      </c>
      <c r="W40" s="17" t="s">
        <v>433</v>
      </c>
      <c r="X40" s="500">
        <f t="shared" si="9"/>
        <v>0.20920502092050208</v>
      </c>
      <c r="Y40" s="220" t="s">
        <v>1666</v>
      </c>
      <c r="Z40" s="220" t="str">
        <f t="shared" ref="Z40:AH40" si="56">Y40</f>
        <v>*</v>
      </c>
      <c r="AA40" s="792" t="str">
        <f t="shared" si="56"/>
        <v>*</v>
      </c>
      <c r="AB40" s="458" t="str">
        <f t="shared" si="56"/>
        <v>*</v>
      </c>
      <c r="AC40" s="497" t="str">
        <f t="shared" si="56"/>
        <v>*</v>
      </c>
      <c r="AD40" s="497" t="str">
        <f t="shared" si="56"/>
        <v>*</v>
      </c>
      <c r="AE40" s="454" t="str">
        <f t="shared" si="56"/>
        <v>*</v>
      </c>
      <c r="AF40" s="454" t="str">
        <f t="shared" si="56"/>
        <v>*</v>
      </c>
      <c r="AG40" s="454" t="str">
        <f t="shared" si="56"/>
        <v>*</v>
      </c>
      <c r="AH40" s="454" t="str">
        <f t="shared" si="56"/>
        <v>*</v>
      </c>
    </row>
    <row r="41" spans="1:34" ht="14.25">
      <c r="A41" s="14" t="s">
        <v>2997</v>
      </c>
      <c r="B41" s="24" t="s">
        <v>2508</v>
      </c>
      <c r="C41" s="14" t="s">
        <v>2524</v>
      </c>
      <c r="D41" s="14" t="s">
        <v>2911</v>
      </c>
      <c r="E41" s="14" t="s">
        <v>2998</v>
      </c>
      <c r="F41" s="13">
        <v>143.41999999999999</v>
      </c>
      <c r="G41" s="14" t="s">
        <v>2999</v>
      </c>
      <c r="H41" s="13" t="s">
        <v>2973</v>
      </c>
      <c r="I41" s="655" t="s">
        <v>3000</v>
      </c>
      <c r="J41" s="14" t="s">
        <v>3001</v>
      </c>
      <c r="K41" s="478">
        <v>0.05</v>
      </c>
      <c r="L41" s="220">
        <v>8.6999999999999993</v>
      </c>
      <c r="M41" s="473" t="s">
        <v>3002</v>
      </c>
      <c r="N41" s="479" t="s">
        <v>2937</v>
      </c>
      <c r="O41" s="480" t="s">
        <v>2976</v>
      </c>
      <c r="P41" s="655" t="s">
        <v>3005</v>
      </c>
      <c r="Q41" s="14" t="s">
        <v>3006</v>
      </c>
      <c r="R41" s="14">
        <v>5</v>
      </c>
      <c r="S41" s="14">
        <f t="shared" si="34"/>
        <v>0.435</v>
      </c>
      <c r="T41" s="220">
        <f>SUM(R36:R57)</f>
        <v>125.5</v>
      </c>
      <c r="U41" s="14">
        <f t="shared" si="53"/>
        <v>3.9840637450199203</v>
      </c>
      <c r="V41" s="220">
        <f>U41*100/SUM(U38:U57,U36)</f>
        <v>4.1841004184100417</v>
      </c>
      <c r="W41" s="14" t="s">
        <v>2779</v>
      </c>
      <c r="X41" s="500">
        <f t="shared" si="9"/>
        <v>0.20920502092050208</v>
      </c>
      <c r="Y41" s="504">
        <f>SUM(X41,X102)</f>
        <v>0.7615062761506276</v>
      </c>
      <c r="Z41" s="501">
        <f t="shared" ref="Z41:AA41" si="57">Y41</f>
        <v>0.7615062761506276</v>
      </c>
      <c r="AA41" s="792">
        <f t="shared" si="57"/>
        <v>0.7615062761506276</v>
      </c>
      <c r="AB41" s="18" t="s">
        <v>2526</v>
      </c>
      <c r="AC41" s="13" t="s">
        <v>215</v>
      </c>
      <c r="AD41" s="13" t="s">
        <v>3007</v>
      </c>
      <c r="AE41" s="12">
        <v>5.0851930036188197E-3</v>
      </c>
      <c r="AF41" s="12">
        <v>5.9995417730640897E-2</v>
      </c>
      <c r="AG41" s="12">
        <v>3.4699999999999998E-4</v>
      </c>
      <c r="AH41" s="12">
        <v>2.9762429672480995E-4</v>
      </c>
    </row>
    <row r="42" spans="1:34" ht="14.25">
      <c r="A42" s="14" t="s">
        <v>2997</v>
      </c>
      <c r="B42" s="24" t="s">
        <v>2508</v>
      </c>
      <c r="C42" s="14" t="s">
        <v>2524</v>
      </c>
      <c r="D42" s="14" t="s">
        <v>2911</v>
      </c>
      <c r="E42" s="14" t="s">
        <v>2998</v>
      </c>
      <c r="F42" s="13">
        <v>143.41999999999999</v>
      </c>
      <c r="G42" s="14" t="s">
        <v>2999</v>
      </c>
      <c r="H42" s="13" t="s">
        <v>2973</v>
      </c>
      <c r="I42" s="655" t="s">
        <v>3000</v>
      </c>
      <c r="J42" s="14" t="s">
        <v>3001</v>
      </c>
      <c r="K42" s="478">
        <v>0.05</v>
      </c>
      <c r="L42" s="220">
        <v>8.6999999999999993</v>
      </c>
      <c r="M42" s="473" t="s">
        <v>3002</v>
      </c>
      <c r="N42" s="479" t="s">
        <v>2937</v>
      </c>
      <c r="O42" s="480" t="s">
        <v>2976</v>
      </c>
      <c r="P42" s="14" t="s">
        <v>3008</v>
      </c>
      <c r="Q42" s="14" t="s">
        <v>3009</v>
      </c>
      <c r="R42" s="14">
        <v>4.5</v>
      </c>
      <c r="S42" s="14">
        <f t="shared" si="34"/>
        <v>0.39149999999999996</v>
      </c>
      <c r="T42" s="220">
        <f>SUM(R36:R57)</f>
        <v>125.5</v>
      </c>
      <c r="U42" s="14">
        <f t="shared" si="53"/>
        <v>3.5856573705179282</v>
      </c>
      <c r="V42" s="220">
        <f>U42*100/SUM(U38:U57,U36)</f>
        <v>3.7656903765690375</v>
      </c>
      <c r="W42" s="17" t="s">
        <v>1588</v>
      </c>
      <c r="X42" s="500">
        <f t="shared" si="9"/>
        <v>0.18828451882845187</v>
      </c>
      <c r="Y42" s="220" t="s">
        <v>1666</v>
      </c>
      <c r="Z42" s="501">
        <f>X42</f>
        <v>0.18828451882845187</v>
      </c>
      <c r="AA42" s="792">
        <f>Z42</f>
        <v>0.18828451882845187</v>
      </c>
      <c r="AB42" s="18" t="s">
        <v>433</v>
      </c>
      <c r="AC42" s="13" t="str">
        <f t="shared" ref="AC42:AD42" si="58">AB42</f>
        <v>sugar</v>
      </c>
      <c r="AD42" s="13" t="str">
        <f t="shared" si="58"/>
        <v>sugar</v>
      </c>
      <c r="AE42" s="12">
        <v>2.9559941486988851E-4</v>
      </c>
      <c r="AF42" s="12">
        <v>1.227390180878553E-2</v>
      </c>
      <c r="AG42" s="12">
        <v>5.0880902043692758E-4</v>
      </c>
      <c r="AH42" s="12">
        <v>3.9359045321580248E-4</v>
      </c>
    </row>
    <row r="43" spans="1:34" ht="14.25">
      <c r="A43" s="14" t="s">
        <v>2997</v>
      </c>
      <c r="B43" s="24" t="s">
        <v>2508</v>
      </c>
      <c r="C43" s="14" t="s">
        <v>2524</v>
      </c>
      <c r="D43" s="14" t="s">
        <v>2911</v>
      </c>
      <c r="E43" s="14" t="s">
        <v>2998</v>
      </c>
      <c r="F43" s="13">
        <v>143.41999999999999</v>
      </c>
      <c r="G43" s="14" t="s">
        <v>2999</v>
      </c>
      <c r="H43" s="13" t="s">
        <v>2973</v>
      </c>
      <c r="I43" s="655" t="s">
        <v>3000</v>
      </c>
      <c r="J43" s="14" t="s">
        <v>3001</v>
      </c>
      <c r="K43" s="478">
        <v>0.05</v>
      </c>
      <c r="L43" s="220">
        <v>8.6999999999999993</v>
      </c>
      <c r="M43" s="473" t="s">
        <v>3002</v>
      </c>
      <c r="N43" s="479" t="s">
        <v>2937</v>
      </c>
      <c r="O43" s="480" t="s">
        <v>2976</v>
      </c>
      <c r="P43" s="14" t="s">
        <v>421</v>
      </c>
      <c r="Q43" s="14" t="s">
        <v>2952</v>
      </c>
      <c r="R43" s="14">
        <v>2</v>
      </c>
      <c r="S43" s="14">
        <f t="shared" si="34"/>
        <v>0.17399999999999999</v>
      </c>
      <c r="T43" s="220">
        <f>SUM(R36:R57)</f>
        <v>125.5</v>
      </c>
      <c r="U43" s="14">
        <f t="shared" si="53"/>
        <v>1.593625498007968</v>
      </c>
      <c r="V43" s="220">
        <f>U43*100/SUM(U38:U57,U36)</f>
        <v>1.6736401673640167</v>
      </c>
      <c r="W43" s="14" t="s">
        <v>421</v>
      </c>
      <c r="X43" s="500">
        <f t="shared" si="9"/>
        <v>8.3682008368200833E-2</v>
      </c>
      <c r="Y43" s="504">
        <f>SUM(X43,X55,X83,X90,X50)</f>
        <v>0.35816162732559664</v>
      </c>
      <c r="Z43" s="501">
        <f t="shared" ref="Z43:AA43" si="59">Y43</f>
        <v>0.35816162732559664</v>
      </c>
      <c r="AA43" s="792">
        <f t="shared" si="59"/>
        <v>0.35816162732559664</v>
      </c>
      <c r="AB43" s="18" t="s">
        <v>421</v>
      </c>
      <c r="AC43" s="14" t="s">
        <v>2953</v>
      </c>
      <c r="AD43" s="14" t="s">
        <v>2954</v>
      </c>
      <c r="AE43" s="12">
        <v>3.372204299368619E-2</v>
      </c>
      <c r="AF43" s="12">
        <v>6.4584205812988751E-2</v>
      </c>
      <c r="AG43" s="12">
        <v>3.9999999999999998E-6</v>
      </c>
      <c r="AH43" s="12">
        <v>1.477309663377164E-3</v>
      </c>
    </row>
    <row r="44" spans="1:34" ht="14.25">
      <c r="A44" s="14" t="s">
        <v>2997</v>
      </c>
      <c r="B44" s="24" t="s">
        <v>2508</v>
      </c>
      <c r="C44" s="14" t="s">
        <v>2524</v>
      </c>
      <c r="D44" s="14" t="s">
        <v>2911</v>
      </c>
      <c r="E44" s="14" t="s">
        <v>2998</v>
      </c>
      <c r="F44" s="13">
        <v>143.41999999999999</v>
      </c>
      <c r="G44" s="14" t="s">
        <v>2999</v>
      </c>
      <c r="H44" s="13" t="s">
        <v>2973</v>
      </c>
      <c r="I44" s="655" t="s">
        <v>3000</v>
      </c>
      <c r="J44" s="14" t="s">
        <v>3001</v>
      </c>
      <c r="K44" s="478">
        <v>0.05</v>
      </c>
      <c r="L44" s="220">
        <v>8.6999999999999993</v>
      </c>
      <c r="M44" s="473" t="s">
        <v>3002</v>
      </c>
      <c r="N44" s="479" t="s">
        <v>2937</v>
      </c>
      <c r="O44" s="480" t="s">
        <v>2976</v>
      </c>
      <c r="P44" s="14" t="s">
        <v>2776</v>
      </c>
      <c r="Q44" s="14" t="s">
        <v>3010</v>
      </c>
      <c r="R44" s="14">
        <v>1</v>
      </c>
      <c r="S44" s="14">
        <f t="shared" si="34"/>
        <v>8.6999999999999994E-2</v>
      </c>
      <c r="T44" s="220">
        <f>SUM(R36:R57)</f>
        <v>125.5</v>
      </c>
      <c r="U44" s="14">
        <f t="shared" si="53"/>
        <v>0.79681274900398402</v>
      </c>
      <c r="V44" s="220">
        <f>U44*100/SUM(U38:U57,U36)</f>
        <v>0.83682008368200833</v>
      </c>
      <c r="W44" s="17" t="s">
        <v>2776</v>
      </c>
      <c r="X44" s="500">
        <f t="shared" si="9"/>
        <v>4.1841004184100417E-2</v>
      </c>
      <c r="Y44" s="220" t="s">
        <v>1666</v>
      </c>
      <c r="Z44" s="501">
        <f>SUM(X44,X63,X73,X82,X91,X97,)</f>
        <v>5.6482712863028119</v>
      </c>
      <c r="AA44" s="792">
        <f>Z44</f>
        <v>5.6482712863028119</v>
      </c>
      <c r="AB44" s="18" t="s">
        <v>2527</v>
      </c>
      <c r="AC44" s="13" t="s">
        <v>2776</v>
      </c>
      <c r="AD44" s="13" t="s">
        <v>3011</v>
      </c>
      <c r="AE44" s="12">
        <v>1.5483515402843602E-2</v>
      </c>
      <c r="AF44" s="12">
        <v>4.5524313981042654E-2</v>
      </c>
      <c r="AG44" s="12">
        <v>3.0351086374407588E-4</v>
      </c>
      <c r="AH44" s="12">
        <v>2.8558827014218014E-3</v>
      </c>
    </row>
    <row r="45" spans="1:34" ht="14.25">
      <c r="A45" s="14" t="s">
        <v>2997</v>
      </c>
      <c r="B45" s="24" t="s">
        <v>2508</v>
      </c>
      <c r="C45" s="14" t="s">
        <v>2524</v>
      </c>
      <c r="D45" s="14" t="s">
        <v>2911</v>
      </c>
      <c r="E45" s="14" t="s">
        <v>2998</v>
      </c>
      <c r="F45" s="13">
        <v>143.41999999999999</v>
      </c>
      <c r="G45" s="14" t="s">
        <v>2999</v>
      </c>
      <c r="H45" s="13" t="s">
        <v>2973</v>
      </c>
      <c r="I45" s="655" t="s">
        <v>3000</v>
      </c>
      <c r="J45" s="14" t="s">
        <v>3001</v>
      </c>
      <c r="K45" s="478">
        <v>0.05</v>
      </c>
      <c r="L45" s="220">
        <v>8.6999999999999993</v>
      </c>
      <c r="M45" s="473" t="s">
        <v>3002</v>
      </c>
      <c r="N45" s="479" t="s">
        <v>2937</v>
      </c>
      <c r="O45" s="480" t="s">
        <v>2976</v>
      </c>
      <c r="P45" s="14" t="s">
        <v>2962</v>
      </c>
      <c r="Q45" s="14" t="s">
        <v>2963</v>
      </c>
      <c r="R45" s="14">
        <v>1</v>
      </c>
      <c r="S45" s="14">
        <f t="shared" si="34"/>
        <v>8.6999999999999994E-2</v>
      </c>
      <c r="T45" s="220">
        <f>SUM(R36:R57)</f>
        <v>125.5</v>
      </c>
      <c r="U45" s="14">
        <f t="shared" si="53"/>
        <v>0.79681274900398402</v>
      </c>
      <c r="V45" s="220">
        <f>U45*100/SUM(U38:U57,U36)</f>
        <v>0.83682008368200833</v>
      </c>
      <c r="W45" s="17" t="s">
        <v>3012</v>
      </c>
      <c r="X45" s="500">
        <f t="shared" si="9"/>
        <v>4.1841004184100417E-2</v>
      </c>
      <c r="Y45" s="220" t="s">
        <v>1666</v>
      </c>
      <c r="Z45" s="220" t="str">
        <f t="shared" ref="Z45:AH45" si="60">Y45</f>
        <v>*</v>
      </c>
      <c r="AA45" s="792" t="str">
        <f t="shared" si="60"/>
        <v>*</v>
      </c>
      <c r="AB45" s="458" t="str">
        <f t="shared" si="60"/>
        <v>*</v>
      </c>
      <c r="AC45" s="497" t="str">
        <f t="shared" si="60"/>
        <v>*</v>
      </c>
      <c r="AD45" s="497" t="str">
        <f t="shared" si="60"/>
        <v>*</v>
      </c>
      <c r="AE45" s="454" t="str">
        <f t="shared" si="60"/>
        <v>*</v>
      </c>
      <c r="AF45" s="454" t="str">
        <f t="shared" si="60"/>
        <v>*</v>
      </c>
      <c r="AG45" s="454" t="str">
        <f t="shared" si="60"/>
        <v>*</v>
      </c>
      <c r="AH45" s="454" t="str">
        <f t="shared" si="60"/>
        <v>*</v>
      </c>
    </row>
    <row r="46" spans="1:34" ht="14.25">
      <c r="A46" s="14" t="s">
        <v>2997</v>
      </c>
      <c r="B46" s="24" t="s">
        <v>2508</v>
      </c>
      <c r="C46" s="14" t="s">
        <v>2524</v>
      </c>
      <c r="D46" s="14" t="s">
        <v>2911</v>
      </c>
      <c r="E46" s="14" t="s">
        <v>2998</v>
      </c>
      <c r="F46" s="13">
        <v>143.41999999999999</v>
      </c>
      <c r="G46" s="14" t="s">
        <v>2999</v>
      </c>
      <c r="H46" s="13" t="s">
        <v>2973</v>
      </c>
      <c r="I46" s="655" t="s">
        <v>3000</v>
      </c>
      <c r="J46" s="14" t="s">
        <v>3001</v>
      </c>
      <c r="K46" s="478">
        <v>0.05</v>
      </c>
      <c r="L46" s="220">
        <v>8.6999999999999993</v>
      </c>
      <c r="M46" s="473" t="s">
        <v>3002</v>
      </c>
      <c r="N46" s="479" t="s">
        <v>2937</v>
      </c>
      <c r="O46" s="480" t="s">
        <v>2976</v>
      </c>
      <c r="P46" s="14" t="s">
        <v>3013</v>
      </c>
      <c r="Q46" s="14" t="s">
        <v>3014</v>
      </c>
      <c r="R46" s="14">
        <v>1</v>
      </c>
      <c r="S46" s="14">
        <f t="shared" si="34"/>
        <v>8.6999999999999994E-2</v>
      </c>
      <c r="T46" s="220">
        <f>SUM(R36:R57)</f>
        <v>125.5</v>
      </c>
      <c r="U46" s="14">
        <f t="shared" si="53"/>
        <v>0.79681274900398402</v>
      </c>
      <c r="V46" s="220">
        <f>U46*100/SUM(U38:U57,U36)</f>
        <v>0.83682008368200833</v>
      </c>
      <c r="W46" s="17" t="s">
        <v>88</v>
      </c>
      <c r="X46" s="500">
        <f t="shared" si="9"/>
        <v>4.1841004184100417E-2</v>
      </c>
      <c r="Y46" s="220" t="s">
        <v>1666</v>
      </c>
      <c r="Z46" s="501">
        <f>SUM(X46,X86)</f>
        <v>0.20955588888011717</v>
      </c>
      <c r="AA46" s="792">
        <f>Z46</f>
        <v>0.20955588888011717</v>
      </c>
      <c r="AB46" s="18" t="s">
        <v>2528</v>
      </c>
      <c r="AC46" s="13" t="s">
        <v>3015</v>
      </c>
      <c r="AD46" s="13" t="s">
        <v>3016</v>
      </c>
      <c r="AE46" s="12">
        <v>5.5280749052132698E-2</v>
      </c>
      <c r="AF46" s="12">
        <v>0.16253532298578199</v>
      </c>
      <c r="AG46" s="12">
        <v>1.0836239353080568E-3</v>
      </c>
      <c r="AH46" s="12">
        <v>1.0196349526066351E-2</v>
      </c>
    </row>
    <row r="47" spans="1:34" ht="14.25">
      <c r="A47" s="14" t="s">
        <v>2997</v>
      </c>
      <c r="B47" s="24" t="s">
        <v>2508</v>
      </c>
      <c r="C47" s="14" t="s">
        <v>2524</v>
      </c>
      <c r="D47" s="14" t="s">
        <v>2911</v>
      </c>
      <c r="E47" s="14" t="s">
        <v>2998</v>
      </c>
      <c r="F47" s="13">
        <v>143.41999999999999</v>
      </c>
      <c r="G47" s="14" t="s">
        <v>2999</v>
      </c>
      <c r="H47" s="13" t="s">
        <v>2973</v>
      </c>
      <c r="I47" s="655" t="s">
        <v>3000</v>
      </c>
      <c r="J47" s="14" t="s">
        <v>3001</v>
      </c>
      <c r="K47" s="478">
        <v>0.05</v>
      </c>
      <c r="L47" s="220">
        <v>8.6999999999999993</v>
      </c>
      <c r="M47" s="473" t="s">
        <v>3002</v>
      </c>
      <c r="N47" s="479" t="s">
        <v>2937</v>
      </c>
      <c r="O47" s="480" t="s">
        <v>2976</v>
      </c>
      <c r="P47" s="14" t="s">
        <v>3017</v>
      </c>
      <c r="Q47" s="486" t="s">
        <v>3018</v>
      </c>
      <c r="R47" s="14">
        <v>1</v>
      </c>
      <c r="S47" s="14">
        <f t="shared" si="34"/>
        <v>8.6999999999999994E-2</v>
      </c>
      <c r="T47" s="220">
        <f>SUM(R36:R57)</f>
        <v>125.5</v>
      </c>
      <c r="U47" s="14">
        <f t="shared" si="53"/>
        <v>0.79681274900398402</v>
      </c>
      <c r="V47" s="220">
        <f>U47*100/SUM(U38:U57,U36)</f>
        <v>0.83682008368200833</v>
      </c>
      <c r="W47" s="14" t="s">
        <v>146</v>
      </c>
      <c r="X47" s="500">
        <f t="shared" si="9"/>
        <v>4.1841004184100417E-2</v>
      </c>
      <c r="Y47" s="504">
        <f>SUM(X47,X48,X89,X51,X88,X100)</f>
        <v>0.59247125075655904</v>
      </c>
      <c r="Z47" s="501">
        <f t="shared" ref="Z47:AA47" si="61">Y47</f>
        <v>0.59247125075655904</v>
      </c>
      <c r="AA47" s="792">
        <f t="shared" si="61"/>
        <v>0.59247125075655904</v>
      </c>
      <c r="AB47" s="18" t="s">
        <v>139</v>
      </c>
      <c r="AC47" s="13" t="s">
        <v>138</v>
      </c>
      <c r="AD47" s="13" t="s">
        <v>3019</v>
      </c>
      <c r="AE47" s="12">
        <v>4.0165275294130297E-3</v>
      </c>
      <c r="AF47" s="12">
        <v>3.2725331200335404E-2</v>
      </c>
      <c r="AG47" s="12">
        <v>2.4399999999999999E-4</v>
      </c>
      <c r="AH47" s="12">
        <v>2.0392735E-3</v>
      </c>
    </row>
    <row r="48" spans="1:34" ht="14.25">
      <c r="A48" s="14" t="s">
        <v>2997</v>
      </c>
      <c r="B48" s="24" t="s">
        <v>2508</v>
      </c>
      <c r="C48" s="14" t="s">
        <v>2524</v>
      </c>
      <c r="D48" s="14" t="s">
        <v>2911</v>
      </c>
      <c r="E48" s="14" t="s">
        <v>2998</v>
      </c>
      <c r="F48" s="13">
        <v>143.41999999999999</v>
      </c>
      <c r="G48" s="14" t="s">
        <v>2999</v>
      </c>
      <c r="H48" s="13" t="s">
        <v>2973</v>
      </c>
      <c r="I48" s="655" t="s">
        <v>3000</v>
      </c>
      <c r="J48" s="14" t="s">
        <v>3001</v>
      </c>
      <c r="K48" s="478">
        <v>0.05</v>
      </c>
      <c r="L48" s="220">
        <v>8.6999999999999993</v>
      </c>
      <c r="M48" s="473" t="s">
        <v>3002</v>
      </c>
      <c r="N48" s="479" t="s">
        <v>2937</v>
      </c>
      <c r="O48" s="480" t="s">
        <v>2976</v>
      </c>
      <c r="P48" s="14" t="s">
        <v>139</v>
      </c>
      <c r="Q48" s="14" t="s">
        <v>3020</v>
      </c>
      <c r="R48" s="14">
        <v>1</v>
      </c>
      <c r="S48" s="14">
        <f t="shared" si="34"/>
        <v>8.6999999999999994E-2</v>
      </c>
      <c r="T48" s="220">
        <f>SUM(R36:R57)</f>
        <v>125.5</v>
      </c>
      <c r="U48" s="14">
        <f t="shared" si="53"/>
        <v>0.79681274900398402</v>
      </c>
      <c r="V48" s="220">
        <f>U48*100/SUM(U38:U57,U36)</f>
        <v>0.83682008368200833</v>
      </c>
      <c r="W48" s="14" t="s">
        <v>139</v>
      </c>
      <c r="X48" s="500">
        <f t="shared" si="9"/>
        <v>4.1841004184100417E-2</v>
      </c>
      <c r="Y48" s="220" t="s">
        <v>1624</v>
      </c>
      <c r="Z48" s="220" t="s">
        <v>1666</v>
      </c>
      <c r="AA48" s="792" t="str">
        <f t="shared" ref="AA48:AH48" si="62">Z48</f>
        <v>*</v>
      </c>
      <c r="AB48" s="458" t="str">
        <f t="shared" si="62"/>
        <v>*</v>
      </c>
      <c r="AC48" s="497" t="str">
        <f t="shared" si="62"/>
        <v>*</v>
      </c>
      <c r="AD48" s="497" t="str">
        <f t="shared" si="62"/>
        <v>*</v>
      </c>
      <c r="AE48" s="454" t="str">
        <f t="shared" si="62"/>
        <v>*</v>
      </c>
      <c r="AF48" s="454" t="str">
        <f t="shared" si="62"/>
        <v>*</v>
      </c>
      <c r="AG48" s="454" t="str">
        <f t="shared" si="62"/>
        <v>*</v>
      </c>
      <c r="AH48" s="454" t="str">
        <f t="shared" si="62"/>
        <v>*</v>
      </c>
    </row>
    <row r="49" spans="1:34" ht="14.25">
      <c r="A49" s="14" t="s">
        <v>2997</v>
      </c>
      <c r="B49" s="24" t="s">
        <v>2508</v>
      </c>
      <c r="C49" s="14" t="s">
        <v>2524</v>
      </c>
      <c r="D49" s="14" t="s">
        <v>2911</v>
      </c>
      <c r="E49" s="14" t="s">
        <v>2998</v>
      </c>
      <c r="F49" s="13">
        <v>143.41999999999999</v>
      </c>
      <c r="G49" s="14" t="s">
        <v>2999</v>
      </c>
      <c r="H49" s="13" t="s">
        <v>2973</v>
      </c>
      <c r="I49" s="655" t="s">
        <v>3000</v>
      </c>
      <c r="J49" s="14" t="s">
        <v>3001</v>
      </c>
      <c r="K49" s="478">
        <v>0.05</v>
      </c>
      <c r="L49" s="220">
        <v>8.6999999999999993</v>
      </c>
      <c r="M49" s="473" t="s">
        <v>3002</v>
      </c>
      <c r="N49" s="479" t="s">
        <v>2937</v>
      </c>
      <c r="O49" s="480" t="s">
        <v>2976</v>
      </c>
      <c r="P49" s="14" t="s">
        <v>3021</v>
      </c>
      <c r="Q49" s="486" t="s">
        <v>3022</v>
      </c>
      <c r="R49" s="14">
        <v>0.75</v>
      </c>
      <c r="S49" s="14">
        <f t="shared" si="34"/>
        <v>6.5249999999999989E-2</v>
      </c>
      <c r="T49" s="220">
        <f>SUM(R36:R57)</f>
        <v>125.5</v>
      </c>
      <c r="U49" s="14">
        <f t="shared" si="53"/>
        <v>0.59760956175298807</v>
      </c>
      <c r="V49" s="220">
        <f>U49*100/SUM(U38:U57,U36)</f>
        <v>0.62761506276150625</v>
      </c>
      <c r="W49" s="14" t="s">
        <v>346</v>
      </c>
      <c r="X49" s="500">
        <f t="shared" si="9"/>
        <v>3.1380753138075312E-2</v>
      </c>
      <c r="Y49" s="504">
        <f>SUM(X49,X53,X94)</f>
        <v>7.9532994745752303E-2</v>
      </c>
      <c r="Z49" s="220" t="s">
        <v>1624</v>
      </c>
      <c r="AA49" s="792">
        <f>X49</f>
        <v>3.1380753138075312E-2</v>
      </c>
      <c r="AB49" s="18" t="s">
        <v>346</v>
      </c>
      <c r="AC49" s="13" t="s">
        <v>2982</v>
      </c>
      <c r="AD49" s="13" t="s">
        <v>2983</v>
      </c>
      <c r="AE49" s="12">
        <v>2.9691872042618299E-2</v>
      </c>
      <c r="AF49" s="12">
        <v>7.5368545517799299E-2</v>
      </c>
      <c r="AG49" s="12">
        <v>2.9014018691588786E-4</v>
      </c>
      <c r="AH49" s="12">
        <v>1.4770983615231311E-3</v>
      </c>
    </row>
    <row r="50" spans="1:34" ht="14.25">
      <c r="A50" s="14" t="s">
        <v>2997</v>
      </c>
      <c r="B50" s="24" t="s">
        <v>2508</v>
      </c>
      <c r="C50" s="14" t="s">
        <v>2524</v>
      </c>
      <c r="D50" s="14" t="s">
        <v>2911</v>
      </c>
      <c r="E50" s="14" t="s">
        <v>2998</v>
      </c>
      <c r="F50" s="13">
        <v>143.41999999999999</v>
      </c>
      <c r="G50" s="14" t="s">
        <v>2999</v>
      </c>
      <c r="H50" s="13" t="s">
        <v>2973</v>
      </c>
      <c r="I50" s="655" t="s">
        <v>3000</v>
      </c>
      <c r="J50" s="14" t="s">
        <v>3001</v>
      </c>
      <c r="K50" s="478">
        <v>0.05</v>
      </c>
      <c r="L50" s="220">
        <v>8.6999999999999993</v>
      </c>
      <c r="M50" s="473" t="s">
        <v>3002</v>
      </c>
      <c r="N50" s="479" t="s">
        <v>2937</v>
      </c>
      <c r="O50" s="480" t="s">
        <v>2976</v>
      </c>
      <c r="P50" s="14" t="s">
        <v>3023</v>
      </c>
      <c r="Q50" s="14" t="s">
        <v>3024</v>
      </c>
      <c r="R50" s="14">
        <v>1</v>
      </c>
      <c r="S50" s="14">
        <f t="shared" si="34"/>
        <v>8.6999999999999994E-2</v>
      </c>
      <c r="T50" s="220">
        <f>SUM(R36:R57)</f>
        <v>125.5</v>
      </c>
      <c r="U50" s="14">
        <f t="shared" si="53"/>
        <v>0.79681274900398402</v>
      </c>
      <c r="V50" s="220">
        <f>U50*100/SUM(U38:U57,U36)</f>
        <v>0.83682008368200833</v>
      </c>
      <c r="W50" s="14" t="s">
        <v>410</v>
      </c>
      <c r="X50" s="500">
        <f t="shared" si="9"/>
        <v>4.1841004184100417E-2</v>
      </c>
      <c r="Y50" s="220" t="s">
        <v>1624</v>
      </c>
      <c r="Z50" s="220" t="s">
        <v>1666</v>
      </c>
      <c r="AA50" s="792" t="str">
        <f t="shared" ref="AA50:AH50" si="63">Z50</f>
        <v>*</v>
      </c>
      <c r="AB50" s="458" t="str">
        <f t="shared" si="63"/>
        <v>*</v>
      </c>
      <c r="AC50" s="497" t="str">
        <f t="shared" si="63"/>
        <v>*</v>
      </c>
      <c r="AD50" s="497" t="str">
        <f t="shared" si="63"/>
        <v>*</v>
      </c>
      <c r="AE50" s="454" t="str">
        <f t="shared" si="63"/>
        <v>*</v>
      </c>
      <c r="AF50" s="454" t="str">
        <f t="shared" si="63"/>
        <v>*</v>
      </c>
      <c r="AG50" s="454" t="str">
        <f t="shared" si="63"/>
        <v>*</v>
      </c>
      <c r="AH50" s="454" t="str">
        <f t="shared" si="63"/>
        <v>*</v>
      </c>
    </row>
    <row r="51" spans="1:34" ht="14.25">
      <c r="A51" s="14" t="s">
        <v>2997</v>
      </c>
      <c r="B51" s="24" t="s">
        <v>2508</v>
      </c>
      <c r="C51" s="14" t="s">
        <v>2524</v>
      </c>
      <c r="D51" s="14" t="s">
        <v>2911</v>
      </c>
      <c r="E51" s="14" t="s">
        <v>2998</v>
      </c>
      <c r="F51" s="13">
        <v>143.41999999999999</v>
      </c>
      <c r="G51" s="14" t="s">
        <v>2999</v>
      </c>
      <c r="H51" s="13" t="s">
        <v>2973</v>
      </c>
      <c r="I51" s="655" t="s">
        <v>3000</v>
      </c>
      <c r="J51" s="14" t="s">
        <v>3001</v>
      </c>
      <c r="K51" s="478">
        <v>0.05</v>
      </c>
      <c r="L51" s="220">
        <v>8.6999999999999993</v>
      </c>
      <c r="M51" s="473" t="s">
        <v>3002</v>
      </c>
      <c r="N51" s="479" t="s">
        <v>2937</v>
      </c>
      <c r="O51" s="480" t="s">
        <v>2976</v>
      </c>
      <c r="P51" s="14" t="s">
        <v>3025</v>
      </c>
      <c r="Q51" s="486" t="s">
        <v>3026</v>
      </c>
      <c r="R51" s="14">
        <v>0.75</v>
      </c>
      <c r="S51" s="14">
        <f t="shared" si="34"/>
        <v>6.5249999999999989E-2</v>
      </c>
      <c r="T51" s="220">
        <f>SUM(R36:R57)</f>
        <v>125.5</v>
      </c>
      <c r="U51" s="14">
        <f t="shared" si="53"/>
        <v>0.59760956175298807</v>
      </c>
      <c r="V51" s="220">
        <f>U51*100/SUM(U38:U57,U36)</f>
        <v>0.62761506276150625</v>
      </c>
      <c r="W51" s="14" t="s">
        <v>142</v>
      </c>
      <c r="X51" s="500">
        <f t="shared" si="9"/>
        <v>3.1380753138075312E-2</v>
      </c>
      <c r="Y51" s="220" t="s">
        <v>1624</v>
      </c>
      <c r="Z51" s="220" t="s">
        <v>1666</v>
      </c>
      <c r="AA51" s="792" t="str">
        <f t="shared" ref="AA51:AH51" si="64">Z51</f>
        <v>*</v>
      </c>
      <c r="AB51" s="458" t="str">
        <f t="shared" si="64"/>
        <v>*</v>
      </c>
      <c r="AC51" s="497" t="str">
        <f t="shared" si="64"/>
        <v>*</v>
      </c>
      <c r="AD51" s="497" t="str">
        <f t="shared" si="64"/>
        <v>*</v>
      </c>
      <c r="AE51" s="454" t="str">
        <f t="shared" si="64"/>
        <v>*</v>
      </c>
      <c r="AF51" s="454" t="str">
        <f t="shared" si="64"/>
        <v>*</v>
      </c>
      <c r="AG51" s="454" t="str">
        <f t="shared" si="64"/>
        <v>*</v>
      </c>
      <c r="AH51" s="454" t="str">
        <f t="shared" si="64"/>
        <v>*</v>
      </c>
    </row>
    <row r="52" spans="1:34" ht="14.25">
      <c r="A52" s="14" t="s">
        <v>2997</v>
      </c>
      <c r="B52" s="24" t="s">
        <v>2508</v>
      </c>
      <c r="C52" s="14" t="s">
        <v>2524</v>
      </c>
      <c r="D52" s="14" t="s">
        <v>2911</v>
      </c>
      <c r="E52" s="14" t="s">
        <v>2998</v>
      </c>
      <c r="F52" s="13">
        <v>143.41999999999999</v>
      </c>
      <c r="G52" s="14" t="s">
        <v>2999</v>
      </c>
      <c r="H52" s="13" t="s">
        <v>2973</v>
      </c>
      <c r="I52" s="655" t="s">
        <v>3000</v>
      </c>
      <c r="J52" s="14" t="s">
        <v>3001</v>
      </c>
      <c r="K52" s="478">
        <v>0.05</v>
      </c>
      <c r="L52" s="220">
        <v>8.6999999999999993</v>
      </c>
      <c r="M52" s="473" t="s">
        <v>3002</v>
      </c>
      <c r="N52" s="479" t="s">
        <v>2937</v>
      </c>
      <c r="O52" s="480" t="s">
        <v>2976</v>
      </c>
      <c r="P52" s="14" t="s">
        <v>430</v>
      </c>
      <c r="Q52" s="486" t="s">
        <v>3027</v>
      </c>
      <c r="R52" s="14">
        <v>0.75</v>
      </c>
      <c r="S52" s="14">
        <f t="shared" si="34"/>
        <v>6.5249999999999989E-2</v>
      </c>
      <c r="T52" s="220">
        <f>SUM(R36:R57)</f>
        <v>125.5</v>
      </c>
      <c r="U52" s="14">
        <f t="shared" si="53"/>
        <v>0.59760956175298807</v>
      </c>
      <c r="V52" s="220">
        <f>U52*100/SUM(U38:U57,U36)</f>
        <v>0.62761506276150625</v>
      </c>
      <c r="W52" s="14" t="s">
        <v>430</v>
      </c>
      <c r="X52" s="500">
        <f t="shared" si="9"/>
        <v>3.1380753138075312E-2</v>
      </c>
      <c r="Y52" s="504">
        <f>SUM(X52)</f>
        <v>3.1380753138075312E-2</v>
      </c>
      <c r="Z52" s="220" t="s">
        <v>1624</v>
      </c>
      <c r="AA52" s="792">
        <f>X52</f>
        <v>3.1380753138075312E-2</v>
      </c>
      <c r="AB52" s="18" t="s">
        <v>430</v>
      </c>
      <c r="AC52" s="13" t="s">
        <v>18</v>
      </c>
      <c r="AD52" s="13" t="s">
        <v>18</v>
      </c>
      <c r="AE52" s="12">
        <v>0</v>
      </c>
      <c r="AF52" s="12">
        <v>0</v>
      </c>
      <c r="AG52" s="12">
        <v>0</v>
      </c>
      <c r="AH52" s="12">
        <v>0</v>
      </c>
    </row>
    <row r="53" spans="1:34" ht="14.25">
      <c r="A53" s="14" t="s">
        <v>2997</v>
      </c>
      <c r="B53" s="24" t="s">
        <v>2508</v>
      </c>
      <c r="C53" s="14" t="s">
        <v>2524</v>
      </c>
      <c r="D53" s="14" t="s">
        <v>2911</v>
      </c>
      <c r="E53" s="14" t="s">
        <v>2998</v>
      </c>
      <c r="F53" s="13">
        <v>143.41999999999999</v>
      </c>
      <c r="G53" s="14" t="s">
        <v>2999</v>
      </c>
      <c r="H53" s="13" t="s">
        <v>2973</v>
      </c>
      <c r="I53" s="655" t="s">
        <v>3000</v>
      </c>
      <c r="J53" s="14" t="s">
        <v>3001</v>
      </c>
      <c r="K53" s="478">
        <v>0.05</v>
      </c>
      <c r="L53" s="220">
        <v>8.6999999999999993</v>
      </c>
      <c r="M53" s="473" t="s">
        <v>3002</v>
      </c>
      <c r="N53" s="479" t="s">
        <v>2937</v>
      </c>
      <c r="O53" s="480" t="s">
        <v>2976</v>
      </c>
      <c r="P53" s="14" t="s">
        <v>2948</v>
      </c>
      <c r="Q53" s="14" t="s">
        <v>2949</v>
      </c>
      <c r="R53" s="14">
        <v>0.75</v>
      </c>
      <c r="S53" s="14">
        <f t="shared" si="34"/>
        <v>6.5249999999999989E-2</v>
      </c>
      <c r="T53" s="220">
        <f>SUM(R36:R57)</f>
        <v>125.5</v>
      </c>
      <c r="U53" s="14">
        <f t="shared" si="53"/>
        <v>0.59760956175298807</v>
      </c>
      <c r="V53" s="220">
        <f>U53*100/SUM(U38:U57,U36)</f>
        <v>0.62761506276150625</v>
      </c>
      <c r="W53" s="14" t="s">
        <v>305</v>
      </c>
      <c r="X53" s="500">
        <f t="shared" si="9"/>
        <v>3.1380753138075312E-2</v>
      </c>
      <c r="Y53" s="220" t="s">
        <v>1624</v>
      </c>
      <c r="Z53" s="220" t="str">
        <f t="shared" ref="Z53:AH53" si="65">Y53</f>
        <v>-</v>
      </c>
      <c r="AA53" s="792" t="str">
        <f t="shared" si="65"/>
        <v>-</v>
      </c>
      <c r="AB53" s="458" t="str">
        <f t="shared" si="65"/>
        <v>-</v>
      </c>
      <c r="AC53" s="497" t="str">
        <f t="shared" si="65"/>
        <v>-</v>
      </c>
      <c r="AD53" s="497" t="str">
        <f t="shared" si="65"/>
        <v>-</v>
      </c>
      <c r="AE53" s="454" t="str">
        <f t="shared" si="65"/>
        <v>-</v>
      </c>
      <c r="AF53" s="454" t="str">
        <f t="shared" si="65"/>
        <v>-</v>
      </c>
      <c r="AG53" s="454" t="str">
        <f t="shared" si="65"/>
        <v>-</v>
      </c>
      <c r="AH53" s="454" t="str">
        <f t="shared" si="65"/>
        <v>-</v>
      </c>
    </row>
    <row r="54" spans="1:34" ht="14.25">
      <c r="A54" s="14" t="s">
        <v>2997</v>
      </c>
      <c r="B54" s="24" t="s">
        <v>2508</v>
      </c>
      <c r="C54" s="14" t="s">
        <v>2524</v>
      </c>
      <c r="D54" s="14" t="s">
        <v>2911</v>
      </c>
      <c r="E54" s="14" t="s">
        <v>2998</v>
      </c>
      <c r="F54" s="13">
        <v>143.41999999999999</v>
      </c>
      <c r="G54" s="14" t="s">
        <v>2999</v>
      </c>
      <c r="H54" s="13" t="s">
        <v>2973</v>
      </c>
      <c r="I54" s="655" t="s">
        <v>3000</v>
      </c>
      <c r="J54" s="14" t="s">
        <v>3001</v>
      </c>
      <c r="K54" s="478">
        <v>0.05</v>
      </c>
      <c r="L54" s="220">
        <v>8.6999999999999993</v>
      </c>
      <c r="M54" s="473" t="s">
        <v>3002</v>
      </c>
      <c r="N54" s="479" t="s">
        <v>2937</v>
      </c>
      <c r="O54" s="480" t="s">
        <v>2976</v>
      </c>
      <c r="P54" s="14" t="s">
        <v>432</v>
      </c>
      <c r="Q54" s="486" t="s">
        <v>3028</v>
      </c>
      <c r="R54" s="14">
        <v>0.75</v>
      </c>
      <c r="S54" s="14">
        <f t="shared" si="34"/>
        <v>6.5249999999999989E-2</v>
      </c>
      <c r="T54" s="220">
        <f>SUM(R36:R57)</f>
        <v>125.5</v>
      </c>
      <c r="U54" s="14">
        <f t="shared" si="53"/>
        <v>0.59760956175298807</v>
      </c>
      <c r="V54" s="220">
        <f>U54*100/SUM(U38:U57,U36)</f>
        <v>0.62761506276150625</v>
      </c>
      <c r="W54" s="14" t="s">
        <v>432</v>
      </c>
      <c r="X54" s="500">
        <f t="shared" si="9"/>
        <v>3.1380753138075312E-2</v>
      </c>
      <c r="Y54" s="220" t="s">
        <v>1666</v>
      </c>
      <c r="Z54" s="501">
        <f>X54</f>
        <v>3.1380753138075312E-2</v>
      </c>
      <c r="AA54" s="792">
        <f t="shared" ref="AA54:AA57" si="66">Z54</f>
        <v>3.1380753138075312E-2</v>
      </c>
      <c r="AB54" s="18" t="s">
        <v>2529</v>
      </c>
      <c r="AC54" s="14" t="s">
        <v>3029</v>
      </c>
      <c r="AD54" s="14" t="s">
        <v>3030</v>
      </c>
      <c r="AE54" s="12">
        <v>2.2558902713754649E-4</v>
      </c>
      <c r="AF54" s="12">
        <v>9.3669250645994837E-3</v>
      </c>
      <c r="AG54" s="12">
        <v>3.8830162085976054E-4</v>
      </c>
      <c r="AH54" s="12">
        <v>3.0037166166469137E-4</v>
      </c>
    </row>
    <row r="55" spans="1:34" ht="14.25">
      <c r="A55" s="14" t="s">
        <v>2997</v>
      </c>
      <c r="B55" s="24" t="s">
        <v>2508</v>
      </c>
      <c r="C55" s="14" t="s">
        <v>2524</v>
      </c>
      <c r="D55" s="14" t="s">
        <v>2911</v>
      </c>
      <c r="E55" s="14" t="s">
        <v>2998</v>
      </c>
      <c r="F55" s="13">
        <v>143.41999999999999</v>
      </c>
      <c r="G55" s="14" t="s">
        <v>2999</v>
      </c>
      <c r="H55" s="13" t="s">
        <v>2973</v>
      </c>
      <c r="I55" s="655" t="s">
        <v>3000</v>
      </c>
      <c r="J55" s="14" t="s">
        <v>3001</v>
      </c>
      <c r="K55" s="478">
        <v>0.05</v>
      </c>
      <c r="L55" s="220">
        <v>8.6999999999999993</v>
      </c>
      <c r="M55" s="473" t="s">
        <v>3002</v>
      </c>
      <c r="N55" s="479" t="s">
        <v>2937</v>
      </c>
      <c r="O55" s="480" t="s">
        <v>2976</v>
      </c>
      <c r="P55" s="14" t="s">
        <v>421</v>
      </c>
      <c r="Q55" s="14" t="s">
        <v>2952</v>
      </c>
      <c r="R55" s="14">
        <v>0.75</v>
      </c>
      <c r="S55" s="14">
        <f t="shared" si="34"/>
        <v>6.5249999999999989E-2</v>
      </c>
      <c r="T55" s="220">
        <f>SUM(R36:R57)</f>
        <v>125.5</v>
      </c>
      <c r="U55" s="14">
        <f t="shared" si="53"/>
        <v>0.59760956175298807</v>
      </c>
      <c r="V55" s="220">
        <f>U55*100/SUM(U38:U57,U36)</f>
        <v>0.62761506276150625</v>
      </c>
      <c r="W55" s="14" t="s">
        <v>421</v>
      </c>
      <c r="X55" s="500">
        <f t="shared" si="9"/>
        <v>3.1380753138075312E-2</v>
      </c>
      <c r="Y55" s="220" t="s">
        <v>1624</v>
      </c>
      <c r="Z55" s="220" t="s">
        <v>1666</v>
      </c>
      <c r="AA55" s="792" t="str">
        <f t="shared" si="66"/>
        <v>*</v>
      </c>
      <c r="AB55" s="458" t="str">
        <f t="shared" ref="AB55:AH55" si="67">AA55</f>
        <v>*</v>
      </c>
      <c r="AC55" s="497" t="str">
        <f t="shared" si="67"/>
        <v>*</v>
      </c>
      <c r="AD55" s="497" t="str">
        <f t="shared" si="67"/>
        <v>*</v>
      </c>
      <c r="AE55" s="454" t="str">
        <f t="shared" si="67"/>
        <v>*</v>
      </c>
      <c r="AF55" s="454" t="str">
        <f t="shared" si="67"/>
        <v>*</v>
      </c>
      <c r="AG55" s="454" t="str">
        <f t="shared" si="67"/>
        <v>*</v>
      </c>
      <c r="AH55" s="454" t="str">
        <f t="shared" si="67"/>
        <v>*</v>
      </c>
    </row>
    <row r="56" spans="1:34" ht="14.25">
      <c r="A56" s="14" t="s">
        <v>2997</v>
      </c>
      <c r="B56" s="24" t="s">
        <v>2508</v>
      </c>
      <c r="C56" s="14" t="s">
        <v>2524</v>
      </c>
      <c r="D56" s="14" t="s">
        <v>2911</v>
      </c>
      <c r="E56" s="14" t="s">
        <v>2998</v>
      </c>
      <c r="F56" s="13">
        <v>143.41999999999999</v>
      </c>
      <c r="G56" s="14" t="s">
        <v>2999</v>
      </c>
      <c r="H56" s="13" t="s">
        <v>2973</v>
      </c>
      <c r="I56" s="655" t="s">
        <v>3000</v>
      </c>
      <c r="J56" s="14" t="s">
        <v>3001</v>
      </c>
      <c r="K56" s="478">
        <v>0.05</v>
      </c>
      <c r="L56" s="220">
        <v>8.6999999999999993</v>
      </c>
      <c r="M56" s="473" t="s">
        <v>3002</v>
      </c>
      <c r="N56" s="479" t="s">
        <v>2937</v>
      </c>
      <c r="O56" s="480" t="s">
        <v>2976</v>
      </c>
      <c r="P56" s="655" t="s">
        <v>2977</v>
      </c>
      <c r="Q56" s="14" t="s">
        <v>2978</v>
      </c>
      <c r="R56" s="14">
        <v>0.75</v>
      </c>
      <c r="S56" s="14">
        <f t="shared" si="34"/>
        <v>6.5249999999999989E-2</v>
      </c>
      <c r="T56" s="220">
        <f>SUM(R36:R57)</f>
        <v>125.5</v>
      </c>
      <c r="U56" s="14">
        <f t="shared" si="53"/>
        <v>0.59760956175298807</v>
      </c>
      <c r="V56" s="220">
        <f>U56*100/SUM(U38:U57,U36)</f>
        <v>0.62761506276150625</v>
      </c>
      <c r="W56" s="17" t="s">
        <v>227</v>
      </c>
      <c r="X56" s="500">
        <f t="shared" si="9"/>
        <v>3.1380753138075312E-2</v>
      </c>
      <c r="Y56" s="220" t="s">
        <v>1666</v>
      </c>
      <c r="Z56" s="501">
        <f>SUM(X56,X61,X67,X105)</f>
        <v>4.9352215774933095</v>
      </c>
      <c r="AA56" s="792">
        <f t="shared" si="66"/>
        <v>4.9352215774933095</v>
      </c>
      <c r="AB56" s="18" t="s">
        <v>2530</v>
      </c>
      <c r="AC56" s="13" t="s">
        <v>55</v>
      </c>
      <c r="AD56" s="13" t="s">
        <v>2979</v>
      </c>
      <c r="AE56" s="12">
        <v>2.5055367220000002E-3</v>
      </c>
      <c r="AF56" s="12">
        <v>3.8459841414181101E-2</v>
      </c>
      <c r="AG56" s="12">
        <v>1.1035422343324251E-4</v>
      </c>
      <c r="AH56" s="12">
        <v>8.109653861711444E-4</v>
      </c>
    </row>
    <row r="57" spans="1:34" ht="14.25">
      <c r="A57" s="14" t="s">
        <v>2997</v>
      </c>
      <c r="B57" s="24" t="s">
        <v>2508</v>
      </c>
      <c r="C57" s="14" t="s">
        <v>2524</v>
      </c>
      <c r="D57" s="14" t="s">
        <v>2911</v>
      </c>
      <c r="E57" s="14" t="s">
        <v>2998</v>
      </c>
      <c r="F57" s="13">
        <v>143.41999999999999</v>
      </c>
      <c r="G57" s="14" t="s">
        <v>2999</v>
      </c>
      <c r="H57" s="13" t="s">
        <v>2973</v>
      </c>
      <c r="I57" s="848" t="s">
        <v>3000</v>
      </c>
      <c r="J57" s="135" t="s">
        <v>3001</v>
      </c>
      <c r="K57" s="475">
        <v>0.05</v>
      </c>
      <c r="L57" s="476">
        <v>8.6999999999999993</v>
      </c>
      <c r="M57" s="492" t="s">
        <v>3002</v>
      </c>
      <c r="N57" s="493" t="s">
        <v>2937</v>
      </c>
      <c r="O57" s="494" t="s">
        <v>2976</v>
      </c>
      <c r="P57" s="135" t="s">
        <v>3031</v>
      </c>
      <c r="Q57" s="135" t="s">
        <v>3032</v>
      </c>
      <c r="R57" s="135">
        <v>0.75</v>
      </c>
      <c r="S57" s="135">
        <f t="shared" si="34"/>
        <v>6.5249999999999989E-2</v>
      </c>
      <c r="T57" s="853">
        <f>SUM(R36:R57)</f>
        <v>125.5</v>
      </c>
      <c r="U57" s="135">
        <f t="shared" si="53"/>
        <v>0.59760956175298807</v>
      </c>
      <c r="V57" s="476">
        <f>U57*100/SUM(U38:U57,U36)</f>
        <v>0.62761506276150625</v>
      </c>
      <c r="W57" s="71" t="s">
        <v>879</v>
      </c>
      <c r="X57" s="500">
        <f t="shared" si="9"/>
        <v>3.1380753138075312E-2</v>
      </c>
      <c r="Y57" s="220" t="s">
        <v>1666</v>
      </c>
      <c r="Z57" s="501">
        <f>X57</f>
        <v>3.1380753138075312E-2</v>
      </c>
      <c r="AA57" s="792">
        <f t="shared" si="66"/>
        <v>3.1380753138075312E-2</v>
      </c>
      <c r="AB57" s="458" t="s">
        <v>2531</v>
      </c>
      <c r="AC57" s="13" t="s">
        <v>3033</v>
      </c>
      <c r="AD57" s="13" t="s">
        <v>3034</v>
      </c>
      <c r="AE57" s="12">
        <v>5.688340995260663E-3</v>
      </c>
      <c r="AF57" s="12">
        <v>1.672474336492891E-2</v>
      </c>
      <c r="AG57" s="12">
        <v>1.1150396042654029E-4</v>
      </c>
      <c r="AH57" s="12">
        <v>1.0491954976303319E-3</v>
      </c>
    </row>
    <row r="58" spans="1:34" ht="12.75">
      <c r="A58" s="14" t="s">
        <v>2997</v>
      </c>
      <c r="B58" s="24" t="s">
        <v>2508</v>
      </c>
      <c r="C58" s="14" t="s">
        <v>2524</v>
      </c>
      <c r="D58" s="14" t="s">
        <v>2911</v>
      </c>
      <c r="E58" s="14" t="s">
        <v>2998</v>
      </c>
      <c r="F58" s="13">
        <v>143.41999999999999</v>
      </c>
      <c r="G58" s="14" t="s">
        <v>2999</v>
      </c>
      <c r="H58" s="13" t="s">
        <v>2973</v>
      </c>
      <c r="I58" s="14" t="s">
        <v>3035</v>
      </c>
      <c r="J58" s="14" t="s">
        <v>3036</v>
      </c>
      <c r="K58" s="478">
        <v>7.0000000000000007E-2</v>
      </c>
      <c r="L58" s="220">
        <v>9.66</v>
      </c>
      <c r="M58" s="473" t="s">
        <v>3037</v>
      </c>
      <c r="N58" s="473"/>
      <c r="O58" s="480"/>
      <c r="P58" s="14" t="s">
        <v>2912</v>
      </c>
      <c r="Q58" s="14" t="s">
        <v>2915</v>
      </c>
      <c r="R58" s="14">
        <v>80</v>
      </c>
      <c r="S58" s="14">
        <f t="shared" si="34"/>
        <v>7.7280000000000006</v>
      </c>
      <c r="T58" s="487">
        <f>SUM(R58:R65)</f>
        <v>110.6</v>
      </c>
      <c r="U58" s="14">
        <f t="shared" si="53"/>
        <v>72.332730560578668</v>
      </c>
      <c r="V58" s="220">
        <f t="shared" ref="V58:V76" si="68">U58</f>
        <v>72.332730560578668</v>
      </c>
      <c r="W58" s="14" t="s">
        <v>124</v>
      </c>
      <c r="X58" s="500">
        <f t="shared" si="9"/>
        <v>5.0632911392405076</v>
      </c>
      <c r="Y58" s="220" t="s">
        <v>1666</v>
      </c>
      <c r="Z58" s="220" t="str">
        <f t="shared" ref="Z58:AH58" si="69">Y58</f>
        <v>*</v>
      </c>
      <c r="AA58" s="792" t="str">
        <f t="shared" si="69"/>
        <v>*</v>
      </c>
      <c r="AB58" s="458" t="str">
        <f t="shared" si="69"/>
        <v>*</v>
      </c>
      <c r="AC58" s="497" t="str">
        <f t="shared" si="69"/>
        <v>*</v>
      </c>
      <c r="AD58" s="497" t="str">
        <f t="shared" si="69"/>
        <v>*</v>
      </c>
      <c r="AE58" s="454" t="str">
        <f t="shared" si="69"/>
        <v>*</v>
      </c>
      <c r="AF58" s="454" t="str">
        <f t="shared" si="69"/>
        <v>*</v>
      </c>
      <c r="AG58" s="454" t="str">
        <f t="shared" si="69"/>
        <v>*</v>
      </c>
      <c r="AH58" s="454" t="str">
        <f t="shared" si="69"/>
        <v>*</v>
      </c>
    </row>
    <row r="59" spans="1:34" ht="12.75">
      <c r="A59" s="14" t="s">
        <v>2997</v>
      </c>
      <c r="B59" s="24" t="s">
        <v>2508</v>
      </c>
      <c r="C59" s="14" t="s">
        <v>2524</v>
      </c>
      <c r="D59" s="14" t="s">
        <v>2911</v>
      </c>
      <c r="E59" s="14" t="s">
        <v>2998</v>
      </c>
      <c r="F59" s="13">
        <v>143.41999999999999</v>
      </c>
      <c r="G59" s="14" t="s">
        <v>2999</v>
      </c>
      <c r="H59" s="13" t="s">
        <v>2973</v>
      </c>
      <c r="I59" s="14" t="s">
        <v>3035</v>
      </c>
      <c r="J59" s="14" t="s">
        <v>3036</v>
      </c>
      <c r="K59" s="478">
        <v>7.0000000000000007E-2</v>
      </c>
      <c r="L59" s="220">
        <v>9.66</v>
      </c>
      <c r="M59" s="473" t="s">
        <v>3037</v>
      </c>
      <c r="N59" s="473"/>
      <c r="O59" s="480"/>
      <c r="P59" s="14" t="s">
        <v>2945</v>
      </c>
      <c r="Q59" s="14" t="s">
        <v>2946</v>
      </c>
      <c r="R59" s="14">
        <v>10</v>
      </c>
      <c r="S59" s="14">
        <f t="shared" si="34"/>
        <v>0.96600000000000008</v>
      </c>
      <c r="T59" s="220">
        <f>SUM(R58:R65)</f>
        <v>110.6</v>
      </c>
      <c r="U59" s="14">
        <f>R59*100/T58</f>
        <v>9.0415913200723335</v>
      </c>
      <c r="V59" s="220">
        <f t="shared" si="68"/>
        <v>9.0415913200723335</v>
      </c>
      <c r="W59" s="14" t="s">
        <v>433</v>
      </c>
      <c r="X59" s="500">
        <f t="shared" si="9"/>
        <v>0.63291139240506344</v>
      </c>
      <c r="Y59" s="220" t="s">
        <v>1666</v>
      </c>
      <c r="Z59" s="220" t="str">
        <f t="shared" ref="Z59:AH59" si="70">Y59</f>
        <v>*</v>
      </c>
      <c r="AA59" s="792" t="str">
        <f t="shared" si="70"/>
        <v>*</v>
      </c>
      <c r="AB59" s="458" t="str">
        <f t="shared" si="70"/>
        <v>*</v>
      </c>
      <c r="AC59" s="497" t="str">
        <f t="shared" si="70"/>
        <v>*</v>
      </c>
      <c r="AD59" s="497" t="str">
        <f t="shared" si="70"/>
        <v>*</v>
      </c>
      <c r="AE59" s="454" t="str">
        <f t="shared" si="70"/>
        <v>*</v>
      </c>
      <c r="AF59" s="454" t="str">
        <f t="shared" si="70"/>
        <v>*</v>
      </c>
      <c r="AG59" s="454" t="str">
        <f t="shared" si="70"/>
        <v>*</v>
      </c>
      <c r="AH59" s="454" t="str">
        <f t="shared" si="70"/>
        <v>*</v>
      </c>
    </row>
    <row r="60" spans="1:34" ht="12.75">
      <c r="A60" s="14" t="s">
        <v>2997</v>
      </c>
      <c r="B60" s="24" t="s">
        <v>2508</v>
      </c>
      <c r="C60" s="14" t="s">
        <v>2524</v>
      </c>
      <c r="D60" s="14" t="s">
        <v>2911</v>
      </c>
      <c r="E60" s="14" t="s">
        <v>2998</v>
      </c>
      <c r="F60" s="13">
        <v>143.41999999999999</v>
      </c>
      <c r="G60" s="14" t="s">
        <v>2999</v>
      </c>
      <c r="H60" s="13" t="s">
        <v>2973</v>
      </c>
      <c r="I60" s="14" t="s">
        <v>3035</v>
      </c>
      <c r="J60" s="14" t="s">
        <v>3036</v>
      </c>
      <c r="K60" s="478">
        <v>7.0000000000000007E-2</v>
      </c>
      <c r="L60" s="220">
        <v>9.66</v>
      </c>
      <c r="M60" s="473" t="s">
        <v>3037</v>
      </c>
      <c r="N60" s="473"/>
      <c r="O60" s="480"/>
      <c r="P60" s="14" t="s">
        <v>2962</v>
      </c>
      <c r="Q60" s="14" t="s">
        <v>2963</v>
      </c>
      <c r="R60" s="14">
        <v>9</v>
      </c>
      <c r="S60" s="14">
        <f t="shared" si="34"/>
        <v>0.86939999999999995</v>
      </c>
      <c r="T60" s="220">
        <f>SUM(R58:R65)</f>
        <v>110.6</v>
      </c>
      <c r="U60" s="14">
        <f>R60*100/T58</f>
        <v>8.1374321880650999</v>
      </c>
      <c r="V60" s="220">
        <f t="shared" si="68"/>
        <v>8.1374321880650999</v>
      </c>
      <c r="W60" s="14" t="s">
        <v>425</v>
      </c>
      <c r="X60" s="500">
        <f t="shared" si="9"/>
        <v>0.569620253164557</v>
      </c>
      <c r="Y60" s="220" t="s">
        <v>1666</v>
      </c>
      <c r="Z60" s="220" t="str">
        <f t="shared" ref="Z60:AH60" si="71">Y60</f>
        <v>*</v>
      </c>
      <c r="AA60" s="792" t="str">
        <f t="shared" si="71"/>
        <v>*</v>
      </c>
      <c r="AB60" s="458" t="str">
        <f t="shared" si="71"/>
        <v>*</v>
      </c>
      <c r="AC60" s="497" t="str">
        <f t="shared" si="71"/>
        <v>*</v>
      </c>
      <c r="AD60" s="497" t="str">
        <f t="shared" si="71"/>
        <v>*</v>
      </c>
      <c r="AE60" s="454" t="str">
        <f t="shared" si="71"/>
        <v>*</v>
      </c>
      <c r="AF60" s="454" t="str">
        <f t="shared" si="71"/>
        <v>*</v>
      </c>
      <c r="AG60" s="454" t="str">
        <f t="shared" si="71"/>
        <v>*</v>
      </c>
      <c r="AH60" s="454" t="str">
        <f t="shared" si="71"/>
        <v>*</v>
      </c>
    </row>
    <row r="61" spans="1:34" ht="12.75">
      <c r="A61" s="14" t="s">
        <v>2997</v>
      </c>
      <c r="B61" s="24" t="s">
        <v>2508</v>
      </c>
      <c r="C61" s="14" t="s">
        <v>2524</v>
      </c>
      <c r="D61" s="14" t="s">
        <v>2911</v>
      </c>
      <c r="E61" s="14" t="s">
        <v>2998</v>
      </c>
      <c r="F61" s="13">
        <v>143.41999999999999</v>
      </c>
      <c r="G61" s="14" t="s">
        <v>2999</v>
      </c>
      <c r="H61" s="13" t="s">
        <v>2973</v>
      </c>
      <c r="I61" s="14" t="s">
        <v>3035</v>
      </c>
      <c r="J61" s="14" t="s">
        <v>3036</v>
      </c>
      <c r="K61" s="478">
        <v>7.0000000000000007E-2</v>
      </c>
      <c r="L61" s="220">
        <v>9.66</v>
      </c>
      <c r="M61" s="473" t="s">
        <v>3037</v>
      </c>
      <c r="N61" s="473"/>
      <c r="O61" s="480"/>
      <c r="P61" s="655" t="s">
        <v>2977</v>
      </c>
      <c r="Q61" s="14" t="s">
        <v>3038</v>
      </c>
      <c r="R61" s="14">
        <v>4</v>
      </c>
      <c r="S61" s="14">
        <f t="shared" si="34"/>
        <v>0.38640000000000002</v>
      </c>
      <c r="T61" s="220">
        <f>SUM(R58:R65)</f>
        <v>110.6</v>
      </c>
      <c r="U61" s="14">
        <f>R61*100/T58</f>
        <v>3.6166365280289332</v>
      </c>
      <c r="V61" s="220">
        <f t="shared" si="68"/>
        <v>3.6166365280289332</v>
      </c>
      <c r="W61" s="17" t="s">
        <v>227</v>
      </c>
      <c r="X61" s="500">
        <f t="shared" si="9"/>
        <v>0.25316455696202533</v>
      </c>
      <c r="Y61" s="220" t="s">
        <v>1666</v>
      </c>
      <c r="Z61" s="220" t="str">
        <f t="shared" ref="Z61:AH61" si="72">Y61</f>
        <v>*</v>
      </c>
      <c r="AA61" s="792" t="str">
        <f t="shared" si="72"/>
        <v>*</v>
      </c>
      <c r="AB61" s="458" t="str">
        <f t="shared" si="72"/>
        <v>*</v>
      </c>
      <c r="AC61" s="497" t="str">
        <f t="shared" si="72"/>
        <v>*</v>
      </c>
      <c r="AD61" s="497" t="str">
        <f t="shared" si="72"/>
        <v>*</v>
      </c>
      <c r="AE61" s="454" t="str">
        <f t="shared" si="72"/>
        <v>*</v>
      </c>
      <c r="AF61" s="454" t="str">
        <f t="shared" si="72"/>
        <v>*</v>
      </c>
      <c r="AG61" s="454" t="str">
        <f t="shared" si="72"/>
        <v>*</v>
      </c>
      <c r="AH61" s="454" t="str">
        <f t="shared" si="72"/>
        <v>*</v>
      </c>
    </row>
    <row r="62" spans="1:34" ht="12.75">
      <c r="A62" s="14" t="s">
        <v>2997</v>
      </c>
      <c r="B62" s="24" t="s">
        <v>2508</v>
      </c>
      <c r="C62" s="14" t="s">
        <v>2524</v>
      </c>
      <c r="D62" s="14" t="s">
        <v>2911</v>
      </c>
      <c r="E62" s="14" t="s">
        <v>2998</v>
      </c>
      <c r="F62" s="13">
        <v>143.41999999999999</v>
      </c>
      <c r="G62" s="14" t="s">
        <v>2999</v>
      </c>
      <c r="H62" s="13" t="s">
        <v>2973</v>
      </c>
      <c r="I62" s="14" t="s">
        <v>3035</v>
      </c>
      <c r="J62" s="14" t="s">
        <v>3036</v>
      </c>
      <c r="K62" s="478">
        <v>7.0000000000000007E-2</v>
      </c>
      <c r="L62" s="220">
        <v>9.66</v>
      </c>
      <c r="M62" s="473" t="s">
        <v>3037</v>
      </c>
      <c r="N62" s="473"/>
      <c r="O62" s="480"/>
      <c r="P62" s="14" t="s">
        <v>2962</v>
      </c>
      <c r="Q62" s="14" t="s">
        <v>3039</v>
      </c>
      <c r="R62" s="14">
        <v>4</v>
      </c>
      <c r="S62" s="14">
        <f t="shared" si="34"/>
        <v>0.38640000000000002</v>
      </c>
      <c r="T62" s="220">
        <f>SUM(R58:R65)</f>
        <v>110.6</v>
      </c>
      <c r="U62" s="14">
        <f>R62*100/T58</f>
        <v>3.6166365280289332</v>
      </c>
      <c r="V62" s="220">
        <f t="shared" si="68"/>
        <v>3.6166365280289332</v>
      </c>
      <c r="W62" s="17" t="s">
        <v>425</v>
      </c>
      <c r="X62" s="500">
        <f t="shared" si="9"/>
        <v>0.25316455696202533</v>
      </c>
      <c r="Y62" s="220" t="s">
        <v>1666</v>
      </c>
      <c r="Z62" s="220" t="str">
        <f t="shared" ref="Z62:AH62" si="73">Y62</f>
        <v>*</v>
      </c>
      <c r="AA62" s="792" t="str">
        <f t="shared" si="73"/>
        <v>*</v>
      </c>
      <c r="AB62" s="458" t="str">
        <f t="shared" si="73"/>
        <v>*</v>
      </c>
      <c r="AC62" s="497" t="str">
        <f t="shared" si="73"/>
        <v>*</v>
      </c>
      <c r="AD62" s="497" t="str">
        <f t="shared" si="73"/>
        <v>*</v>
      </c>
      <c r="AE62" s="454" t="str">
        <f t="shared" si="73"/>
        <v>*</v>
      </c>
      <c r="AF62" s="454" t="str">
        <f t="shared" si="73"/>
        <v>*</v>
      </c>
      <c r="AG62" s="454" t="str">
        <f t="shared" si="73"/>
        <v>*</v>
      </c>
      <c r="AH62" s="454" t="str">
        <f t="shared" si="73"/>
        <v>*</v>
      </c>
    </row>
    <row r="63" spans="1:34" ht="12.75">
      <c r="A63" s="14" t="s">
        <v>2997</v>
      </c>
      <c r="B63" s="24" t="s">
        <v>2508</v>
      </c>
      <c r="C63" s="14" t="s">
        <v>2524</v>
      </c>
      <c r="D63" s="14" t="s">
        <v>2911</v>
      </c>
      <c r="E63" s="14" t="s">
        <v>2998</v>
      </c>
      <c r="F63" s="13">
        <v>143.41999999999999</v>
      </c>
      <c r="G63" s="14" t="s">
        <v>2999</v>
      </c>
      <c r="H63" s="13" t="s">
        <v>2973</v>
      </c>
      <c r="I63" s="14" t="s">
        <v>3035</v>
      </c>
      <c r="J63" s="14" t="s">
        <v>3036</v>
      </c>
      <c r="K63" s="478">
        <v>7.0000000000000007E-2</v>
      </c>
      <c r="L63" s="220">
        <v>9.66</v>
      </c>
      <c r="M63" s="473" t="s">
        <v>3037</v>
      </c>
      <c r="N63" s="473"/>
      <c r="O63" s="480"/>
      <c r="P63" s="14" t="s">
        <v>2776</v>
      </c>
      <c r="Q63" s="14" t="s">
        <v>3040</v>
      </c>
      <c r="R63" s="14">
        <v>0.1</v>
      </c>
      <c r="S63" s="14">
        <f t="shared" si="34"/>
        <v>9.6600000000000002E-3</v>
      </c>
      <c r="T63" s="220">
        <f>SUM(R58:R65)</f>
        <v>110.6</v>
      </c>
      <c r="U63" s="14">
        <f>R63*100/T58</f>
        <v>9.0415913200723327E-2</v>
      </c>
      <c r="V63" s="220">
        <f t="shared" si="68"/>
        <v>9.0415913200723327E-2</v>
      </c>
      <c r="W63" s="17" t="s">
        <v>2776</v>
      </c>
      <c r="X63" s="500">
        <f t="shared" si="9"/>
        <v>6.3291139240506337E-3</v>
      </c>
      <c r="Y63" s="220" t="s">
        <v>1666</v>
      </c>
      <c r="Z63" s="220" t="str">
        <f t="shared" ref="Z63:AH63" si="74">Y63</f>
        <v>*</v>
      </c>
      <c r="AA63" s="792" t="str">
        <f t="shared" si="74"/>
        <v>*</v>
      </c>
      <c r="AB63" s="458" t="str">
        <f t="shared" si="74"/>
        <v>*</v>
      </c>
      <c r="AC63" s="497" t="str">
        <f t="shared" si="74"/>
        <v>*</v>
      </c>
      <c r="AD63" s="497" t="str">
        <f t="shared" si="74"/>
        <v>*</v>
      </c>
      <c r="AE63" s="454" t="str">
        <f t="shared" si="74"/>
        <v>*</v>
      </c>
      <c r="AF63" s="454" t="str">
        <f t="shared" si="74"/>
        <v>*</v>
      </c>
      <c r="AG63" s="454" t="str">
        <f t="shared" si="74"/>
        <v>*</v>
      </c>
      <c r="AH63" s="454" t="str">
        <f t="shared" si="74"/>
        <v>*</v>
      </c>
    </row>
    <row r="64" spans="1:34" ht="12.75">
      <c r="A64" s="14" t="s">
        <v>2997</v>
      </c>
      <c r="B64" s="24" t="s">
        <v>2508</v>
      </c>
      <c r="C64" s="14" t="s">
        <v>2524</v>
      </c>
      <c r="D64" s="14" t="s">
        <v>2911</v>
      </c>
      <c r="E64" s="14" t="s">
        <v>2998</v>
      </c>
      <c r="F64" s="13">
        <v>143.41999999999999</v>
      </c>
      <c r="G64" s="14" t="s">
        <v>2999</v>
      </c>
      <c r="H64" s="13" t="s">
        <v>2973</v>
      </c>
      <c r="I64" s="14" t="s">
        <v>3035</v>
      </c>
      <c r="J64" s="14" t="s">
        <v>3036</v>
      </c>
      <c r="K64" s="478">
        <v>7.0000000000000007E-2</v>
      </c>
      <c r="L64" s="220">
        <v>9.66</v>
      </c>
      <c r="M64" s="473" t="s">
        <v>3037</v>
      </c>
      <c r="N64" s="473"/>
      <c r="O64" s="480"/>
      <c r="P64" s="14" t="s">
        <v>3041</v>
      </c>
      <c r="Q64" s="486" t="s">
        <v>3042</v>
      </c>
      <c r="R64" s="14">
        <v>0.5</v>
      </c>
      <c r="S64" s="14">
        <f t="shared" si="34"/>
        <v>4.8300000000000003E-2</v>
      </c>
      <c r="T64" s="487">
        <f>SUM(R58:R65)</f>
        <v>110.6</v>
      </c>
      <c r="U64" s="14">
        <f>R64*100/T58</f>
        <v>0.45207956600361665</v>
      </c>
      <c r="V64" s="220">
        <f t="shared" si="68"/>
        <v>0.45207956600361665</v>
      </c>
      <c r="W64" s="17" t="s">
        <v>81</v>
      </c>
      <c r="X64" s="500">
        <f t="shared" si="9"/>
        <v>3.1645569620253167E-2</v>
      </c>
      <c r="Y64" s="504">
        <f>SUM(X64,X70,X75,X93,X103,X113)</f>
        <v>2.7529145709633371</v>
      </c>
      <c r="Z64" s="501">
        <f t="shared" ref="Z64:AA64" si="75">Y64</f>
        <v>2.7529145709633371</v>
      </c>
      <c r="AA64" s="792">
        <f t="shared" si="75"/>
        <v>2.7529145709633371</v>
      </c>
      <c r="AB64" s="458" t="s">
        <v>81</v>
      </c>
      <c r="AC64" s="13" t="s">
        <v>18</v>
      </c>
      <c r="AD64" s="13" t="s">
        <v>18</v>
      </c>
      <c r="AE64" s="12">
        <v>1.9912385503783353E-2</v>
      </c>
      <c r="AF64" s="12">
        <v>5.6949422540820388E-2</v>
      </c>
      <c r="AG64" s="12">
        <v>3.8829151732377542E-3</v>
      </c>
      <c r="AH64" s="12">
        <v>5.6321186778176026E-3</v>
      </c>
    </row>
    <row r="65" spans="1:34" ht="12.75">
      <c r="A65" s="14" t="s">
        <v>2997</v>
      </c>
      <c r="B65" s="24" t="s">
        <v>2508</v>
      </c>
      <c r="C65" s="14" t="s">
        <v>2524</v>
      </c>
      <c r="D65" s="14" t="s">
        <v>2911</v>
      </c>
      <c r="E65" s="14" t="s">
        <v>2998</v>
      </c>
      <c r="F65" s="13">
        <v>143.41999999999999</v>
      </c>
      <c r="G65" s="14" t="s">
        <v>2999</v>
      </c>
      <c r="H65" s="13" t="s">
        <v>2973</v>
      </c>
      <c r="I65" s="135" t="s">
        <v>3035</v>
      </c>
      <c r="J65" s="135" t="s">
        <v>3036</v>
      </c>
      <c r="K65" s="475">
        <v>7.0000000000000007E-2</v>
      </c>
      <c r="L65" s="476">
        <v>9.66</v>
      </c>
      <c r="M65" s="492" t="s">
        <v>3037</v>
      </c>
      <c r="N65" s="492"/>
      <c r="O65" s="494"/>
      <c r="P65" s="135" t="s">
        <v>86</v>
      </c>
      <c r="Q65" s="135" t="s">
        <v>3043</v>
      </c>
      <c r="R65" s="135">
        <v>3</v>
      </c>
      <c r="S65" s="135">
        <f t="shared" si="34"/>
        <v>0.2898</v>
      </c>
      <c r="T65" s="853">
        <f>SUM(R58:R65)</f>
        <v>110.6</v>
      </c>
      <c r="U65" s="135">
        <f>R65*100/T58</f>
        <v>2.7124773960217001</v>
      </c>
      <c r="V65" s="476">
        <f t="shared" si="68"/>
        <v>2.7124773960217001</v>
      </c>
      <c r="W65" s="135" t="s">
        <v>86</v>
      </c>
      <c r="X65" s="500">
        <f t="shared" si="9"/>
        <v>0.18987341772151903</v>
      </c>
      <c r="Y65" s="504">
        <f>X65</f>
        <v>0.18987341772151903</v>
      </c>
      <c r="Z65" s="220" t="s">
        <v>1624</v>
      </c>
      <c r="AA65" s="792">
        <f>X65</f>
        <v>0.18987341772151903</v>
      </c>
      <c r="AB65" s="458" t="s">
        <v>86</v>
      </c>
      <c r="AC65" s="13" t="s">
        <v>18</v>
      </c>
      <c r="AD65" s="13" t="s">
        <v>18</v>
      </c>
      <c r="AE65" s="12">
        <v>0</v>
      </c>
      <c r="AF65" s="12">
        <v>0</v>
      </c>
      <c r="AG65" s="12">
        <v>0</v>
      </c>
      <c r="AH65" s="12">
        <v>0</v>
      </c>
    </row>
    <row r="66" spans="1:34" ht="14.25">
      <c r="A66" s="14" t="s">
        <v>2997</v>
      </c>
      <c r="B66" s="24" t="s">
        <v>2508</v>
      </c>
      <c r="C66" s="14" t="s">
        <v>2524</v>
      </c>
      <c r="D66" s="14" t="s">
        <v>2911</v>
      </c>
      <c r="E66" s="14" t="s">
        <v>2998</v>
      </c>
      <c r="F66" s="13">
        <v>143.41999999999999</v>
      </c>
      <c r="G66" s="14" t="s">
        <v>2999</v>
      </c>
      <c r="H66" s="13" t="s">
        <v>2973</v>
      </c>
      <c r="I66" s="655" t="s">
        <v>3044</v>
      </c>
      <c r="J66" s="14" t="s">
        <v>3045</v>
      </c>
      <c r="K66" s="478">
        <v>0.3</v>
      </c>
      <c r="L66" s="220">
        <v>40.799999999999997</v>
      </c>
      <c r="M66" s="473" t="s">
        <v>3046</v>
      </c>
      <c r="N66" s="479" t="s">
        <v>2937</v>
      </c>
      <c r="O66" s="480" t="s">
        <v>2976</v>
      </c>
      <c r="P66" s="14" t="s">
        <v>2912</v>
      </c>
      <c r="Q66" s="14" t="s">
        <v>2915</v>
      </c>
      <c r="R66" s="14">
        <v>75</v>
      </c>
      <c r="S66" s="14">
        <f t="shared" si="34"/>
        <v>30.599999999999998</v>
      </c>
      <c r="T66" s="220">
        <f>SUM(R66:R71)</f>
        <v>107.5</v>
      </c>
      <c r="U66" s="14">
        <f t="shared" ref="U66:U113" si="76">R66*100/T66</f>
        <v>69.767441860465112</v>
      </c>
      <c r="V66" s="220">
        <f t="shared" si="68"/>
        <v>69.767441860465112</v>
      </c>
      <c r="W66" s="14" t="s">
        <v>124</v>
      </c>
      <c r="X66" s="500">
        <f t="shared" si="9"/>
        <v>20.930232558139533</v>
      </c>
      <c r="Y66" s="220" t="s">
        <v>1666</v>
      </c>
      <c r="Z66" s="220" t="str">
        <f t="shared" ref="Z66:AH66" si="77">Y66</f>
        <v>*</v>
      </c>
      <c r="AA66" s="792" t="str">
        <f t="shared" si="77"/>
        <v>*</v>
      </c>
      <c r="AB66" s="458" t="str">
        <f t="shared" si="77"/>
        <v>*</v>
      </c>
      <c r="AC66" s="497" t="str">
        <f t="shared" si="77"/>
        <v>*</v>
      </c>
      <c r="AD66" s="497" t="str">
        <f t="shared" si="77"/>
        <v>*</v>
      </c>
      <c r="AE66" s="454" t="str">
        <f t="shared" si="77"/>
        <v>*</v>
      </c>
      <c r="AF66" s="454" t="str">
        <f t="shared" si="77"/>
        <v>*</v>
      </c>
      <c r="AG66" s="454" t="str">
        <f t="shared" si="77"/>
        <v>*</v>
      </c>
      <c r="AH66" s="454" t="str">
        <f t="shared" si="77"/>
        <v>*</v>
      </c>
    </row>
    <row r="67" spans="1:34" ht="14.25">
      <c r="A67" s="14" t="s">
        <v>2997</v>
      </c>
      <c r="B67" s="24" t="s">
        <v>2508</v>
      </c>
      <c r="C67" s="14" t="s">
        <v>2524</v>
      </c>
      <c r="D67" s="14" t="s">
        <v>2911</v>
      </c>
      <c r="E67" s="14" t="s">
        <v>2998</v>
      </c>
      <c r="F67" s="13">
        <v>143.41999999999999</v>
      </c>
      <c r="G67" s="14" t="s">
        <v>2999</v>
      </c>
      <c r="H67" s="13" t="s">
        <v>2973</v>
      </c>
      <c r="I67" s="655" t="s">
        <v>3044</v>
      </c>
      <c r="J67" s="14" t="s">
        <v>3045</v>
      </c>
      <c r="K67" s="478">
        <v>0.3</v>
      </c>
      <c r="L67" s="220">
        <v>40.799999999999997</v>
      </c>
      <c r="M67" s="473" t="s">
        <v>3046</v>
      </c>
      <c r="N67" s="479" t="s">
        <v>2937</v>
      </c>
      <c r="O67" s="480" t="s">
        <v>2976</v>
      </c>
      <c r="P67" s="655" t="s">
        <v>2977</v>
      </c>
      <c r="Q67" s="486" t="s">
        <v>3047</v>
      </c>
      <c r="R67" s="14">
        <v>16.5</v>
      </c>
      <c r="S67" s="14">
        <f t="shared" si="34"/>
        <v>6.7320000000000002</v>
      </c>
      <c r="T67" s="220">
        <f>SUM(R66:R71)</f>
        <v>107.5</v>
      </c>
      <c r="U67" s="14">
        <f t="shared" si="76"/>
        <v>15.348837209302326</v>
      </c>
      <c r="V67" s="220">
        <f t="shared" si="68"/>
        <v>15.348837209302326</v>
      </c>
      <c r="W67" s="14" t="s">
        <v>227</v>
      </c>
      <c r="X67" s="500">
        <f t="shared" si="9"/>
        <v>4.6046511627906979</v>
      </c>
      <c r="Y67" s="220" t="s">
        <v>1666</v>
      </c>
      <c r="Z67" s="220" t="str">
        <f t="shared" ref="Z67:AH67" si="78">Y67</f>
        <v>*</v>
      </c>
      <c r="AA67" s="792" t="str">
        <f t="shared" si="78"/>
        <v>*</v>
      </c>
      <c r="AB67" s="458" t="str">
        <f t="shared" si="78"/>
        <v>*</v>
      </c>
      <c r="AC67" s="497" t="str">
        <f t="shared" si="78"/>
        <v>*</v>
      </c>
      <c r="AD67" s="497" t="str">
        <f t="shared" si="78"/>
        <v>*</v>
      </c>
      <c r="AE67" s="454" t="str">
        <f t="shared" si="78"/>
        <v>*</v>
      </c>
      <c r="AF67" s="454" t="str">
        <f t="shared" si="78"/>
        <v>*</v>
      </c>
      <c r="AG67" s="454" t="str">
        <f t="shared" si="78"/>
        <v>*</v>
      </c>
      <c r="AH67" s="454" t="str">
        <f t="shared" si="78"/>
        <v>*</v>
      </c>
    </row>
    <row r="68" spans="1:34" ht="14.25">
      <c r="A68" s="14" t="s">
        <v>2997</v>
      </c>
      <c r="B68" s="24" t="s">
        <v>2508</v>
      </c>
      <c r="C68" s="14" t="s">
        <v>2524</v>
      </c>
      <c r="D68" s="14" t="s">
        <v>2911</v>
      </c>
      <c r="E68" s="14" t="s">
        <v>2998</v>
      </c>
      <c r="F68" s="13">
        <v>143.41999999999999</v>
      </c>
      <c r="G68" s="14" t="s">
        <v>2999</v>
      </c>
      <c r="H68" s="13" t="s">
        <v>2973</v>
      </c>
      <c r="I68" s="655" t="s">
        <v>3044</v>
      </c>
      <c r="J68" s="14" t="s">
        <v>3045</v>
      </c>
      <c r="K68" s="478">
        <v>0.3</v>
      </c>
      <c r="L68" s="220">
        <v>40.799999999999997</v>
      </c>
      <c r="M68" s="473" t="s">
        <v>3046</v>
      </c>
      <c r="N68" s="479" t="s">
        <v>2937</v>
      </c>
      <c r="O68" s="480" t="s">
        <v>2976</v>
      </c>
      <c r="P68" s="14" t="s">
        <v>3048</v>
      </c>
      <c r="Q68" s="14" t="s">
        <v>3049</v>
      </c>
      <c r="R68" s="14">
        <v>3.5</v>
      </c>
      <c r="S68" s="14">
        <f t="shared" si="34"/>
        <v>1.4279999999999999</v>
      </c>
      <c r="T68" s="487">
        <f>SUM(R66:R71)</f>
        <v>107.5</v>
      </c>
      <c r="U68" s="14">
        <f t="shared" si="76"/>
        <v>3.2558139534883721</v>
      </c>
      <c r="V68" s="220">
        <f t="shared" si="68"/>
        <v>3.2558139534883721</v>
      </c>
      <c r="W68" s="17" t="s">
        <v>131</v>
      </c>
      <c r="X68" s="500">
        <f t="shared" si="9"/>
        <v>0.97674418604651159</v>
      </c>
      <c r="Y68" s="220" t="s">
        <v>1666</v>
      </c>
      <c r="Z68" s="501">
        <f>SUM(X68,X101)</f>
        <v>1.529045441276637</v>
      </c>
      <c r="AA68" s="792">
        <f t="shared" ref="AA68:AA70" si="79">Z68</f>
        <v>1.529045441276637</v>
      </c>
      <c r="AB68" s="18" t="s">
        <v>2532</v>
      </c>
      <c r="AC68" s="13" t="s">
        <v>878</v>
      </c>
      <c r="AD68" s="13" t="s">
        <v>3050</v>
      </c>
      <c r="AE68" s="12">
        <v>4.0401172748815169E-2</v>
      </c>
      <c r="AF68" s="12">
        <v>0.11878669834123222</v>
      </c>
      <c r="AG68" s="12">
        <v>7.919516026066351E-4</v>
      </c>
      <c r="AH68" s="12">
        <v>7.4518613744075819E-3</v>
      </c>
    </row>
    <row r="69" spans="1:34" ht="14.25">
      <c r="A69" s="14" t="s">
        <v>2997</v>
      </c>
      <c r="B69" s="24" t="s">
        <v>2508</v>
      </c>
      <c r="C69" s="14" t="s">
        <v>2524</v>
      </c>
      <c r="D69" s="14" t="s">
        <v>2911</v>
      </c>
      <c r="E69" s="14" t="s">
        <v>2998</v>
      </c>
      <c r="F69" s="13">
        <v>143.41999999999999</v>
      </c>
      <c r="G69" s="14" t="s">
        <v>2999</v>
      </c>
      <c r="H69" s="13" t="s">
        <v>2973</v>
      </c>
      <c r="I69" s="655" t="s">
        <v>3044</v>
      </c>
      <c r="J69" s="14" t="s">
        <v>3045</v>
      </c>
      <c r="K69" s="478">
        <v>0.3</v>
      </c>
      <c r="L69" s="220">
        <v>40.799999999999997</v>
      </c>
      <c r="M69" s="473" t="s">
        <v>3046</v>
      </c>
      <c r="N69" s="479" t="s">
        <v>2937</v>
      </c>
      <c r="O69" s="480" t="s">
        <v>2976</v>
      </c>
      <c r="P69" s="14" t="s">
        <v>3051</v>
      </c>
      <c r="Q69" s="486" t="s">
        <v>3052</v>
      </c>
      <c r="R69" s="14">
        <v>3.5</v>
      </c>
      <c r="S69" s="14">
        <f t="shared" si="34"/>
        <v>1.4279999999999999</v>
      </c>
      <c r="T69" s="220">
        <f>SUM(R66:R71)</f>
        <v>107.5</v>
      </c>
      <c r="U69" s="14">
        <f t="shared" si="76"/>
        <v>3.2558139534883721</v>
      </c>
      <c r="V69" s="220">
        <f t="shared" si="68"/>
        <v>3.2558139534883721</v>
      </c>
      <c r="W69" s="17" t="s">
        <v>134</v>
      </c>
      <c r="X69" s="500">
        <f t="shared" si="9"/>
        <v>0.97674418604651159</v>
      </c>
      <c r="Y69" s="220" t="s">
        <v>1666</v>
      </c>
      <c r="Z69" s="501">
        <f>SUM(X69,X110)</f>
        <v>2.2267441860465116</v>
      </c>
      <c r="AA69" s="792">
        <f t="shared" si="79"/>
        <v>2.2267441860465116</v>
      </c>
      <c r="AB69" s="18" t="s">
        <v>2533</v>
      </c>
      <c r="AC69" s="14" t="s">
        <v>134</v>
      </c>
      <c r="AD69" s="14" t="s">
        <v>3053</v>
      </c>
      <c r="AE69" s="12">
        <v>3.0177940758293843E-3</v>
      </c>
      <c r="AF69" s="12">
        <v>8.8728561611374421E-3</v>
      </c>
      <c r="AG69" s="12">
        <v>5.9155383175355464E-5</v>
      </c>
      <c r="AH69" s="12">
        <v>5.56622037914692E-4</v>
      </c>
    </row>
    <row r="70" spans="1:34" ht="14.25">
      <c r="A70" s="14" t="s">
        <v>2997</v>
      </c>
      <c r="B70" s="24" t="s">
        <v>2508</v>
      </c>
      <c r="C70" s="14" t="s">
        <v>2524</v>
      </c>
      <c r="D70" s="14" t="s">
        <v>2911</v>
      </c>
      <c r="E70" s="14" t="s">
        <v>2998</v>
      </c>
      <c r="F70" s="13">
        <v>143.41999999999999</v>
      </c>
      <c r="G70" s="14" t="s">
        <v>2999</v>
      </c>
      <c r="H70" s="13" t="s">
        <v>2973</v>
      </c>
      <c r="I70" s="655" t="s">
        <v>3044</v>
      </c>
      <c r="J70" s="14" t="s">
        <v>3045</v>
      </c>
      <c r="K70" s="478">
        <v>0.3</v>
      </c>
      <c r="L70" s="220">
        <v>40.799999999999997</v>
      </c>
      <c r="M70" s="473" t="s">
        <v>3046</v>
      </c>
      <c r="N70" s="479" t="s">
        <v>2937</v>
      </c>
      <c r="O70" s="480" t="s">
        <v>2976</v>
      </c>
      <c r="P70" s="14" t="s">
        <v>3041</v>
      </c>
      <c r="Q70" s="14" t="s">
        <v>3054</v>
      </c>
      <c r="R70" s="14">
        <v>8.5</v>
      </c>
      <c r="S70" s="14">
        <f t="shared" si="34"/>
        <v>3.468</v>
      </c>
      <c r="T70" s="220">
        <f>SUM(R66:R71)</f>
        <v>107.5</v>
      </c>
      <c r="U70" s="14">
        <f t="shared" si="76"/>
        <v>7.9069767441860463</v>
      </c>
      <c r="V70" s="220">
        <f t="shared" si="68"/>
        <v>7.9069767441860463</v>
      </c>
      <c r="W70" s="14" t="s">
        <v>81</v>
      </c>
      <c r="X70" s="500">
        <f t="shared" si="9"/>
        <v>2.3720930232558137</v>
      </c>
      <c r="Y70" s="220" t="s">
        <v>1624</v>
      </c>
      <c r="Z70" s="220" t="s">
        <v>1666</v>
      </c>
      <c r="AA70" s="792" t="str">
        <f t="shared" si="79"/>
        <v>*</v>
      </c>
      <c r="AB70" s="458" t="str">
        <f t="shared" ref="AB70:AH70" si="80">AA70</f>
        <v>*</v>
      </c>
      <c r="AC70" s="497" t="str">
        <f t="shared" si="80"/>
        <v>*</v>
      </c>
      <c r="AD70" s="497" t="str">
        <f t="shared" si="80"/>
        <v>*</v>
      </c>
      <c r="AE70" s="454" t="str">
        <f t="shared" si="80"/>
        <v>*</v>
      </c>
      <c r="AF70" s="454" t="str">
        <f t="shared" si="80"/>
        <v>*</v>
      </c>
      <c r="AG70" s="454" t="str">
        <f t="shared" si="80"/>
        <v>*</v>
      </c>
      <c r="AH70" s="454" t="str">
        <f t="shared" si="80"/>
        <v>*</v>
      </c>
    </row>
    <row r="71" spans="1:34" ht="14.25">
      <c r="A71" s="14" t="s">
        <v>2997</v>
      </c>
      <c r="B71" s="24" t="s">
        <v>2508</v>
      </c>
      <c r="C71" s="14" t="s">
        <v>2524</v>
      </c>
      <c r="D71" s="14" t="s">
        <v>2911</v>
      </c>
      <c r="E71" s="14" t="s">
        <v>2998</v>
      </c>
      <c r="F71" s="13">
        <v>143.41999999999999</v>
      </c>
      <c r="G71" s="14" t="s">
        <v>2999</v>
      </c>
      <c r="H71" s="13" t="s">
        <v>2973</v>
      </c>
      <c r="I71" s="848" t="s">
        <v>3044</v>
      </c>
      <c r="J71" s="135" t="s">
        <v>3045</v>
      </c>
      <c r="K71" s="475">
        <v>0.3</v>
      </c>
      <c r="L71" s="476">
        <v>40.799999999999997</v>
      </c>
      <c r="M71" s="492" t="s">
        <v>3046</v>
      </c>
      <c r="N71" s="493" t="s">
        <v>2937</v>
      </c>
      <c r="O71" s="494" t="s">
        <v>2976</v>
      </c>
      <c r="P71" s="135" t="s">
        <v>438</v>
      </c>
      <c r="Q71" s="135" t="s">
        <v>3055</v>
      </c>
      <c r="R71" s="135">
        <v>0.5</v>
      </c>
      <c r="S71" s="135">
        <f t="shared" si="34"/>
        <v>0.20399999999999999</v>
      </c>
      <c r="T71" s="853">
        <f>SUM(R66:R71)</f>
        <v>107.5</v>
      </c>
      <c r="U71" s="135">
        <f t="shared" si="76"/>
        <v>0.46511627906976744</v>
      </c>
      <c r="V71" s="476">
        <f t="shared" si="68"/>
        <v>0.46511627906976744</v>
      </c>
      <c r="W71" s="135" t="s">
        <v>438</v>
      </c>
      <c r="X71" s="500">
        <f t="shared" si="9"/>
        <v>0.13953488372093023</v>
      </c>
      <c r="Y71" s="504">
        <f>X71</f>
        <v>0.13953488372093023</v>
      </c>
      <c r="Z71" s="220" t="s">
        <v>1624</v>
      </c>
      <c r="AA71" s="792">
        <f>X71</f>
        <v>0.13953488372093023</v>
      </c>
      <c r="AB71" s="18" t="s">
        <v>438</v>
      </c>
      <c r="AC71" s="13" t="s">
        <v>3056</v>
      </c>
      <c r="AD71" s="13" t="s">
        <v>3057</v>
      </c>
      <c r="AE71" s="12">
        <v>0</v>
      </c>
      <c r="AF71" s="12">
        <v>0</v>
      </c>
      <c r="AG71" s="12">
        <v>0</v>
      </c>
      <c r="AH71" s="12">
        <v>0</v>
      </c>
    </row>
    <row r="72" spans="1:34" ht="14.25">
      <c r="A72" s="14" t="s">
        <v>2997</v>
      </c>
      <c r="B72" s="24" t="s">
        <v>2508</v>
      </c>
      <c r="C72" s="14" t="s">
        <v>2524</v>
      </c>
      <c r="D72" s="14" t="s">
        <v>2911</v>
      </c>
      <c r="E72" s="14" t="s">
        <v>2998</v>
      </c>
      <c r="F72" s="13">
        <v>143.41999999999999</v>
      </c>
      <c r="G72" s="14" t="s">
        <v>2999</v>
      </c>
      <c r="H72" s="13" t="s">
        <v>2973</v>
      </c>
      <c r="I72" s="655" t="s">
        <v>3058</v>
      </c>
      <c r="J72" s="14" t="s">
        <v>3059</v>
      </c>
      <c r="K72" s="478">
        <v>0.06</v>
      </c>
      <c r="L72" s="220">
        <v>7.92</v>
      </c>
      <c r="M72" s="473" t="s">
        <v>3060</v>
      </c>
      <c r="N72" s="473"/>
      <c r="O72" s="480"/>
      <c r="P72" s="14" t="s">
        <v>2928</v>
      </c>
      <c r="Q72" s="14" t="s">
        <v>3061</v>
      </c>
      <c r="R72" s="14">
        <v>48</v>
      </c>
      <c r="S72" s="14">
        <f t="shared" si="34"/>
        <v>3.8015999999999996</v>
      </c>
      <c r="T72" s="487">
        <f>SUM(R72:R75)</f>
        <v>115.45</v>
      </c>
      <c r="U72" s="14">
        <f t="shared" si="76"/>
        <v>41.576440017323513</v>
      </c>
      <c r="V72" s="220">
        <f t="shared" si="68"/>
        <v>41.576440017323513</v>
      </c>
      <c r="W72" s="14" t="s">
        <v>876</v>
      </c>
      <c r="X72" s="500">
        <f t="shared" si="9"/>
        <v>2.4945864010394105</v>
      </c>
      <c r="Y72" s="505" t="s">
        <v>1666</v>
      </c>
      <c r="Z72" s="501">
        <f>SUM(X72,X95,X108)</f>
        <v>15.59500481108125</v>
      </c>
      <c r="AA72" s="792">
        <f>Z72</f>
        <v>15.59500481108125</v>
      </c>
      <c r="AB72" s="18" t="s">
        <v>876</v>
      </c>
      <c r="AC72" s="13" t="s">
        <v>2930</v>
      </c>
      <c r="AD72" s="13" t="s">
        <v>2931</v>
      </c>
      <c r="AE72" s="12">
        <v>6.0179999999999999E-3</v>
      </c>
      <c r="AF72" s="23">
        <v>1.7694000000000001E-2</v>
      </c>
      <c r="AG72" s="12">
        <v>1.17966E-4</v>
      </c>
      <c r="AH72" s="12">
        <v>1.1100000000000001E-3</v>
      </c>
    </row>
    <row r="73" spans="1:34" ht="12.75">
      <c r="A73" s="14" t="s">
        <v>2997</v>
      </c>
      <c r="B73" s="24" t="s">
        <v>2508</v>
      </c>
      <c r="C73" s="14" t="s">
        <v>2524</v>
      </c>
      <c r="D73" s="14" t="s">
        <v>2911</v>
      </c>
      <c r="E73" s="14" t="s">
        <v>2998</v>
      </c>
      <c r="F73" s="13">
        <v>143.41999999999999</v>
      </c>
      <c r="G73" s="14" t="s">
        <v>2999</v>
      </c>
      <c r="H73" s="13" t="s">
        <v>2973</v>
      </c>
      <c r="I73" s="655" t="s">
        <v>3058</v>
      </c>
      <c r="J73" s="14" t="s">
        <v>3059</v>
      </c>
      <c r="K73" s="478">
        <v>0.06</v>
      </c>
      <c r="L73" s="220">
        <v>7.92</v>
      </c>
      <c r="M73" s="473" t="s">
        <v>3060</v>
      </c>
      <c r="N73" s="473"/>
      <c r="O73" s="480"/>
      <c r="P73" s="14" t="s">
        <v>2776</v>
      </c>
      <c r="Q73" s="14" t="s">
        <v>3040</v>
      </c>
      <c r="R73" s="14">
        <v>48</v>
      </c>
      <c r="S73" s="14">
        <f t="shared" si="34"/>
        <v>3.8015999999999996</v>
      </c>
      <c r="T73" s="487">
        <f>SUM(R72:R75)</f>
        <v>115.45</v>
      </c>
      <c r="U73" s="14">
        <f t="shared" si="76"/>
        <v>41.576440017323513</v>
      </c>
      <c r="V73" s="220">
        <f t="shared" si="68"/>
        <v>41.576440017323513</v>
      </c>
      <c r="W73" s="14" t="s">
        <v>2776</v>
      </c>
      <c r="X73" s="500">
        <f t="shared" si="9"/>
        <v>2.4945864010394105</v>
      </c>
      <c r="Y73" s="220" t="s">
        <v>1666</v>
      </c>
      <c r="Z73" s="220" t="str">
        <f t="shared" ref="Z73:AH73" si="81">Y73</f>
        <v>*</v>
      </c>
      <c r="AA73" s="792" t="str">
        <f t="shared" si="81"/>
        <v>*</v>
      </c>
      <c r="AB73" s="458" t="str">
        <f t="shared" si="81"/>
        <v>*</v>
      </c>
      <c r="AC73" s="497" t="str">
        <f t="shared" si="81"/>
        <v>*</v>
      </c>
      <c r="AD73" s="497" t="str">
        <f t="shared" si="81"/>
        <v>*</v>
      </c>
      <c r="AE73" s="454" t="str">
        <f t="shared" si="81"/>
        <v>*</v>
      </c>
      <c r="AF73" s="454" t="str">
        <f t="shared" si="81"/>
        <v>*</v>
      </c>
      <c r="AG73" s="454" t="str">
        <f t="shared" si="81"/>
        <v>*</v>
      </c>
      <c r="AH73" s="454" t="str">
        <f t="shared" si="81"/>
        <v>*</v>
      </c>
    </row>
    <row r="74" spans="1:34" ht="12.75">
      <c r="A74" s="14" t="s">
        <v>2997</v>
      </c>
      <c r="B74" s="24" t="s">
        <v>2508</v>
      </c>
      <c r="C74" s="14" t="s">
        <v>2524</v>
      </c>
      <c r="D74" s="14" t="s">
        <v>2911</v>
      </c>
      <c r="E74" s="14" t="s">
        <v>2998</v>
      </c>
      <c r="F74" s="13">
        <v>143.41999999999999</v>
      </c>
      <c r="G74" s="14" t="s">
        <v>2999</v>
      </c>
      <c r="H74" s="13" t="s">
        <v>2973</v>
      </c>
      <c r="I74" s="655" t="s">
        <v>3058</v>
      </c>
      <c r="J74" s="14" t="s">
        <v>3059</v>
      </c>
      <c r="K74" s="478">
        <v>0.06</v>
      </c>
      <c r="L74" s="220">
        <v>7.92</v>
      </c>
      <c r="M74" s="473" t="s">
        <v>3060</v>
      </c>
      <c r="N74" s="473"/>
      <c r="O74" s="480"/>
      <c r="P74" s="14" t="s">
        <v>2945</v>
      </c>
      <c r="Q74" s="14" t="s">
        <v>2946</v>
      </c>
      <c r="R74" s="14">
        <v>18.75</v>
      </c>
      <c r="S74" s="14">
        <f t="shared" si="34"/>
        <v>1.4849999999999999</v>
      </c>
      <c r="T74" s="487">
        <f>SUM(R72:R75)</f>
        <v>115.45</v>
      </c>
      <c r="U74" s="14">
        <f t="shared" si="76"/>
        <v>16.240796881766997</v>
      </c>
      <c r="V74" s="220">
        <f t="shared" si="68"/>
        <v>16.240796881766997</v>
      </c>
      <c r="W74" s="14" t="s">
        <v>433</v>
      </c>
      <c r="X74" s="500">
        <f t="shared" si="9"/>
        <v>0.97444781290601978</v>
      </c>
      <c r="Y74" s="220" t="s">
        <v>1666</v>
      </c>
      <c r="Z74" s="220" t="str">
        <f t="shared" ref="Z74:AH74" si="82">Y74</f>
        <v>*</v>
      </c>
      <c r="AA74" s="792" t="str">
        <f t="shared" si="82"/>
        <v>*</v>
      </c>
      <c r="AB74" s="458" t="str">
        <f t="shared" si="82"/>
        <v>*</v>
      </c>
      <c r="AC74" s="497" t="str">
        <f t="shared" si="82"/>
        <v>*</v>
      </c>
      <c r="AD74" s="497" t="str">
        <f t="shared" si="82"/>
        <v>*</v>
      </c>
      <c r="AE74" s="454" t="str">
        <f t="shared" si="82"/>
        <v>*</v>
      </c>
      <c r="AF74" s="454" t="str">
        <f t="shared" si="82"/>
        <v>*</v>
      </c>
      <c r="AG74" s="454" t="str">
        <f t="shared" si="82"/>
        <v>*</v>
      </c>
      <c r="AH74" s="454" t="str">
        <f t="shared" si="82"/>
        <v>*</v>
      </c>
    </row>
    <row r="75" spans="1:34" ht="12.75">
      <c r="A75" s="14" t="s">
        <v>2997</v>
      </c>
      <c r="B75" s="24" t="s">
        <v>2508</v>
      </c>
      <c r="C75" s="14" t="s">
        <v>2524</v>
      </c>
      <c r="D75" s="14" t="s">
        <v>2911</v>
      </c>
      <c r="E75" s="14" t="s">
        <v>2998</v>
      </c>
      <c r="F75" s="13">
        <v>143.41999999999999</v>
      </c>
      <c r="G75" s="14" t="s">
        <v>2999</v>
      </c>
      <c r="H75" s="13" t="s">
        <v>2973</v>
      </c>
      <c r="I75" s="848" t="s">
        <v>3058</v>
      </c>
      <c r="J75" s="135" t="s">
        <v>3059</v>
      </c>
      <c r="K75" s="475">
        <v>0.06</v>
      </c>
      <c r="L75" s="476">
        <v>7.92</v>
      </c>
      <c r="M75" s="492" t="s">
        <v>3060</v>
      </c>
      <c r="N75" s="492"/>
      <c r="O75" s="494"/>
      <c r="P75" s="135" t="s">
        <v>3041</v>
      </c>
      <c r="Q75" s="495" t="s">
        <v>3062</v>
      </c>
      <c r="R75" s="135">
        <v>0.7</v>
      </c>
      <c r="S75" s="135">
        <f t="shared" si="34"/>
        <v>5.5439999999999996E-2</v>
      </c>
      <c r="T75" s="853">
        <f>SUM(R72:R75)</f>
        <v>115.45</v>
      </c>
      <c r="U75" s="135">
        <f t="shared" si="76"/>
        <v>0.60632308358596798</v>
      </c>
      <c r="V75" s="476">
        <f t="shared" si="68"/>
        <v>0.60632308358596798</v>
      </c>
      <c r="W75" s="71" t="s">
        <v>81</v>
      </c>
      <c r="X75" s="500">
        <f t="shared" si="9"/>
        <v>3.6379385015158076E-2</v>
      </c>
      <c r="Y75" s="220" t="s">
        <v>1624</v>
      </c>
      <c r="Z75" s="220" t="s">
        <v>1666</v>
      </c>
      <c r="AA75" s="792" t="str">
        <f t="shared" ref="AA75:AH75" si="83">Z75</f>
        <v>*</v>
      </c>
      <c r="AB75" s="458" t="str">
        <f t="shared" si="83"/>
        <v>*</v>
      </c>
      <c r="AC75" s="497" t="str">
        <f t="shared" si="83"/>
        <v>*</v>
      </c>
      <c r="AD75" s="497" t="str">
        <f t="shared" si="83"/>
        <v>*</v>
      </c>
      <c r="AE75" s="454" t="str">
        <f t="shared" si="83"/>
        <v>*</v>
      </c>
      <c r="AF75" s="454" t="str">
        <f t="shared" si="83"/>
        <v>*</v>
      </c>
      <c r="AG75" s="454" t="str">
        <f t="shared" si="83"/>
        <v>*</v>
      </c>
      <c r="AH75" s="454" t="str">
        <f t="shared" si="83"/>
        <v>*</v>
      </c>
    </row>
    <row r="76" spans="1:34" ht="14.25">
      <c r="A76" s="14" t="s">
        <v>2997</v>
      </c>
      <c r="B76" s="24" t="s">
        <v>2508</v>
      </c>
      <c r="C76" s="14" t="s">
        <v>2524</v>
      </c>
      <c r="D76" s="14" t="s">
        <v>2911</v>
      </c>
      <c r="E76" s="14" t="s">
        <v>2998</v>
      </c>
      <c r="F76" s="13">
        <v>143.41999999999999</v>
      </c>
      <c r="G76" s="14" t="s">
        <v>2999</v>
      </c>
      <c r="H76" s="13" t="s">
        <v>2973</v>
      </c>
      <c r="I76" s="14" t="s">
        <v>2998</v>
      </c>
      <c r="J76" s="14" t="s">
        <v>3063</v>
      </c>
      <c r="K76" s="478">
        <v>0.08</v>
      </c>
      <c r="L76" s="220">
        <v>11.52</v>
      </c>
      <c r="M76" s="473" t="s">
        <v>3064</v>
      </c>
      <c r="N76" s="479" t="s">
        <v>2937</v>
      </c>
      <c r="O76" s="480" t="s">
        <v>2976</v>
      </c>
      <c r="P76" s="14" t="s">
        <v>2938</v>
      </c>
      <c r="Q76" s="14" t="s">
        <v>2939</v>
      </c>
      <c r="R76" s="14">
        <v>10</v>
      </c>
      <c r="S76" s="14">
        <f t="shared" si="34"/>
        <v>1.1519999999999999</v>
      </c>
      <c r="T76" s="487">
        <f>SUM(R76:R94)</f>
        <v>134.25</v>
      </c>
      <c r="U76" s="14">
        <f t="shared" si="76"/>
        <v>7.4487895716945998</v>
      </c>
      <c r="V76" s="481">
        <f t="shared" si="68"/>
        <v>7.4487895716945998</v>
      </c>
      <c r="W76" s="482" t="s">
        <v>72</v>
      </c>
      <c r="X76" s="502">
        <f t="shared" si="9"/>
        <v>0.59590316573556801</v>
      </c>
      <c r="Y76" s="205" t="s">
        <v>1666</v>
      </c>
      <c r="Z76" s="205" t="str">
        <f t="shared" ref="Z76:AH76" si="84">Y76</f>
        <v>*</v>
      </c>
      <c r="AA76" s="792" t="str">
        <f t="shared" si="84"/>
        <v>*</v>
      </c>
      <c r="AB76" s="458" t="str">
        <f t="shared" si="84"/>
        <v>*</v>
      </c>
      <c r="AC76" s="497" t="str">
        <f t="shared" si="84"/>
        <v>*</v>
      </c>
      <c r="AD76" s="497" t="str">
        <f t="shared" si="84"/>
        <v>*</v>
      </c>
      <c r="AE76" s="454" t="str">
        <f t="shared" si="84"/>
        <v>*</v>
      </c>
      <c r="AF76" s="454" t="str">
        <f t="shared" si="84"/>
        <v>*</v>
      </c>
      <c r="AG76" s="454" t="str">
        <f t="shared" si="84"/>
        <v>*</v>
      </c>
      <c r="AH76" s="454" t="str">
        <f t="shared" si="84"/>
        <v>*</v>
      </c>
    </row>
    <row r="77" spans="1:34" ht="14.25">
      <c r="A77" s="14" t="s">
        <v>2997</v>
      </c>
      <c r="B77" s="24" t="s">
        <v>2508</v>
      </c>
      <c r="C77" s="14" t="s">
        <v>2524</v>
      </c>
      <c r="D77" s="14" t="s">
        <v>2911</v>
      </c>
      <c r="E77" s="14" t="s">
        <v>2998</v>
      </c>
      <c r="F77" s="13">
        <v>143.41999999999999</v>
      </c>
      <c r="G77" s="14" t="s">
        <v>2999</v>
      </c>
      <c r="H77" s="13" t="s">
        <v>2973</v>
      </c>
      <c r="I77" s="14" t="s">
        <v>2998</v>
      </c>
      <c r="J77" s="14" t="s">
        <v>3063</v>
      </c>
      <c r="K77" s="478">
        <v>0.08</v>
      </c>
      <c r="L77" s="220">
        <v>11.52</v>
      </c>
      <c r="M77" s="473" t="s">
        <v>3064</v>
      </c>
      <c r="N77" s="479" t="s">
        <v>2937</v>
      </c>
      <c r="O77" s="480" t="s">
        <v>2976</v>
      </c>
      <c r="P77" s="14" t="s">
        <v>2912</v>
      </c>
      <c r="Q77" s="14" t="s">
        <v>2915</v>
      </c>
      <c r="R77" s="14">
        <v>68</v>
      </c>
      <c r="S77" s="14">
        <f t="shared" si="34"/>
        <v>7.8336000000000006</v>
      </c>
      <c r="T77" s="220">
        <f>SUM(R76:R94)</f>
        <v>134.25</v>
      </c>
      <c r="U77" s="14">
        <f t="shared" si="76"/>
        <v>50.651769087523277</v>
      </c>
      <c r="V77" s="220">
        <f>U77*100/SUM(U77:U78,U80:U94)</f>
        <v>57.023060796645694</v>
      </c>
      <c r="W77" s="14" t="s">
        <v>124</v>
      </c>
      <c r="X77" s="500">
        <f t="shared" si="9"/>
        <v>4.5618448637316558</v>
      </c>
      <c r="Y77" s="220" t="s">
        <v>1666</v>
      </c>
      <c r="Z77" s="220" t="str">
        <f t="shared" ref="Z77:AH77" si="85">Y77</f>
        <v>*</v>
      </c>
      <c r="AA77" s="792" t="str">
        <f t="shared" si="85"/>
        <v>*</v>
      </c>
      <c r="AB77" s="458" t="str">
        <f t="shared" si="85"/>
        <v>*</v>
      </c>
      <c r="AC77" s="497" t="str">
        <f t="shared" si="85"/>
        <v>*</v>
      </c>
      <c r="AD77" s="497" t="str">
        <f t="shared" si="85"/>
        <v>*</v>
      </c>
      <c r="AE77" s="454" t="str">
        <f t="shared" si="85"/>
        <v>*</v>
      </c>
      <c r="AF77" s="454" t="str">
        <f t="shared" si="85"/>
        <v>*</v>
      </c>
      <c r="AG77" s="454" t="str">
        <f t="shared" si="85"/>
        <v>*</v>
      </c>
      <c r="AH77" s="454" t="str">
        <f t="shared" si="85"/>
        <v>*</v>
      </c>
    </row>
    <row r="78" spans="1:34" ht="14.25">
      <c r="A78" s="14" t="s">
        <v>2997</v>
      </c>
      <c r="B78" s="24" t="s">
        <v>2508</v>
      </c>
      <c r="C78" s="14" t="s">
        <v>2524</v>
      </c>
      <c r="D78" s="14" t="s">
        <v>2911</v>
      </c>
      <c r="E78" s="14" t="s">
        <v>2998</v>
      </c>
      <c r="F78" s="13">
        <v>143.41999999999999</v>
      </c>
      <c r="G78" s="14" t="s">
        <v>2999</v>
      </c>
      <c r="H78" s="13" t="s">
        <v>2973</v>
      </c>
      <c r="I78" s="14" t="s">
        <v>2998</v>
      </c>
      <c r="J78" s="14" t="s">
        <v>3063</v>
      </c>
      <c r="K78" s="478">
        <v>0.08</v>
      </c>
      <c r="L78" s="220">
        <v>11.52</v>
      </c>
      <c r="M78" s="473" t="s">
        <v>3064</v>
      </c>
      <c r="N78" s="479" t="s">
        <v>2937</v>
      </c>
      <c r="O78" s="480" t="s">
        <v>2976</v>
      </c>
      <c r="P78" s="14" t="s">
        <v>2962</v>
      </c>
      <c r="Q78" s="14" t="s">
        <v>2963</v>
      </c>
      <c r="R78" s="14">
        <v>18.75</v>
      </c>
      <c r="S78" s="14">
        <f t="shared" si="34"/>
        <v>2.16</v>
      </c>
      <c r="T78" s="220">
        <f>SUM(R76:R94)</f>
        <v>134.25</v>
      </c>
      <c r="U78" s="14">
        <f t="shared" si="76"/>
        <v>13.966480446927374</v>
      </c>
      <c r="V78" s="220">
        <f>U78*100/SUM(U77:U78,U80:U94)</f>
        <v>15.72327044025157</v>
      </c>
      <c r="W78" s="14" t="s">
        <v>425</v>
      </c>
      <c r="X78" s="500">
        <f t="shared" si="9"/>
        <v>1.2578616352201255</v>
      </c>
      <c r="Y78" s="220" t="s">
        <v>1666</v>
      </c>
      <c r="Z78" s="220" t="str">
        <f t="shared" ref="Z78:AH78" si="86">Y78</f>
        <v>*</v>
      </c>
      <c r="AA78" s="792" t="str">
        <f t="shared" si="86"/>
        <v>*</v>
      </c>
      <c r="AB78" s="458" t="str">
        <f t="shared" si="86"/>
        <v>*</v>
      </c>
      <c r="AC78" s="497" t="str">
        <f t="shared" si="86"/>
        <v>*</v>
      </c>
      <c r="AD78" s="497" t="str">
        <f t="shared" si="86"/>
        <v>*</v>
      </c>
      <c r="AE78" s="454" t="str">
        <f t="shared" si="86"/>
        <v>*</v>
      </c>
      <c r="AF78" s="454" t="str">
        <f t="shared" si="86"/>
        <v>*</v>
      </c>
      <c r="AG78" s="454" t="str">
        <f t="shared" si="86"/>
        <v>*</v>
      </c>
      <c r="AH78" s="454" t="str">
        <f t="shared" si="86"/>
        <v>*</v>
      </c>
    </row>
    <row r="79" spans="1:34" ht="14.25">
      <c r="A79" s="14" t="s">
        <v>2997</v>
      </c>
      <c r="B79" s="24" t="s">
        <v>2508</v>
      </c>
      <c r="C79" s="14" t="s">
        <v>2524</v>
      </c>
      <c r="D79" s="14" t="s">
        <v>2911</v>
      </c>
      <c r="E79" s="14" t="s">
        <v>2998</v>
      </c>
      <c r="F79" s="13">
        <v>143.41999999999999</v>
      </c>
      <c r="G79" s="14" t="s">
        <v>2999</v>
      </c>
      <c r="H79" s="13" t="s">
        <v>2973</v>
      </c>
      <c r="I79" s="14" t="s">
        <v>2998</v>
      </c>
      <c r="J79" s="14" t="s">
        <v>3063</v>
      </c>
      <c r="K79" s="478">
        <v>0.08</v>
      </c>
      <c r="L79" s="220">
        <v>11.52</v>
      </c>
      <c r="M79" s="473" t="s">
        <v>3064</v>
      </c>
      <c r="N79" s="479" t="s">
        <v>2937</v>
      </c>
      <c r="O79" s="480" t="s">
        <v>2976</v>
      </c>
      <c r="P79" s="14" t="s">
        <v>2938</v>
      </c>
      <c r="Q79" s="14" t="s">
        <v>3065</v>
      </c>
      <c r="R79" s="14">
        <v>5</v>
      </c>
      <c r="S79" s="14">
        <f t="shared" si="34"/>
        <v>0.57599999999999996</v>
      </c>
      <c r="T79" s="220">
        <f>SUM(R76:R94)</f>
        <v>134.25</v>
      </c>
      <c r="U79" s="14">
        <f t="shared" si="76"/>
        <v>3.7243947858472999</v>
      </c>
      <c r="V79" s="481">
        <f>U79</f>
        <v>3.7243947858472999</v>
      </c>
      <c r="W79" s="482" t="s">
        <v>72</v>
      </c>
      <c r="X79" s="502">
        <f t="shared" si="9"/>
        <v>0.297951582867784</v>
      </c>
      <c r="Y79" s="220" t="s">
        <v>1666</v>
      </c>
      <c r="Z79" s="220" t="str">
        <f t="shared" ref="Z79:AH79" si="87">Y79</f>
        <v>*</v>
      </c>
      <c r="AA79" s="792" t="str">
        <f t="shared" si="87"/>
        <v>*</v>
      </c>
      <c r="AB79" s="458" t="str">
        <f t="shared" si="87"/>
        <v>*</v>
      </c>
      <c r="AC79" s="497" t="str">
        <f t="shared" si="87"/>
        <v>*</v>
      </c>
      <c r="AD79" s="497" t="str">
        <f t="shared" si="87"/>
        <v>*</v>
      </c>
      <c r="AE79" s="454" t="str">
        <f t="shared" si="87"/>
        <v>*</v>
      </c>
      <c r="AF79" s="454" t="str">
        <f t="shared" si="87"/>
        <v>*</v>
      </c>
      <c r="AG79" s="454" t="str">
        <f t="shared" si="87"/>
        <v>*</v>
      </c>
      <c r="AH79" s="454" t="str">
        <f t="shared" si="87"/>
        <v>*</v>
      </c>
    </row>
    <row r="80" spans="1:34" ht="14.25">
      <c r="A80" s="14" t="s">
        <v>2997</v>
      </c>
      <c r="B80" s="24" t="s">
        <v>2508</v>
      </c>
      <c r="C80" s="14" t="s">
        <v>2524</v>
      </c>
      <c r="D80" s="14" t="s">
        <v>2911</v>
      </c>
      <c r="E80" s="14" t="s">
        <v>2998</v>
      </c>
      <c r="F80" s="13">
        <v>143.41999999999999</v>
      </c>
      <c r="G80" s="14" t="s">
        <v>2999</v>
      </c>
      <c r="H80" s="13" t="s">
        <v>2973</v>
      </c>
      <c r="I80" s="14" t="s">
        <v>2998</v>
      </c>
      <c r="J80" s="14" t="s">
        <v>3063</v>
      </c>
      <c r="K80" s="478">
        <v>0.08</v>
      </c>
      <c r="L80" s="220">
        <v>11.52</v>
      </c>
      <c r="M80" s="473" t="s">
        <v>3064</v>
      </c>
      <c r="N80" s="479" t="s">
        <v>2937</v>
      </c>
      <c r="O80" s="480" t="s">
        <v>2976</v>
      </c>
      <c r="P80" s="14" t="s">
        <v>2945</v>
      </c>
      <c r="Q80" s="14" t="s">
        <v>3066</v>
      </c>
      <c r="R80" s="14">
        <v>5</v>
      </c>
      <c r="S80" s="14">
        <f t="shared" si="34"/>
        <v>0.57599999999999996</v>
      </c>
      <c r="T80" s="220">
        <f>SUM(R76:R94)</f>
        <v>134.25</v>
      </c>
      <c r="U80" s="14">
        <f t="shared" si="76"/>
        <v>3.7243947858472999</v>
      </c>
      <c r="V80" s="220">
        <f>U80*100/SUM(U77:U78,U80:U94)</f>
        <v>4.1928721174004187</v>
      </c>
      <c r="W80" s="17" t="s">
        <v>433</v>
      </c>
      <c r="X80" s="500">
        <f t="shared" si="9"/>
        <v>0.33542976939203351</v>
      </c>
      <c r="Y80" s="220" t="s">
        <v>1666</v>
      </c>
      <c r="Z80" s="220" t="str">
        <f t="shared" ref="Z80:AH80" si="88">Y80</f>
        <v>*</v>
      </c>
      <c r="AA80" s="792" t="str">
        <f t="shared" si="88"/>
        <v>*</v>
      </c>
      <c r="AB80" s="458" t="str">
        <f t="shared" si="88"/>
        <v>*</v>
      </c>
      <c r="AC80" s="497" t="str">
        <f t="shared" si="88"/>
        <v>*</v>
      </c>
      <c r="AD80" s="497" t="str">
        <f t="shared" si="88"/>
        <v>*</v>
      </c>
      <c r="AE80" s="454" t="str">
        <f t="shared" si="88"/>
        <v>*</v>
      </c>
      <c r="AF80" s="454" t="str">
        <f t="shared" si="88"/>
        <v>*</v>
      </c>
      <c r="AG80" s="454" t="str">
        <f t="shared" si="88"/>
        <v>*</v>
      </c>
      <c r="AH80" s="454" t="str">
        <f t="shared" si="88"/>
        <v>*</v>
      </c>
    </row>
    <row r="81" spans="1:34" ht="14.25">
      <c r="A81" s="14" t="s">
        <v>2997</v>
      </c>
      <c r="B81" s="24" t="s">
        <v>2508</v>
      </c>
      <c r="C81" s="14" t="s">
        <v>2524</v>
      </c>
      <c r="D81" s="14" t="s">
        <v>2911</v>
      </c>
      <c r="E81" s="14" t="s">
        <v>2998</v>
      </c>
      <c r="F81" s="13">
        <v>143.41999999999999</v>
      </c>
      <c r="G81" s="14" t="s">
        <v>2999</v>
      </c>
      <c r="H81" s="13" t="s">
        <v>2973</v>
      </c>
      <c r="I81" s="14" t="s">
        <v>2998</v>
      </c>
      <c r="J81" s="14" t="s">
        <v>3063</v>
      </c>
      <c r="K81" s="478">
        <v>0.08</v>
      </c>
      <c r="L81" s="220">
        <v>11.52</v>
      </c>
      <c r="M81" s="473" t="s">
        <v>3064</v>
      </c>
      <c r="N81" s="479" t="s">
        <v>2937</v>
      </c>
      <c r="O81" s="480" t="s">
        <v>2976</v>
      </c>
      <c r="P81" s="14" t="s">
        <v>2945</v>
      </c>
      <c r="Q81" s="14" t="s">
        <v>2946</v>
      </c>
      <c r="R81" s="14">
        <v>5</v>
      </c>
      <c r="S81" s="14">
        <f t="shared" si="34"/>
        <v>0.57599999999999996</v>
      </c>
      <c r="T81" s="220">
        <f>SUM(R76:R94)</f>
        <v>134.25</v>
      </c>
      <c r="U81" s="14">
        <f t="shared" si="76"/>
        <v>3.7243947858472999</v>
      </c>
      <c r="V81" s="220">
        <f>U81*100/SUM(U77:U78,U80:U94)</f>
        <v>4.1928721174004187</v>
      </c>
      <c r="W81" s="17" t="s">
        <v>433</v>
      </c>
      <c r="X81" s="500">
        <f t="shared" si="9"/>
        <v>0.33542976939203351</v>
      </c>
      <c r="Y81" s="220" t="s">
        <v>1666</v>
      </c>
      <c r="Z81" s="220" t="str">
        <f t="shared" ref="Z81:AH81" si="89">Y81</f>
        <v>*</v>
      </c>
      <c r="AA81" s="792" t="str">
        <f t="shared" si="89"/>
        <v>*</v>
      </c>
      <c r="AB81" s="458" t="str">
        <f t="shared" si="89"/>
        <v>*</v>
      </c>
      <c r="AC81" s="497" t="str">
        <f t="shared" si="89"/>
        <v>*</v>
      </c>
      <c r="AD81" s="497" t="str">
        <f t="shared" si="89"/>
        <v>*</v>
      </c>
      <c r="AE81" s="454" t="str">
        <f t="shared" si="89"/>
        <v>*</v>
      </c>
      <c r="AF81" s="454" t="str">
        <f t="shared" si="89"/>
        <v>*</v>
      </c>
      <c r="AG81" s="454" t="str">
        <f t="shared" si="89"/>
        <v>*</v>
      </c>
      <c r="AH81" s="454" t="str">
        <f t="shared" si="89"/>
        <v>*</v>
      </c>
    </row>
    <row r="82" spans="1:34" ht="14.25">
      <c r="A82" s="14" t="s">
        <v>2997</v>
      </c>
      <c r="B82" s="24" t="s">
        <v>2508</v>
      </c>
      <c r="C82" s="14" t="s">
        <v>2524</v>
      </c>
      <c r="D82" s="14" t="s">
        <v>2911</v>
      </c>
      <c r="E82" s="14" t="s">
        <v>2998</v>
      </c>
      <c r="F82" s="13">
        <v>143.41999999999999</v>
      </c>
      <c r="G82" s="14" t="s">
        <v>2999</v>
      </c>
      <c r="H82" s="13" t="s">
        <v>2973</v>
      </c>
      <c r="I82" s="14" t="s">
        <v>2998</v>
      </c>
      <c r="J82" s="14" t="s">
        <v>3063</v>
      </c>
      <c r="K82" s="478">
        <v>0.08</v>
      </c>
      <c r="L82" s="220">
        <v>11.52</v>
      </c>
      <c r="M82" s="473" t="s">
        <v>3064</v>
      </c>
      <c r="N82" s="479" t="s">
        <v>2937</v>
      </c>
      <c r="O82" s="480" t="s">
        <v>2976</v>
      </c>
      <c r="P82" s="14" t="s">
        <v>2776</v>
      </c>
      <c r="Q82" s="14" t="s">
        <v>3040</v>
      </c>
      <c r="R82" s="14">
        <v>5</v>
      </c>
      <c r="S82" s="14">
        <f t="shared" si="34"/>
        <v>0.57599999999999996</v>
      </c>
      <c r="T82" s="220">
        <f>SUM(R76:R94)</f>
        <v>134.25</v>
      </c>
      <c r="U82" s="14">
        <f t="shared" si="76"/>
        <v>3.7243947858472999</v>
      </c>
      <c r="V82" s="220">
        <f>U82*100/SUM(U77:U78,U80:U94)</f>
        <v>4.1928721174004187</v>
      </c>
      <c r="W82" s="17" t="s">
        <v>2776</v>
      </c>
      <c r="X82" s="500">
        <f t="shared" si="9"/>
        <v>0.33542976939203351</v>
      </c>
      <c r="Y82" s="220" t="s">
        <v>1666</v>
      </c>
      <c r="Z82" s="220" t="str">
        <f t="shared" ref="Z82:AH82" si="90">Y82</f>
        <v>*</v>
      </c>
      <c r="AA82" s="792" t="str">
        <f t="shared" si="90"/>
        <v>*</v>
      </c>
      <c r="AB82" s="458" t="str">
        <f t="shared" si="90"/>
        <v>*</v>
      </c>
      <c r="AC82" s="497" t="str">
        <f t="shared" si="90"/>
        <v>*</v>
      </c>
      <c r="AD82" s="497" t="str">
        <f t="shared" si="90"/>
        <v>*</v>
      </c>
      <c r="AE82" s="454" t="str">
        <f t="shared" si="90"/>
        <v>*</v>
      </c>
      <c r="AF82" s="454" t="str">
        <f t="shared" si="90"/>
        <v>*</v>
      </c>
      <c r="AG82" s="454" t="str">
        <f t="shared" si="90"/>
        <v>*</v>
      </c>
      <c r="AH82" s="454" t="str">
        <f t="shared" si="90"/>
        <v>*</v>
      </c>
    </row>
    <row r="83" spans="1:34" ht="14.25">
      <c r="A83" s="14" t="s">
        <v>2997</v>
      </c>
      <c r="B83" s="24" t="s">
        <v>2508</v>
      </c>
      <c r="C83" s="14" t="s">
        <v>2524</v>
      </c>
      <c r="D83" s="14" t="s">
        <v>2911</v>
      </c>
      <c r="E83" s="14" t="s">
        <v>2998</v>
      </c>
      <c r="F83" s="13">
        <v>143.41999999999999</v>
      </c>
      <c r="G83" s="14" t="s">
        <v>2999</v>
      </c>
      <c r="H83" s="13" t="s">
        <v>2973</v>
      </c>
      <c r="I83" s="14" t="s">
        <v>2998</v>
      </c>
      <c r="J83" s="14" t="s">
        <v>3063</v>
      </c>
      <c r="K83" s="478">
        <v>0.08</v>
      </c>
      <c r="L83" s="220">
        <v>11.52</v>
      </c>
      <c r="M83" s="473" t="s">
        <v>3064</v>
      </c>
      <c r="N83" s="479" t="s">
        <v>2937</v>
      </c>
      <c r="O83" s="480" t="s">
        <v>2976</v>
      </c>
      <c r="P83" s="14" t="s">
        <v>421</v>
      </c>
      <c r="Q83" s="14" t="s">
        <v>2952</v>
      </c>
      <c r="R83" s="14">
        <v>2</v>
      </c>
      <c r="S83" s="14">
        <f t="shared" si="34"/>
        <v>0.23039999999999999</v>
      </c>
      <c r="T83" s="220">
        <f>SUM(R76:R94)</f>
        <v>134.25</v>
      </c>
      <c r="U83" s="14">
        <f t="shared" si="76"/>
        <v>1.4897579143389199</v>
      </c>
      <c r="V83" s="220">
        <f>U83*100/SUM(U77:U78,U80:U94)</f>
        <v>1.6771488469601674</v>
      </c>
      <c r="W83" s="14" t="s">
        <v>421</v>
      </c>
      <c r="X83" s="500">
        <f t="shared" si="9"/>
        <v>0.1341719077568134</v>
      </c>
      <c r="Y83" s="220" t="s">
        <v>1624</v>
      </c>
      <c r="Z83" s="220" t="s">
        <v>1666</v>
      </c>
      <c r="AA83" s="792" t="str">
        <f t="shared" ref="AA83:AH83" si="91">Z83</f>
        <v>*</v>
      </c>
      <c r="AB83" s="458" t="str">
        <f t="shared" si="91"/>
        <v>*</v>
      </c>
      <c r="AC83" s="497" t="str">
        <f t="shared" si="91"/>
        <v>*</v>
      </c>
      <c r="AD83" s="497" t="str">
        <f t="shared" si="91"/>
        <v>*</v>
      </c>
      <c r="AE83" s="454" t="str">
        <f t="shared" si="91"/>
        <v>*</v>
      </c>
      <c r="AF83" s="454" t="str">
        <f t="shared" si="91"/>
        <v>*</v>
      </c>
      <c r="AG83" s="454" t="str">
        <f t="shared" si="91"/>
        <v>*</v>
      </c>
      <c r="AH83" s="454" t="str">
        <f t="shared" si="91"/>
        <v>*</v>
      </c>
    </row>
    <row r="84" spans="1:34" ht="14.25">
      <c r="A84" s="14" t="s">
        <v>2997</v>
      </c>
      <c r="B84" s="24" t="s">
        <v>2508</v>
      </c>
      <c r="C84" s="14" t="s">
        <v>2524</v>
      </c>
      <c r="D84" s="14" t="s">
        <v>2911</v>
      </c>
      <c r="E84" s="14" t="s">
        <v>2998</v>
      </c>
      <c r="F84" s="13">
        <v>143.41999999999999</v>
      </c>
      <c r="G84" s="14" t="s">
        <v>2999</v>
      </c>
      <c r="H84" s="13" t="s">
        <v>2973</v>
      </c>
      <c r="I84" s="14" t="s">
        <v>2998</v>
      </c>
      <c r="J84" s="14" t="s">
        <v>3063</v>
      </c>
      <c r="K84" s="478">
        <v>0.08</v>
      </c>
      <c r="L84" s="220">
        <v>11.52</v>
      </c>
      <c r="M84" s="473" t="s">
        <v>3064</v>
      </c>
      <c r="N84" s="479" t="s">
        <v>2937</v>
      </c>
      <c r="O84" s="480" t="s">
        <v>2976</v>
      </c>
      <c r="P84" s="14" t="s">
        <v>2992</v>
      </c>
      <c r="Q84" s="486" t="s">
        <v>2966</v>
      </c>
      <c r="R84" s="14">
        <v>2</v>
      </c>
      <c r="S84" s="14">
        <f t="shared" si="34"/>
        <v>0.23039999999999999</v>
      </c>
      <c r="T84" s="220">
        <f>SUM(R76:R94)</f>
        <v>134.25</v>
      </c>
      <c r="U84" s="14">
        <f t="shared" si="76"/>
        <v>1.4897579143389199</v>
      </c>
      <c r="V84" s="220">
        <f>U84*100/SUM(U77:U78,U80:U94)</f>
        <v>1.6771488469601674</v>
      </c>
      <c r="W84" s="14" t="s">
        <v>319</v>
      </c>
      <c r="X84" s="500">
        <f t="shared" si="9"/>
        <v>0.1341719077568134</v>
      </c>
      <c r="Y84" s="504">
        <f t="shared" ref="Y84:AA84" si="92">X84</f>
        <v>0.1341719077568134</v>
      </c>
      <c r="Z84" s="501">
        <f t="shared" si="92"/>
        <v>0.1341719077568134</v>
      </c>
      <c r="AA84" s="792">
        <f t="shared" si="92"/>
        <v>0.1341719077568134</v>
      </c>
      <c r="AB84" s="458" t="s">
        <v>319</v>
      </c>
      <c r="AC84" s="13" t="s">
        <v>18</v>
      </c>
      <c r="AD84" s="13" t="s">
        <v>175</v>
      </c>
      <c r="AE84" s="12">
        <v>1.4285714285714287E-2</v>
      </c>
      <c r="AF84" s="12">
        <v>6.2E-2</v>
      </c>
      <c r="AG84" s="12">
        <v>3.0000000000000001E-6</v>
      </c>
      <c r="AH84" s="12">
        <v>8.9999999999999998E-4</v>
      </c>
    </row>
    <row r="85" spans="1:34" ht="14.25">
      <c r="A85" s="14" t="s">
        <v>2997</v>
      </c>
      <c r="B85" s="24" t="s">
        <v>2508</v>
      </c>
      <c r="C85" s="14" t="s">
        <v>2524</v>
      </c>
      <c r="D85" s="14" t="s">
        <v>2911</v>
      </c>
      <c r="E85" s="14" t="s">
        <v>2998</v>
      </c>
      <c r="F85" s="13">
        <v>143.41999999999999</v>
      </c>
      <c r="G85" s="14" t="s">
        <v>2999</v>
      </c>
      <c r="H85" s="13" t="s">
        <v>2973</v>
      </c>
      <c r="I85" s="14" t="s">
        <v>2998</v>
      </c>
      <c r="J85" s="14" t="s">
        <v>3063</v>
      </c>
      <c r="K85" s="478">
        <v>0.08</v>
      </c>
      <c r="L85" s="220">
        <v>11.52</v>
      </c>
      <c r="M85" s="473" t="s">
        <v>3064</v>
      </c>
      <c r="N85" s="479" t="s">
        <v>2937</v>
      </c>
      <c r="O85" s="480" t="s">
        <v>2976</v>
      </c>
      <c r="P85" s="14" t="s">
        <v>2962</v>
      </c>
      <c r="Q85" s="14" t="s">
        <v>3067</v>
      </c>
      <c r="R85" s="14">
        <v>2</v>
      </c>
      <c r="S85" s="14">
        <f t="shared" si="34"/>
        <v>0.23039999999999999</v>
      </c>
      <c r="T85" s="220">
        <f>SUM(R76:R94)</f>
        <v>134.25</v>
      </c>
      <c r="U85" s="14">
        <f t="shared" si="76"/>
        <v>1.4897579143389199</v>
      </c>
      <c r="V85" s="220">
        <f>U85*100/SUM(U77:U78,U80:U94)</f>
        <v>1.6771488469601674</v>
      </c>
      <c r="W85" s="17" t="s">
        <v>425</v>
      </c>
      <c r="X85" s="500">
        <f t="shared" si="9"/>
        <v>0.1341719077568134</v>
      </c>
      <c r="Y85" s="220" t="s">
        <v>1666</v>
      </c>
      <c r="Z85" s="220" t="str">
        <f t="shared" ref="Z85:AH85" si="93">Y85</f>
        <v>*</v>
      </c>
      <c r="AA85" s="792" t="str">
        <f t="shared" si="93"/>
        <v>*</v>
      </c>
      <c r="AB85" s="458" t="str">
        <f t="shared" si="93"/>
        <v>*</v>
      </c>
      <c r="AC85" s="497" t="str">
        <f t="shared" si="93"/>
        <v>*</v>
      </c>
      <c r="AD85" s="497" t="str">
        <f t="shared" si="93"/>
        <v>*</v>
      </c>
      <c r="AE85" s="454" t="str">
        <f t="shared" si="93"/>
        <v>*</v>
      </c>
      <c r="AF85" s="454" t="str">
        <f t="shared" si="93"/>
        <v>*</v>
      </c>
      <c r="AG85" s="454" t="str">
        <f t="shared" si="93"/>
        <v>*</v>
      </c>
      <c r="AH85" s="454" t="str">
        <f t="shared" si="93"/>
        <v>*</v>
      </c>
    </row>
    <row r="86" spans="1:34" ht="14.25">
      <c r="A86" s="14" t="s">
        <v>2997</v>
      </c>
      <c r="B86" s="24" t="s">
        <v>2508</v>
      </c>
      <c r="C86" s="14" t="s">
        <v>2524</v>
      </c>
      <c r="D86" s="14" t="s">
        <v>2911</v>
      </c>
      <c r="E86" s="14" t="s">
        <v>2998</v>
      </c>
      <c r="F86" s="13">
        <v>143.41999999999999</v>
      </c>
      <c r="G86" s="14" t="s">
        <v>2999</v>
      </c>
      <c r="H86" s="13" t="s">
        <v>2973</v>
      </c>
      <c r="I86" s="14" t="s">
        <v>2998</v>
      </c>
      <c r="J86" s="14" t="s">
        <v>3063</v>
      </c>
      <c r="K86" s="478">
        <v>0.08</v>
      </c>
      <c r="L86" s="220">
        <v>11.52</v>
      </c>
      <c r="M86" s="473" t="s">
        <v>3064</v>
      </c>
      <c r="N86" s="479" t="s">
        <v>2937</v>
      </c>
      <c r="O86" s="480" t="s">
        <v>2976</v>
      </c>
      <c r="P86" s="14" t="s">
        <v>3013</v>
      </c>
      <c r="Q86" s="14" t="s">
        <v>3014</v>
      </c>
      <c r="R86" s="14">
        <v>2.5</v>
      </c>
      <c r="S86" s="14">
        <f t="shared" si="34"/>
        <v>0.28799999999999998</v>
      </c>
      <c r="T86" s="220">
        <f>SUM(R76:R94)</f>
        <v>134.25</v>
      </c>
      <c r="U86" s="14">
        <f t="shared" si="76"/>
        <v>1.8621973929236499</v>
      </c>
      <c r="V86" s="220">
        <f>U86*100/SUM(U77:U78,U80:U94)</f>
        <v>2.0964360587002093</v>
      </c>
      <c r="W86" s="14" t="s">
        <v>88</v>
      </c>
      <c r="X86" s="500">
        <f t="shared" si="9"/>
        <v>0.16771488469601675</v>
      </c>
      <c r="Y86" s="220" t="s">
        <v>1666</v>
      </c>
      <c r="Z86" s="220" t="s">
        <v>1666</v>
      </c>
      <c r="AA86" s="792" t="str">
        <f t="shared" ref="AA86:AH86" si="94">Z86</f>
        <v>*</v>
      </c>
      <c r="AB86" s="458" t="str">
        <f t="shared" si="94"/>
        <v>*</v>
      </c>
      <c r="AC86" s="497" t="str">
        <f t="shared" si="94"/>
        <v>*</v>
      </c>
      <c r="AD86" s="497" t="str">
        <f t="shared" si="94"/>
        <v>*</v>
      </c>
      <c r="AE86" s="454" t="str">
        <f t="shared" si="94"/>
        <v>*</v>
      </c>
      <c r="AF86" s="454" t="str">
        <f t="shared" si="94"/>
        <v>*</v>
      </c>
      <c r="AG86" s="454" t="str">
        <f t="shared" si="94"/>
        <v>*</v>
      </c>
      <c r="AH86" s="454" t="str">
        <f t="shared" si="94"/>
        <v>*</v>
      </c>
    </row>
    <row r="87" spans="1:34" ht="14.25">
      <c r="A87" s="14" t="s">
        <v>2997</v>
      </c>
      <c r="B87" s="24" t="s">
        <v>2508</v>
      </c>
      <c r="C87" s="14" t="s">
        <v>2524</v>
      </c>
      <c r="D87" s="14" t="s">
        <v>2911</v>
      </c>
      <c r="E87" s="14" t="s">
        <v>2998</v>
      </c>
      <c r="F87" s="13">
        <v>143.41999999999999</v>
      </c>
      <c r="G87" s="14" t="s">
        <v>2999</v>
      </c>
      <c r="H87" s="13" t="s">
        <v>2973</v>
      </c>
      <c r="I87" s="14" t="s">
        <v>2998</v>
      </c>
      <c r="J87" s="14" t="s">
        <v>3063</v>
      </c>
      <c r="K87" s="478">
        <v>0.08</v>
      </c>
      <c r="L87" s="220">
        <v>11.52</v>
      </c>
      <c r="M87" s="473" t="s">
        <v>3064</v>
      </c>
      <c r="N87" s="479" t="s">
        <v>2937</v>
      </c>
      <c r="O87" s="480" t="s">
        <v>2976</v>
      </c>
      <c r="P87" s="14" t="s">
        <v>2994</v>
      </c>
      <c r="Q87" s="14" t="s">
        <v>3068</v>
      </c>
      <c r="R87" s="14">
        <v>2</v>
      </c>
      <c r="S87" s="14">
        <f t="shared" si="34"/>
        <v>0.23039999999999999</v>
      </c>
      <c r="T87" s="220">
        <f>SUM(R76:R94)</f>
        <v>134.25</v>
      </c>
      <c r="U87" s="14">
        <f t="shared" si="76"/>
        <v>1.4897579143389199</v>
      </c>
      <c r="V87" s="220">
        <f>U87*100/SUM(U77:U78,U80:U94)</f>
        <v>1.6771488469601674</v>
      </c>
      <c r="W87" s="14" t="s">
        <v>121</v>
      </c>
      <c r="X87" s="500">
        <f t="shared" si="9"/>
        <v>0.1341719077568134</v>
      </c>
      <c r="Y87" s="220" t="s">
        <v>1666</v>
      </c>
      <c r="Z87" s="501">
        <f>X87</f>
        <v>0.1341719077568134</v>
      </c>
      <c r="AA87" s="792">
        <f t="shared" ref="AA87:AA90" si="95">Z87</f>
        <v>0.1341719077568134</v>
      </c>
      <c r="AB87" s="458" t="s">
        <v>2523</v>
      </c>
      <c r="AC87" s="14" t="s">
        <v>121</v>
      </c>
      <c r="AD87" s="14" t="s">
        <v>3016</v>
      </c>
      <c r="AE87" s="12">
        <v>4.1127278199052132E-2</v>
      </c>
      <c r="AF87" s="12">
        <v>0.12092157867298578</v>
      </c>
      <c r="AG87" s="12">
        <v>8.0618486208530824E-4</v>
      </c>
      <c r="AH87" s="12">
        <v>7.5857890995260661E-3</v>
      </c>
    </row>
    <row r="88" spans="1:34" ht="14.25">
      <c r="A88" s="14" t="s">
        <v>2997</v>
      </c>
      <c r="B88" s="24" t="s">
        <v>2508</v>
      </c>
      <c r="C88" s="14" t="s">
        <v>2524</v>
      </c>
      <c r="D88" s="14" t="s">
        <v>2911</v>
      </c>
      <c r="E88" s="14" t="s">
        <v>2998</v>
      </c>
      <c r="F88" s="13">
        <v>143.41999999999999</v>
      </c>
      <c r="G88" s="14" t="s">
        <v>2999</v>
      </c>
      <c r="H88" s="13" t="s">
        <v>2973</v>
      </c>
      <c r="I88" s="14" t="s">
        <v>2998</v>
      </c>
      <c r="J88" s="14" t="s">
        <v>3063</v>
      </c>
      <c r="K88" s="478">
        <v>0.08</v>
      </c>
      <c r="L88" s="220">
        <v>11.52</v>
      </c>
      <c r="M88" s="473" t="s">
        <v>3064</v>
      </c>
      <c r="N88" s="479" t="s">
        <v>2937</v>
      </c>
      <c r="O88" s="480" t="s">
        <v>2976</v>
      </c>
      <c r="P88" s="14" t="s">
        <v>3025</v>
      </c>
      <c r="Q88" s="486" t="s">
        <v>3069</v>
      </c>
      <c r="R88" s="14">
        <v>2</v>
      </c>
      <c r="S88" s="14">
        <f t="shared" si="34"/>
        <v>0.23039999999999999</v>
      </c>
      <c r="T88" s="220">
        <f>SUM(R76:R94)</f>
        <v>134.25</v>
      </c>
      <c r="U88" s="14">
        <f t="shared" si="76"/>
        <v>1.4897579143389199</v>
      </c>
      <c r="V88" s="220">
        <f>U88*100/SUM(U77:U78,U80:U94)</f>
        <v>1.6771488469601674</v>
      </c>
      <c r="W88" s="14" t="s">
        <v>142</v>
      </c>
      <c r="X88" s="500">
        <f t="shared" si="9"/>
        <v>0.1341719077568134</v>
      </c>
      <c r="Y88" s="220" t="s">
        <v>1624</v>
      </c>
      <c r="Z88" s="220" t="s">
        <v>1666</v>
      </c>
      <c r="AA88" s="792" t="str">
        <f t="shared" si="95"/>
        <v>*</v>
      </c>
      <c r="AB88" s="458" t="str">
        <f t="shared" ref="AB88:AH88" si="96">AA88</f>
        <v>*</v>
      </c>
      <c r="AC88" s="497" t="str">
        <f t="shared" si="96"/>
        <v>*</v>
      </c>
      <c r="AD88" s="497" t="str">
        <f t="shared" si="96"/>
        <v>*</v>
      </c>
      <c r="AE88" s="454" t="str">
        <f t="shared" si="96"/>
        <v>*</v>
      </c>
      <c r="AF88" s="454" t="str">
        <f t="shared" si="96"/>
        <v>*</v>
      </c>
      <c r="AG88" s="454" t="str">
        <f t="shared" si="96"/>
        <v>*</v>
      </c>
      <c r="AH88" s="454" t="str">
        <f t="shared" si="96"/>
        <v>*</v>
      </c>
    </row>
    <row r="89" spans="1:34" ht="14.25">
      <c r="A89" s="14" t="s">
        <v>2997</v>
      </c>
      <c r="B89" s="24" t="s">
        <v>2508</v>
      </c>
      <c r="C89" s="14" t="s">
        <v>2524</v>
      </c>
      <c r="D89" s="14" t="s">
        <v>2911</v>
      </c>
      <c r="E89" s="14" t="s">
        <v>2998</v>
      </c>
      <c r="F89" s="13">
        <v>143.41999999999999</v>
      </c>
      <c r="G89" s="14" t="s">
        <v>2999</v>
      </c>
      <c r="H89" s="13" t="s">
        <v>2973</v>
      </c>
      <c r="I89" s="14" t="s">
        <v>2998</v>
      </c>
      <c r="J89" s="14" t="s">
        <v>3063</v>
      </c>
      <c r="K89" s="478">
        <v>0.08</v>
      </c>
      <c r="L89" s="220">
        <v>11.52</v>
      </c>
      <c r="M89" s="473" t="s">
        <v>3064</v>
      </c>
      <c r="N89" s="479" t="s">
        <v>2937</v>
      </c>
      <c r="O89" s="480" t="s">
        <v>2976</v>
      </c>
      <c r="P89" s="14" t="s">
        <v>3017</v>
      </c>
      <c r="Q89" s="486" t="s">
        <v>3018</v>
      </c>
      <c r="R89" s="14">
        <v>1</v>
      </c>
      <c r="S89" s="14">
        <f t="shared" si="34"/>
        <v>0.1152</v>
      </c>
      <c r="T89" s="220">
        <f>SUM(R76:R94)</f>
        <v>134.25</v>
      </c>
      <c r="U89" s="14">
        <f t="shared" si="76"/>
        <v>0.74487895716945995</v>
      </c>
      <c r="V89" s="220">
        <f>U89*100/SUM(U77:U78,U80:U94)</f>
        <v>0.83857442348008371</v>
      </c>
      <c r="W89" s="14" t="s">
        <v>146</v>
      </c>
      <c r="X89" s="500">
        <f t="shared" si="9"/>
        <v>6.7085953878406698E-2</v>
      </c>
      <c r="Y89" s="220" t="s">
        <v>1624</v>
      </c>
      <c r="Z89" s="220" t="s">
        <v>1666</v>
      </c>
      <c r="AA89" s="792" t="str">
        <f t="shared" si="95"/>
        <v>*</v>
      </c>
      <c r="AB89" s="458" t="str">
        <f t="shared" ref="AB89:AH89" si="97">AA89</f>
        <v>*</v>
      </c>
      <c r="AC89" s="497" t="str">
        <f t="shared" si="97"/>
        <v>*</v>
      </c>
      <c r="AD89" s="497" t="str">
        <f t="shared" si="97"/>
        <v>*</v>
      </c>
      <c r="AE89" s="454" t="str">
        <f t="shared" si="97"/>
        <v>*</v>
      </c>
      <c r="AF89" s="454" t="str">
        <f t="shared" si="97"/>
        <v>*</v>
      </c>
      <c r="AG89" s="454" t="str">
        <f t="shared" si="97"/>
        <v>*</v>
      </c>
      <c r="AH89" s="454" t="str">
        <f t="shared" si="97"/>
        <v>*</v>
      </c>
    </row>
    <row r="90" spans="1:34" ht="14.25">
      <c r="A90" s="14" t="s">
        <v>2997</v>
      </c>
      <c r="B90" s="24" t="s">
        <v>2508</v>
      </c>
      <c r="C90" s="14" t="s">
        <v>2524</v>
      </c>
      <c r="D90" s="14" t="s">
        <v>2911</v>
      </c>
      <c r="E90" s="14" t="s">
        <v>2998</v>
      </c>
      <c r="F90" s="13">
        <v>143.41999999999999</v>
      </c>
      <c r="G90" s="14" t="s">
        <v>2999</v>
      </c>
      <c r="H90" s="13" t="s">
        <v>2973</v>
      </c>
      <c r="I90" s="14" t="s">
        <v>2998</v>
      </c>
      <c r="J90" s="14" t="s">
        <v>3063</v>
      </c>
      <c r="K90" s="478">
        <v>0.08</v>
      </c>
      <c r="L90" s="220">
        <v>11.52</v>
      </c>
      <c r="M90" s="473" t="s">
        <v>3064</v>
      </c>
      <c r="N90" s="479" t="s">
        <v>2937</v>
      </c>
      <c r="O90" s="480" t="s">
        <v>2976</v>
      </c>
      <c r="P90" s="14" t="s">
        <v>421</v>
      </c>
      <c r="Q90" s="14" t="s">
        <v>2952</v>
      </c>
      <c r="R90" s="14">
        <v>1</v>
      </c>
      <c r="S90" s="14">
        <f t="shared" si="34"/>
        <v>0.1152</v>
      </c>
      <c r="T90" s="220">
        <f>SUM(R76:R94)</f>
        <v>134.25</v>
      </c>
      <c r="U90" s="14">
        <f t="shared" si="76"/>
        <v>0.74487895716945995</v>
      </c>
      <c r="V90" s="220">
        <f>U90*100/SUM(U77:U78,U80:U94)</f>
        <v>0.83857442348008371</v>
      </c>
      <c r="W90" s="14" t="s">
        <v>421</v>
      </c>
      <c r="X90" s="500">
        <f t="shared" si="9"/>
        <v>6.7085953878406698E-2</v>
      </c>
      <c r="Y90" s="220" t="s">
        <v>1624</v>
      </c>
      <c r="Z90" s="220" t="s">
        <v>1666</v>
      </c>
      <c r="AA90" s="792" t="str">
        <f t="shared" si="95"/>
        <v>*</v>
      </c>
      <c r="AB90" s="458" t="str">
        <f t="shared" ref="AB90:AH90" si="98">AA90</f>
        <v>*</v>
      </c>
      <c r="AC90" s="497" t="str">
        <f t="shared" si="98"/>
        <v>*</v>
      </c>
      <c r="AD90" s="497" t="str">
        <f t="shared" si="98"/>
        <v>*</v>
      </c>
      <c r="AE90" s="454" t="str">
        <f t="shared" si="98"/>
        <v>*</v>
      </c>
      <c r="AF90" s="454" t="str">
        <f t="shared" si="98"/>
        <v>*</v>
      </c>
      <c r="AG90" s="454" t="str">
        <f t="shared" si="98"/>
        <v>*</v>
      </c>
      <c r="AH90" s="454" t="str">
        <f t="shared" si="98"/>
        <v>*</v>
      </c>
    </row>
    <row r="91" spans="1:34" ht="14.25">
      <c r="A91" s="14" t="s">
        <v>2997</v>
      </c>
      <c r="B91" s="24" t="s">
        <v>2508</v>
      </c>
      <c r="C91" s="14" t="s">
        <v>2524</v>
      </c>
      <c r="D91" s="14" t="s">
        <v>2911</v>
      </c>
      <c r="E91" s="14" t="s">
        <v>2998</v>
      </c>
      <c r="F91" s="13">
        <v>143.41999999999999</v>
      </c>
      <c r="G91" s="14" t="s">
        <v>2999</v>
      </c>
      <c r="H91" s="13" t="s">
        <v>2973</v>
      </c>
      <c r="I91" s="14" t="s">
        <v>2998</v>
      </c>
      <c r="J91" s="14" t="s">
        <v>3063</v>
      </c>
      <c r="K91" s="478">
        <v>0.08</v>
      </c>
      <c r="L91" s="220">
        <v>11.52</v>
      </c>
      <c r="M91" s="473" t="s">
        <v>3064</v>
      </c>
      <c r="N91" s="479" t="s">
        <v>2937</v>
      </c>
      <c r="O91" s="480" t="s">
        <v>2976</v>
      </c>
      <c r="P91" s="14" t="s">
        <v>2776</v>
      </c>
      <c r="Q91" s="14" t="s">
        <v>3070</v>
      </c>
      <c r="R91" s="14">
        <v>1.5</v>
      </c>
      <c r="S91" s="14">
        <f t="shared" si="34"/>
        <v>0.17279999999999998</v>
      </c>
      <c r="T91" s="220">
        <f>SUM(R76:R94)</f>
        <v>134.25</v>
      </c>
      <c r="U91" s="14">
        <f t="shared" si="76"/>
        <v>1.1173184357541899</v>
      </c>
      <c r="V91" s="220">
        <f>U91*100/SUM(U77:U78,U80:U94)</f>
        <v>1.2578616352201255</v>
      </c>
      <c r="W91" s="14" t="s">
        <v>2776</v>
      </c>
      <c r="X91" s="500">
        <f t="shared" si="9"/>
        <v>0.10062893081761004</v>
      </c>
      <c r="Y91" s="220" t="s">
        <v>1666</v>
      </c>
      <c r="Z91" s="220" t="str">
        <f t="shared" ref="Z91:AH91" si="99">Y91</f>
        <v>*</v>
      </c>
      <c r="AA91" s="792" t="str">
        <f t="shared" si="99"/>
        <v>*</v>
      </c>
      <c r="AB91" s="458" t="str">
        <f t="shared" si="99"/>
        <v>*</v>
      </c>
      <c r="AC91" s="497" t="str">
        <f t="shared" si="99"/>
        <v>*</v>
      </c>
      <c r="AD91" s="497" t="str">
        <f t="shared" si="99"/>
        <v>*</v>
      </c>
      <c r="AE91" s="454" t="str">
        <f t="shared" si="99"/>
        <v>*</v>
      </c>
      <c r="AF91" s="454" t="str">
        <f t="shared" si="99"/>
        <v>*</v>
      </c>
      <c r="AG91" s="454" t="str">
        <f t="shared" si="99"/>
        <v>*</v>
      </c>
      <c r="AH91" s="454" t="str">
        <f t="shared" si="99"/>
        <v>*</v>
      </c>
    </row>
    <row r="92" spans="1:34" ht="14.25">
      <c r="A92" s="14" t="s">
        <v>2997</v>
      </c>
      <c r="B92" s="24" t="s">
        <v>2508</v>
      </c>
      <c r="C92" s="14" t="s">
        <v>2524</v>
      </c>
      <c r="D92" s="14" t="s">
        <v>2911</v>
      </c>
      <c r="E92" s="14" t="s">
        <v>2998</v>
      </c>
      <c r="F92" s="13">
        <v>143.41999999999999</v>
      </c>
      <c r="G92" s="14" t="s">
        <v>2999</v>
      </c>
      <c r="H92" s="13" t="s">
        <v>2973</v>
      </c>
      <c r="I92" s="14" t="s">
        <v>2998</v>
      </c>
      <c r="J92" s="14" t="s">
        <v>3063</v>
      </c>
      <c r="K92" s="478">
        <v>0.08</v>
      </c>
      <c r="L92" s="220">
        <v>11.52</v>
      </c>
      <c r="M92" s="473" t="s">
        <v>3064</v>
      </c>
      <c r="N92" s="479" t="s">
        <v>2937</v>
      </c>
      <c r="O92" s="480" t="s">
        <v>2976</v>
      </c>
      <c r="P92" s="14" t="s">
        <v>83</v>
      </c>
      <c r="Q92" s="14" t="s">
        <v>83</v>
      </c>
      <c r="R92" s="14">
        <v>1</v>
      </c>
      <c r="S92" s="14">
        <f t="shared" si="34"/>
        <v>0.1152</v>
      </c>
      <c r="T92" s="220">
        <f>SUM(R76:R94)</f>
        <v>134.25</v>
      </c>
      <c r="U92" s="14">
        <f t="shared" si="76"/>
        <v>0.74487895716945995</v>
      </c>
      <c r="V92" s="220">
        <f>U92*100/SUM(U77:U78,U80:U94)</f>
        <v>0.83857442348008371</v>
      </c>
      <c r="W92" s="14" t="s">
        <v>83</v>
      </c>
      <c r="X92" s="500">
        <f t="shared" si="9"/>
        <v>6.7085953878406698E-2</v>
      </c>
      <c r="Y92" s="504">
        <f t="shared" ref="Y92:AA92" si="100">X92</f>
        <v>6.7085953878406698E-2</v>
      </c>
      <c r="Z92" s="501">
        <f t="shared" si="100"/>
        <v>6.7085953878406698E-2</v>
      </c>
      <c r="AA92" s="792">
        <f t="shared" si="100"/>
        <v>6.7085953878406698E-2</v>
      </c>
      <c r="AB92" s="458" t="s">
        <v>83</v>
      </c>
      <c r="AC92" s="14" t="s">
        <v>83</v>
      </c>
      <c r="AD92" s="14" t="s">
        <v>2951</v>
      </c>
      <c r="AE92" s="12">
        <v>0</v>
      </c>
      <c r="AF92" s="12">
        <v>0</v>
      </c>
      <c r="AG92" s="12">
        <v>0</v>
      </c>
      <c r="AH92" s="12">
        <v>0</v>
      </c>
    </row>
    <row r="93" spans="1:34" ht="14.25">
      <c r="A93" s="14" t="s">
        <v>2997</v>
      </c>
      <c r="B93" s="24" t="s">
        <v>2508</v>
      </c>
      <c r="C93" s="14" t="s">
        <v>2524</v>
      </c>
      <c r="D93" s="14" t="s">
        <v>2911</v>
      </c>
      <c r="E93" s="14" t="s">
        <v>2998</v>
      </c>
      <c r="F93" s="13">
        <v>143.41999999999999</v>
      </c>
      <c r="G93" s="14" t="s">
        <v>2999</v>
      </c>
      <c r="H93" s="13" t="s">
        <v>2973</v>
      </c>
      <c r="I93" s="14" t="s">
        <v>2998</v>
      </c>
      <c r="J93" s="14" t="s">
        <v>3063</v>
      </c>
      <c r="K93" s="478">
        <v>0.08</v>
      </c>
      <c r="L93" s="220">
        <v>11.52</v>
      </c>
      <c r="M93" s="473" t="s">
        <v>3064</v>
      </c>
      <c r="N93" s="479" t="s">
        <v>2937</v>
      </c>
      <c r="O93" s="480" t="s">
        <v>2976</v>
      </c>
      <c r="P93" s="14" t="s">
        <v>3041</v>
      </c>
      <c r="Q93" s="486" t="s">
        <v>3071</v>
      </c>
      <c r="R93" s="14">
        <v>0.25</v>
      </c>
      <c r="S93" s="14">
        <f t="shared" si="34"/>
        <v>2.8799999999999999E-2</v>
      </c>
      <c r="T93" s="220">
        <f>SUM(R76:R94)</f>
        <v>134.25</v>
      </c>
      <c r="U93" s="14">
        <f t="shared" si="76"/>
        <v>0.18621973929236499</v>
      </c>
      <c r="V93" s="220">
        <f>U93*100/SUM(U77:U78,U80:U94)</f>
        <v>0.20964360587002093</v>
      </c>
      <c r="W93" s="17" t="s">
        <v>81</v>
      </c>
      <c r="X93" s="500">
        <f t="shared" si="9"/>
        <v>1.6771488469601675E-2</v>
      </c>
      <c r="Y93" s="220" t="s">
        <v>1624</v>
      </c>
      <c r="Z93" s="220" t="s">
        <v>1666</v>
      </c>
      <c r="AA93" s="792" t="str">
        <f t="shared" ref="AA93:AH93" si="101">Z93</f>
        <v>*</v>
      </c>
      <c r="AB93" s="458" t="str">
        <f t="shared" si="101"/>
        <v>*</v>
      </c>
      <c r="AC93" s="497" t="str">
        <f t="shared" si="101"/>
        <v>*</v>
      </c>
      <c r="AD93" s="497" t="str">
        <f t="shared" si="101"/>
        <v>*</v>
      </c>
      <c r="AE93" s="454" t="str">
        <f t="shared" si="101"/>
        <v>*</v>
      </c>
      <c r="AF93" s="454" t="str">
        <f t="shared" si="101"/>
        <v>*</v>
      </c>
      <c r="AG93" s="454" t="str">
        <f t="shared" si="101"/>
        <v>*</v>
      </c>
      <c r="AH93" s="454" t="str">
        <f t="shared" si="101"/>
        <v>*</v>
      </c>
    </row>
    <row r="94" spans="1:34" ht="14.25">
      <c r="A94" s="14" t="s">
        <v>2997</v>
      </c>
      <c r="B94" s="24" t="s">
        <v>2508</v>
      </c>
      <c r="C94" s="14" t="s">
        <v>2524</v>
      </c>
      <c r="D94" s="14" t="s">
        <v>2911</v>
      </c>
      <c r="E94" s="14" t="s">
        <v>2998</v>
      </c>
      <c r="F94" s="13">
        <v>143.41999999999999</v>
      </c>
      <c r="G94" s="14" t="s">
        <v>2999</v>
      </c>
      <c r="H94" s="13" t="s">
        <v>2973</v>
      </c>
      <c r="I94" s="135" t="s">
        <v>2998</v>
      </c>
      <c r="J94" s="135" t="s">
        <v>3063</v>
      </c>
      <c r="K94" s="475">
        <v>0.08</v>
      </c>
      <c r="L94" s="476">
        <v>11.52</v>
      </c>
      <c r="M94" s="492" t="s">
        <v>3064</v>
      </c>
      <c r="N94" s="493" t="s">
        <v>2937</v>
      </c>
      <c r="O94" s="494" t="s">
        <v>2976</v>
      </c>
      <c r="P94" s="135" t="s">
        <v>3072</v>
      </c>
      <c r="Q94" s="135" t="s">
        <v>3073</v>
      </c>
      <c r="R94" s="135">
        <v>0.25</v>
      </c>
      <c r="S94" s="135">
        <f t="shared" si="34"/>
        <v>2.8799999999999999E-2</v>
      </c>
      <c r="T94" s="853">
        <f>SUM(R76:R94)</f>
        <v>134.25</v>
      </c>
      <c r="U94" s="135">
        <f t="shared" si="76"/>
        <v>0.18621973929236499</v>
      </c>
      <c r="V94" s="476">
        <f>U94*100/SUM(U77:U78,U80:U94)</f>
        <v>0.20964360587002093</v>
      </c>
      <c r="W94" s="135" t="s">
        <v>343</v>
      </c>
      <c r="X94" s="500">
        <f t="shared" si="9"/>
        <v>1.6771488469601675E-2</v>
      </c>
      <c r="Y94" s="220" t="s">
        <v>1624</v>
      </c>
      <c r="Z94" s="501">
        <f>X94</f>
        <v>1.6771488469601675E-2</v>
      </c>
      <c r="AA94" s="792">
        <f>Z94</f>
        <v>1.6771488469601675E-2</v>
      </c>
      <c r="AB94" s="458" t="s">
        <v>343</v>
      </c>
      <c r="AC94" s="13" t="s">
        <v>2982</v>
      </c>
      <c r="AD94" s="13" t="s">
        <v>2983</v>
      </c>
      <c r="AE94" s="12">
        <v>2.9691872042618299E-2</v>
      </c>
      <c r="AF94" s="12">
        <v>7.5368545517799299E-2</v>
      </c>
      <c r="AG94" s="12">
        <v>2.9014018691588786E-4</v>
      </c>
      <c r="AH94" s="12">
        <v>1.4770983615231311E-3</v>
      </c>
    </row>
    <row r="95" spans="1:34" ht="12.75">
      <c r="A95" s="14" t="s">
        <v>2997</v>
      </c>
      <c r="B95" s="24" t="s">
        <v>2508</v>
      </c>
      <c r="C95" s="14" t="s">
        <v>2524</v>
      </c>
      <c r="D95" s="14" t="s">
        <v>2911</v>
      </c>
      <c r="E95" s="14" t="s">
        <v>2998</v>
      </c>
      <c r="F95" s="13">
        <v>143.41999999999999</v>
      </c>
      <c r="G95" s="14" t="s">
        <v>2999</v>
      </c>
      <c r="H95" s="13" t="s">
        <v>2973</v>
      </c>
      <c r="I95" s="655" t="s">
        <v>3074</v>
      </c>
      <c r="J95" s="14" t="s">
        <v>3075</v>
      </c>
      <c r="K95" s="478">
        <v>0.22</v>
      </c>
      <c r="L95" s="220">
        <v>33.44</v>
      </c>
      <c r="M95" s="473" t="s">
        <v>3076</v>
      </c>
      <c r="N95" s="473"/>
      <c r="O95" s="480"/>
      <c r="P95" s="14" t="s">
        <v>2928</v>
      </c>
      <c r="Q95" s="14" t="s">
        <v>3061</v>
      </c>
      <c r="R95" s="14">
        <v>44</v>
      </c>
      <c r="S95" s="14">
        <f t="shared" si="34"/>
        <v>14.7136</v>
      </c>
      <c r="T95" s="220">
        <f>SUM(R95:R105)</f>
        <v>119.5</v>
      </c>
      <c r="U95" s="14">
        <f t="shared" si="76"/>
        <v>36.820083682008367</v>
      </c>
      <c r="V95" s="220">
        <f t="shared" ref="V95:V106" si="102">U95</f>
        <v>36.820083682008367</v>
      </c>
      <c r="W95" s="14" t="s">
        <v>876</v>
      </c>
      <c r="X95" s="500">
        <f t="shared" si="9"/>
        <v>8.1004184100418399</v>
      </c>
      <c r="Y95" s="220" t="s">
        <v>1666</v>
      </c>
      <c r="Z95" s="220" t="str">
        <f t="shared" ref="Z95:AH95" si="103">Y95</f>
        <v>*</v>
      </c>
      <c r="AA95" s="792" t="str">
        <f t="shared" si="103"/>
        <v>*</v>
      </c>
      <c r="AB95" s="458" t="str">
        <f t="shared" si="103"/>
        <v>*</v>
      </c>
      <c r="AC95" s="497" t="str">
        <f t="shared" si="103"/>
        <v>*</v>
      </c>
      <c r="AD95" s="497" t="str">
        <f t="shared" si="103"/>
        <v>*</v>
      </c>
      <c r="AE95" s="454" t="str">
        <f t="shared" si="103"/>
        <v>*</v>
      </c>
      <c r="AF95" s="454" t="str">
        <f t="shared" si="103"/>
        <v>*</v>
      </c>
      <c r="AG95" s="454" t="str">
        <f t="shared" si="103"/>
        <v>*</v>
      </c>
      <c r="AH95" s="454" t="str">
        <f t="shared" si="103"/>
        <v>*</v>
      </c>
    </row>
    <row r="96" spans="1:34" ht="12.75">
      <c r="A96" s="14" t="s">
        <v>2997</v>
      </c>
      <c r="B96" s="24" t="s">
        <v>2508</v>
      </c>
      <c r="C96" s="14" t="s">
        <v>2524</v>
      </c>
      <c r="D96" s="14" t="s">
        <v>2911</v>
      </c>
      <c r="E96" s="14" t="s">
        <v>2998</v>
      </c>
      <c r="F96" s="13">
        <v>143.41999999999999</v>
      </c>
      <c r="G96" s="14" t="s">
        <v>2999</v>
      </c>
      <c r="H96" s="13" t="s">
        <v>2973</v>
      </c>
      <c r="I96" s="655" t="s">
        <v>3074</v>
      </c>
      <c r="J96" s="14" t="s">
        <v>3075</v>
      </c>
      <c r="K96" s="478">
        <v>0.22</v>
      </c>
      <c r="L96" s="220">
        <v>33.44</v>
      </c>
      <c r="M96" s="473" t="s">
        <v>3076</v>
      </c>
      <c r="N96" s="473"/>
      <c r="O96" s="480"/>
      <c r="P96" s="14" t="s">
        <v>2912</v>
      </c>
      <c r="Q96" s="14" t="s">
        <v>2915</v>
      </c>
      <c r="R96" s="14">
        <v>44</v>
      </c>
      <c r="S96" s="14">
        <f t="shared" si="34"/>
        <v>14.7136</v>
      </c>
      <c r="T96" s="220">
        <f>SUM(R95:R105)</f>
        <v>119.5</v>
      </c>
      <c r="U96" s="14">
        <f t="shared" si="76"/>
        <v>36.820083682008367</v>
      </c>
      <c r="V96" s="220">
        <f t="shared" si="102"/>
        <v>36.820083682008367</v>
      </c>
      <c r="W96" s="14" t="s">
        <v>124</v>
      </c>
      <c r="X96" s="500">
        <f t="shared" si="9"/>
        <v>8.1004184100418399</v>
      </c>
      <c r="Y96" s="220" t="s">
        <v>1666</v>
      </c>
      <c r="Z96" s="220" t="str">
        <f t="shared" ref="Z96:AH96" si="104">Y96</f>
        <v>*</v>
      </c>
      <c r="AA96" s="792" t="str">
        <f t="shared" si="104"/>
        <v>*</v>
      </c>
      <c r="AB96" s="458" t="str">
        <f t="shared" si="104"/>
        <v>*</v>
      </c>
      <c r="AC96" s="497" t="str">
        <f t="shared" si="104"/>
        <v>*</v>
      </c>
      <c r="AD96" s="497" t="str">
        <f t="shared" si="104"/>
        <v>*</v>
      </c>
      <c r="AE96" s="454" t="str">
        <f t="shared" si="104"/>
        <v>*</v>
      </c>
      <c r="AF96" s="454" t="str">
        <f t="shared" si="104"/>
        <v>*</v>
      </c>
      <c r="AG96" s="454" t="str">
        <f t="shared" si="104"/>
        <v>*</v>
      </c>
      <c r="AH96" s="454" t="str">
        <f t="shared" si="104"/>
        <v>*</v>
      </c>
    </row>
    <row r="97" spans="1:34" ht="12.75">
      <c r="A97" s="14" t="s">
        <v>2997</v>
      </c>
      <c r="B97" s="24" t="s">
        <v>2508</v>
      </c>
      <c r="C97" s="14" t="s">
        <v>2524</v>
      </c>
      <c r="D97" s="14" t="s">
        <v>2911</v>
      </c>
      <c r="E97" s="14" t="s">
        <v>2998</v>
      </c>
      <c r="F97" s="13">
        <v>143.41999999999999</v>
      </c>
      <c r="G97" s="14" t="s">
        <v>2999</v>
      </c>
      <c r="H97" s="13" t="s">
        <v>2973</v>
      </c>
      <c r="I97" s="655" t="s">
        <v>3074</v>
      </c>
      <c r="J97" s="14" t="s">
        <v>3075</v>
      </c>
      <c r="K97" s="478">
        <v>0.22</v>
      </c>
      <c r="L97" s="220">
        <v>33.44</v>
      </c>
      <c r="M97" s="473" t="s">
        <v>3076</v>
      </c>
      <c r="N97" s="473"/>
      <c r="O97" s="480"/>
      <c r="P97" s="14" t="s">
        <v>2776</v>
      </c>
      <c r="Q97" s="14" t="s">
        <v>3040</v>
      </c>
      <c r="R97" s="14">
        <v>14.5</v>
      </c>
      <c r="S97" s="14">
        <f t="shared" si="34"/>
        <v>4.8487999999999998</v>
      </c>
      <c r="T97" s="220">
        <f>SUM(R95:R105)</f>
        <v>119.5</v>
      </c>
      <c r="U97" s="14">
        <f t="shared" si="76"/>
        <v>12.133891213389122</v>
      </c>
      <c r="V97" s="220">
        <f t="shared" si="102"/>
        <v>12.133891213389122</v>
      </c>
      <c r="W97" s="14" t="s">
        <v>2776</v>
      </c>
      <c r="X97" s="500">
        <f t="shared" si="9"/>
        <v>2.6694560669456067</v>
      </c>
      <c r="Y97" s="220" t="s">
        <v>1666</v>
      </c>
      <c r="Z97" s="220" t="str">
        <f t="shared" ref="Z97:AH97" si="105">Y97</f>
        <v>*</v>
      </c>
      <c r="AA97" s="792" t="str">
        <f t="shared" si="105"/>
        <v>*</v>
      </c>
      <c r="AB97" s="458" t="str">
        <f t="shared" si="105"/>
        <v>*</v>
      </c>
      <c r="AC97" s="497" t="str">
        <f t="shared" si="105"/>
        <v>*</v>
      </c>
      <c r="AD97" s="497" t="str">
        <f t="shared" si="105"/>
        <v>*</v>
      </c>
      <c r="AE97" s="454" t="str">
        <f t="shared" si="105"/>
        <v>*</v>
      </c>
      <c r="AF97" s="454" t="str">
        <f t="shared" si="105"/>
        <v>*</v>
      </c>
      <c r="AG97" s="454" t="str">
        <f t="shared" si="105"/>
        <v>*</v>
      </c>
      <c r="AH97" s="454" t="str">
        <f t="shared" si="105"/>
        <v>*</v>
      </c>
    </row>
    <row r="98" spans="1:34" ht="12.75">
      <c r="A98" s="14" t="s">
        <v>2997</v>
      </c>
      <c r="B98" s="24" t="s">
        <v>2508</v>
      </c>
      <c r="C98" s="14" t="s">
        <v>2524</v>
      </c>
      <c r="D98" s="14" t="s">
        <v>2911</v>
      </c>
      <c r="E98" s="14" t="s">
        <v>2998</v>
      </c>
      <c r="F98" s="13">
        <v>143.41999999999999</v>
      </c>
      <c r="G98" s="14" t="s">
        <v>2999</v>
      </c>
      <c r="H98" s="13" t="s">
        <v>2973</v>
      </c>
      <c r="I98" s="655" t="s">
        <v>3074</v>
      </c>
      <c r="J98" s="14" t="s">
        <v>3075</v>
      </c>
      <c r="K98" s="478">
        <v>0.22</v>
      </c>
      <c r="L98" s="220">
        <v>33.44</v>
      </c>
      <c r="M98" s="473" t="s">
        <v>3076</v>
      </c>
      <c r="N98" s="473"/>
      <c r="O98" s="480"/>
      <c r="P98" s="14" t="s">
        <v>2945</v>
      </c>
      <c r="Q98" s="14" t="s">
        <v>2946</v>
      </c>
      <c r="R98" s="14">
        <v>7</v>
      </c>
      <c r="S98" s="14">
        <f t="shared" si="34"/>
        <v>2.3408000000000002</v>
      </c>
      <c r="T98" s="220">
        <f>SUM(R95:R105)</f>
        <v>119.5</v>
      </c>
      <c r="U98" s="14">
        <f t="shared" si="76"/>
        <v>5.8577405857740583</v>
      </c>
      <c r="V98" s="220">
        <f t="shared" si="102"/>
        <v>5.8577405857740583</v>
      </c>
      <c r="W98" s="14" t="s">
        <v>433</v>
      </c>
      <c r="X98" s="500">
        <f t="shared" si="9"/>
        <v>1.2887029288702929</v>
      </c>
      <c r="Y98" s="220" t="s">
        <v>1666</v>
      </c>
      <c r="Z98" s="220" t="str">
        <f t="shared" ref="Z98:AH98" si="106">Y98</f>
        <v>*</v>
      </c>
      <c r="AA98" s="792" t="str">
        <f t="shared" si="106"/>
        <v>*</v>
      </c>
      <c r="AB98" s="458" t="str">
        <f t="shared" si="106"/>
        <v>*</v>
      </c>
      <c r="AC98" s="497" t="str">
        <f t="shared" si="106"/>
        <v>*</v>
      </c>
      <c r="AD98" s="497" t="str">
        <f t="shared" si="106"/>
        <v>*</v>
      </c>
      <c r="AE98" s="454" t="str">
        <f t="shared" si="106"/>
        <v>*</v>
      </c>
      <c r="AF98" s="454" t="str">
        <f t="shared" si="106"/>
        <v>*</v>
      </c>
      <c r="AG98" s="454" t="str">
        <f t="shared" si="106"/>
        <v>*</v>
      </c>
      <c r="AH98" s="454" t="str">
        <f t="shared" si="106"/>
        <v>*</v>
      </c>
    </row>
    <row r="99" spans="1:34" ht="12.75">
      <c r="A99" s="14" t="s">
        <v>2997</v>
      </c>
      <c r="B99" s="24" t="s">
        <v>2508</v>
      </c>
      <c r="C99" s="14" t="s">
        <v>2524</v>
      </c>
      <c r="D99" s="14" t="s">
        <v>2911</v>
      </c>
      <c r="E99" s="14" t="s">
        <v>2998</v>
      </c>
      <c r="F99" s="13">
        <v>143.41999999999999</v>
      </c>
      <c r="G99" s="14" t="s">
        <v>2999</v>
      </c>
      <c r="H99" s="13" t="s">
        <v>2973</v>
      </c>
      <c r="I99" s="655" t="s">
        <v>3074</v>
      </c>
      <c r="J99" s="14" t="s">
        <v>3075</v>
      </c>
      <c r="K99" s="478">
        <v>0.22</v>
      </c>
      <c r="L99" s="220">
        <v>33.44</v>
      </c>
      <c r="M99" s="473" t="s">
        <v>3076</v>
      </c>
      <c r="N99" s="473"/>
      <c r="O99" s="480"/>
      <c r="P99" s="14" t="s">
        <v>2962</v>
      </c>
      <c r="Q99" s="435" t="s">
        <v>2963</v>
      </c>
      <c r="R99" s="14">
        <v>1.75</v>
      </c>
      <c r="S99" s="14">
        <f t="shared" si="34"/>
        <v>0.58520000000000005</v>
      </c>
      <c r="T99" s="220">
        <f>SUM(R95:R105)</f>
        <v>119.5</v>
      </c>
      <c r="U99" s="14">
        <f t="shared" si="76"/>
        <v>1.4644351464435146</v>
      </c>
      <c r="V99" s="220">
        <f t="shared" si="102"/>
        <v>1.4644351464435146</v>
      </c>
      <c r="W99" s="17" t="s">
        <v>425</v>
      </c>
      <c r="X99" s="500">
        <f t="shared" si="9"/>
        <v>0.32217573221757323</v>
      </c>
      <c r="Y99" s="220" t="s">
        <v>1666</v>
      </c>
      <c r="Z99" s="220" t="str">
        <f t="shared" ref="Z99:AH99" si="107">Y99</f>
        <v>*</v>
      </c>
      <c r="AA99" s="792" t="str">
        <f t="shared" si="107"/>
        <v>*</v>
      </c>
      <c r="AB99" s="458" t="str">
        <f t="shared" si="107"/>
        <v>*</v>
      </c>
      <c r="AC99" s="497" t="str">
        <f t="shared" si="107"/>
        <v>*</v>
      </c>
      <c r="AD99" s="497" t="str">
        <f t="shared" si="107"/>
        <v>*</v>
      </c>
      <c r="AE99" s="454" t="str">
        <f t="shared" si="107"/>
        <v>*</v>
      </c>
      <c r="AF99" s="454" t="str">
        <f t="shared" si="107"/>
        <v>*</v>
      </c>
      <c r="AG99" s="454" t="str">
        <f t="shared" si="107"/>
        <v>*</v>
      </c>
      <c r="AH99" s="454" t="str">
        <f t="shared" si="107"/>
        <v>*</v>
      </c>
    </row>
    <row r="100" spans="1:34" ht="12.75">
      <c r="A100" s="14" t="s">
        <v>2997</v>
      </c>
      <c r="B100" s="24" t="s">
        <v>2508</v>
      </c>
      <c r="C100" s="14" t="s">
        <v>2524</v>
      </c>
      <c r="D100" s="14" t="s">
        <v>2911</v>
      </c>
      <c r="E100" s="14" t="s">
        <v>2998</v>
      </c>
      <c r="F100" s="13">
        <v>143.41999999999999</v>
      </c>
      <c r="G100" s="14" t="s">
        <v>2999</v>
      </c>
      <c r="H100" s="13" t="s">
        <v>2973</v>
      </c>
      <c r="I100" s="655" t="s">
        <v>3074</v>
      </c>
      <c r="J100" s="14" t="s">
        <v>3075</v>
      </c>
      <c r="K100" s="478">
        <v>0.22</v>
      </c>
      <c r="L100" s="220">
        <v>33.44</v>
      </c>
      <c r="M100" s="473" t="s">
        <v>3076</v>
      </c>
      <c r="N100" s="473"/>
      <c r="O100" s="480"/>
      <c r="P100" s="14" t="s">
        <v>3017</v>
      </c>
      <c r="Q100" s="486" t="s">
        <v>3018</v>
      </c>
      <c r="R100" s="14">
        <v>1.5</v>
      </c>
      <c r="S100" s="14">
        <f t="shared" si="34"/>
        <v>0.50159999999999993</v>
      </c>
      <c r="T100" s="220">
        <f>SUM(R95:R105)</f>
        <v>119.5</v>
      </c>
      <c r="U100" s="14">
        <f t="shared" si="76"/>
        <v>1.2552301255230125</v>
      </c>
      <c r="V100" s="220">
        <f t="shared" si="102"/>
        <v>1.2552301255230125</v>
      </c>
      <c r="W100" s="14" t="s">
        <v>146</v>
      </c>
      <c r="X100" s="500">
        <f t="shared" si="9"/>
        <v>0.27615062761506276</v>
      </c>
      <c r="Y100" s="220" t="s">
        <v>1624</v>
      </c>
      <c r="Z100" s="220" t="s">
        <v>1666</v>
      </c>
      <c r="AA100" s="792" t="str">
        <f t="shared" ref="AA100:AH100" si="108">Z100</f>
        <v>*</v>
      </c>
      <c r="AB100" s="458" t="str">
        <f t="shared" si="108"/>
        <v>*</v>
      </c>
      <c r="AC100" s="497" t="str">
        <f t="shared" si="108"/>
        <v>*</v>
      </c>
      <c r="AD100" s="497" t="str">
        <f t="shared" si="108"/>
        <v>*</v>
      </c>
      <c r="AE100" s="454" t="str">
        <f t="shared" si="108"/>
        <v>*</v>
      </c>
      <c r="AF100" s="454" t="str">
        <f t="shared" si="108"/>
        <v>*</v>
      </c>
      <c r="AG100" s="454" t="str">
        <f t="shared" si="108"/>
        <v>*</v>
      </c>
      <c r="AH100" s="454" t="str">
        <f t="shared" si="108"/>
        <v>*</v>
      </c>
    </row>
    <row r="101" spans="1:34" ht="12.75">
      <c r="A101" s="14" t="s">
        <v>2997</v>
      </c>
      <c r="B101" s="24" t="s">
        <v>2508</v>
      </c>
      <c r="C101" s="14" t="s">
        <v>2524</v>
      </c>
      <c r="D101" s="14" t="s">
        <v>2911</v>
      </c>
      <c r="E101" s="14" t="s">
        <v>2998</v>
      </c>
      <c r="F101" s="13">
        <v>143.41999999999999</v>
      </c>
      <c r="G101" s="14" t="s">
        <v>2999</v>
      </c>
      <c r="H101" s="13" t="s">
        <v>2973</v>
      </c>
      <c r="I101" s="655" t="s">
        <v>3074</v>
      </c>
      <c r="J101" s="14" t="s">
        <v>3075</v>
      </c>
      <c r="K101" s="478">
        <v>0.22</v>
      </c>
      <c r="L101" s="220">
        <v>33.44</v>
      </c>
      <c r="M101" s="473" t="s">
        <v>3076</v>
      </c>
      <c r="N101" s="473"/>
      <c r="O101" s="480"/>
      <c r="P101" s="14" t="s">
        <v>3048</v>
      </c>
      <c r="Q101" s="14" t="s">
        <v>3049</v>
      </c>
      <c r="R101" s="14">
        <v>3</v>
      </c>
      <c r="S101" s="14">
        <f t="shared" si="34"/>
        <v>1.0031999999999999</v>
      </c>
      <c r="T101" s="220">
        <f>SUM(R95:R105)</f>
        <v>119.5</v>
      </c>
      <c r="U101" s="14">
        <f t="shared" si="76"/>
        <v>2.510460251046025</v>
      </c>
      <c r="V101" s="220">
        <f t="shared" si="102"/>
        <v>2.510460251046025</v>
      </c>
      <c r="W101" s="17" t="s">
        <v>131</v>
      </c>
      <c r="X101" s="500">
        <f t="shared" si="9"/>
        <v>0.55230125523012552</v>
      </c>
      <c r="Y101" s="220" t="s">
        <v>1666</v>
      </c>
      <c r="Z101" s="220" t="str">
        <f t="shared" ref="Z101:AH101" si="109">Y101</f>
        <v>*</v>
      </c>
      <c r="AA101" s="792" t="str">
        <f t="shared" si="109"/>
        <v>*</v>
      </c>
      <c r="AB101" s="458" t="str">
        <f t="shared" si="109"/>
        <v>*</v>
      </c>
      <c r="AC101" s="497" t="str">
        <f t="shared" si="109"/>
        <v>*</v>
      </c>
      <c r="AD101" s="497" t="str">
        <f t="shared" si="109"/>
        <v>*</v>
      </c>
      <c r="AE101" s="454" t="str">
        <f t="shared" si="109"/>
        <v>*</v>
      </c>
      <c r="AF101" s="454" t="str">
        <f t="shared" si="109"/>
        <v>*</v>
      </c>
      <c r="AG101" s="454" t="str">
        <f t="shared" si="109"/>
        <v>*</v>
      </c>
      <c r="AH101" s="454" t="str">
        <f t="shared" si="109"/>
        <v>*</v>
      </c>
    </row>
    <row r="102" spans="1:34" ht="12.75">
      <c r="A102" s="14" t="s">
        <v>2997</v>
      </c>
      <c r="B102" s="24" t="s">
        <v>2508</v>
      </c>
      <c r="C102" s="14" t="s">
        <v>2524</v>
      </c>
      <c r="D102" s="14" t="s">
        <v>2911</v>
      </c>
      <c r="E102" s="14" t="s">
        <v>2998</v>
      </c>
      <c r="F102" s="13">
        <v>143.41999999999999</v>
      </c>
      <c r="G102" s="14" t="s">
        <v>2999</v>
      </c>
      <c r="H102" s="13" t="s">
        <v>2973</v>
      </c>
      <c r="I102" s="655" t="s">
        <v>3074</v>
      </c>
      <c r="J102" s="14" t="s">
        <v>3075</v>
      </c>
      <c r="K102" s="478">
        <v>0.22</v>
      </c>
      <c r="L102" s="220">
        <v>33.44</v>
      </c>
      <c r="M102" s="473" t="s">
        <v>3076</v>
      </c>
      <c r="N102" s="473"/>
      <c r="O102" s="480"/>
      <c r="P102" s="655" t="s">
        <v>3005</v>
      </c>
      <c r="Q102" s="14" t="s">
        <v>3077</v>
      </c>
      <c r="R102" s="14">
        <v>3</v>
      </c>
      <c r="S102" s="14">
        <f t="shared" si="34"/>
        <v>1.0031999999999999</v>
      </c>
      <c r="T102" s="220">
        <f>SUM(R95:R105)</f>
        <v>119.5</v>
      </c>
      <c r="U102" s="14">
        <f t="shared" si="76"/>
        <v>2.510460251046025</v>
      </c>
      <c r="V102" s="220">
        <f t="shared" si="102"/>
        <v>2.510460251046025</v>
      </c>
      <c r="W102" s="14" t="s">
        <v>2779</v>
      </c>
      <c r="X102" s="500">
        <f t="shared" si="9"/>
        <v>0.55230125523012552</v>
      </c>
      <c r="Y102" s="220" t="s">
        <v>1624</v>
      </c>
      <c r="Z102" s="220" t="s">
        <v>1666</v>
      </c>
      <c r="AA102" s="792" t="str">
        <f t="shared" ref="AA102:AH102" si="110">Z102</f>
        <v>*</v>
      </c>
      <c r="AB102" s="458" t="str">
        <f t="shared" si="110"/>
        <v>*</v>
      </c>
      <c r="AC102" s="497" t="str">
        <f t="shared" si="110"/>
        <v>*</v>
      </c>
      <c r="AD102" s="497" t="str">
        <f t="shared" si="110"/>
        <v>*</v>
      </c>
      <c r="AE102" s="454" t="str">
        <f t="shared" si="110"/>
        <v>*</v>
      </c>
      <c r="AF102" s="454" t="str">
        <f t="shared" si="110"/>
        <v>*</v>
      </c>
      <c r="AG102" s="454" t="str">
        <f t="shared" si="110"/>
        <v>*</v>
      </c>
      <c r="AH102" s="454" t="str">
        <f t="shared" si="110"/>
        <v>*</v>
      </c>
    </row>
    <row r="103" spans="1:34" ht="12.75">
      <c r="A103" s="14" t="s">
        <v>2997</v>
      </c>
      <c r="B103" s="24" t="s">
        <v>2508</v>
      </c>
      <c r="C103" s="14" t="s">
        <v>2524</v>
      </c>
      <c r="D103" s="14" t="s">
        <v>2911</v>
      </c>
      <c r="E103" s="14" t="s">
        <v>2998</v>
      </c>
      <c r="F103" s="13">
        <v>143.41999999999999</v>
      </c>
      <c r="G103" s="14" t="s">
        <v>2999</v>
      </c>
      <c r="H103" s="13" t="s">
        <v>2973</v>
      </c>
      <c r="I103" s="655" t="s">
        <v>3074</v>
      </c>
      <c r="J103" s="14" t="s">
        <v>3075</v>
      </c>
      <c r="K103" s="478">
        <v>0.22</v>
      </c>
      <c r="L103" s="220">
        <v>33.44</v>
      </c>
      <c r="M103" s="473" t="s">
        <v>3076</v>
      </c>
      <c r="N103" s="473"/>
      <c r="O103" s="480"/>
      <c r="P103" s="14" t="s">
        <v>3041</v>
      </c>
      <c r="Q103" s="486" t="s">
        <v>3078</v>
      </c>
      <c r="R103" s="14">
        <v>0.25</v>
      </c>
      <c r="S103" s="14">
        <f t="shared" si="34"/>
        <v>8.3599999999999994E-2</v>
      </c>
      <c r="T103" s="220">
        <f>SUM(R95:R105)</f>
        <v>119.5</v>
      </c>
      <c r="U103" s="14">
        <f t="shared" si="76"/>
        <v>0.20920502092050208</v>
      </c>
      <c r="V103" s="220">
        <f t="shared" si="102"/>
        <v>0.20920502092050208</v>
      </c>
      <c r="W103" s="17" t="s">
        <v>81</v>
      </c>
      <c r="X103" s="500">
        <f t="shared" si="9"/>
        <v>4.6025104602510455E-2</v>
      </c>
      <c r="Y103" s="220" t="s">
        <v>1624</v>
      </c>
      <c r="Z103" s="220" t="s">
        <v>1666</v>
      </c>
      <c r="AA103" s="792" t="str">
        <f t="shared" ref="AA103:AH103" si="111">Z103</f>
        <v>*</v>
      </c>
      <c r="AB103" s="458" t="str">
        <f t="shared" si="111"/>
        <v>*</v>
      </c>
      <c r="AC103" s="497" t="str">
        <f t="shared" si="111"/>
        <v>*</v>
      </c>
      <c r="AD103" s="497" t="str">
        <f t="shared" si="111"/>
        <v>*</v>
      </c>
      <c r="AE103" s="454" t="str">
        <f t="shared" si="111"/>
        <v>*</v>
      </c>
      <c r="AF103" s="454" t="str">
        <f t="shared" si="111"/>
        <v>*</v>
      </c>
      <c r="AG103" s="454" t="str">
        <f t="shared" si="111"/>
        <v>*</v>
      </c>
      <c r="AH103" s="454" t="str">
        <f t="shared" si="111"/>
        <v>*</v>
      </c>
    </row>
    <row r="104" spans="1:34" ht="12.75">
      <c r="A104" s="14" t="s">
        <v>2997</v>
      </c>
      <c r="B104" s="24" t="s">
        <v>2508</v>
      </c>
      <c r="C104" s="14" t="s">
        <v>2524</v>
      </c>
      <c r="D104" s="14" t="s">
        <v>2911</v>
      </c>
      <c r="E104" s="14" t="s">
        <v>2998</v>
      </c>
      <c r="F104" s="13">
        <v>143.41999999999999</v>
      </c>
      <c r="G104" s="14" t="s">
        <v>2999</v>
      </c>
      <c r="H104" s="13" t="s">
        <v>2973</v>
      </c>
      <c r="I104" s="655" t="s">
        <v>3074</v>
      </c>
      <c r="J104" s="14" t="s">
        <v>3075</v>
      </c>
      <c r="K104" s="478">
        <v>0.22</v>
      </c>
      <c r="L104" s="220">
        <v>33.44</v>
      </c>
      <c r="M104" s="473" t="s">
        <v>3076</v>
      </c>
      <c r="N104" s="473"/>
      <c r="O104" s="480"/>
      <c r="P104" s="14" t="s">
        <v>2945</v>
      </c>
      <c r="Q104" s="14" t="s">
        <v>3079</v>
      </c>
      <c r="R104" s="14">
        <v>0.25</v>
      </c>
      <c r="S104" s="14">
        <f t="shared" si="34"/>
        <v>8.3599999999999994E-2</v>
      </c>
      <c r="T104" s="220">
        <f>SUM(R95:R105)</f>
        <v>119.5</v>
      </c>
      <c r="U104" s="14">
        <f t="shared" si="76"/>
        <v>0.20920502092050208</v>
      </c>
      <c r="V104" s="220">
        <f t="shared" si="102"/>
        <v>0.20920502092050208</v>
      </c>
      <c r="W104" s="17" t="s">
        <v>433</v>
      </c>
      <c r="X104" s="500">
        <f t="shared" si="9"/>
        <v>4.6025104602510455E-2</v>
      </c>
      <c r="Y104" s="220" t="s">
        <v>1666</v>
      </c>
      <c r="Z104" s="220" t="str">
        <f t="shared" ref="Z104:AH104" si="112">Y104</f>
        <v>*</v>
      </c>
      <c r="AA104" s="792" t="str">
        <f t="shared" si="112"/>
        <v>*</v>
      </c>
      <c r="AB104" s="458" t="str">
        <f t="shared" si="112"/>
        <v>*</v>
      </c>
      <c r="AC104" s="497" t="str">
        <f t="shared" si="112"/>
        <v>*</v>
      </c>
      <c r="AD104" s="497" t="str">
        <f t="shared" si="112"/>
        <v>*</v>
      </c>
      <c r="AE104" s="454" t="str">
        <f t="shared" si="112"/>
        <v>*</v>
      </c>
      <c r="AF104" s="454" t="str">
        <f t="shared" si="112"/>
        <v>*</v>
      </c>
      <c r="AG104" s="454" t="str">
        <f t="shared" si="112"/>
        <v>*</v>
      </c>
      <c r="AH104" s="454" t="str">
        <f t="shared" si="112"/>
        <v>*</v>
      </c>
    </row>
    <row r="105" spans="1:34" ht="12.75">
      <c r="A105" s="14" t="s">
        <v>2997</v>
      </c>
      <c r="B105" s="24" t="s">
        <v>2508</v>
      </c>
      <c r="C105" s="14" t="s">
        <v>2524</v>
      </c>
      <c r="D105" s="14" t="s">
        <v>2911</v>
      </c>
      <c r="E105" s="14" t="s">
        <v>2998</v>
      </c>
      <c r="F105" s="13">
        <v>143.41999999999999</v>
      </c>
      <c r="G105" s="14" t="s">
        <v>2999</v>
      </c>
      <c r="H105" s="13" t="s">
        <v>2973</v>
      </c>
      <c r="I105" s="848" t="s">
        <v>3074</v>
      </c>
      <c r="J105" s="135" t="s">
        <v>3075</v>
      </c>
      <c r="K105" s="475">
        <v>0.22</v>
      </c>
      <c r="L105" s="476">
        <v>33.44</v>
      </c>
      <c r="M105" s="492" t="s">
        <v>3076</v>
      </c>
      <c r="N105" s="492"/>
      <c r="O105" s="494"/>
      <c r="P105" s="848" t="s">
        <v>2977</v>
      </c>
      <c r="Q105" s="135" t="s">
        <v>3080</v>
      </c>
      <c r="R105" s="135">
        <v>0.25</v>
      </c>
      <c r="S105" s="135">
        <f t="shared" si="34"/>
        <v>8.3599999999999994E-2</v>
      </c>
      <c r="T105" s="853">
        <f>SUM(R95:R105)</f>
        <v>119.5</v>
      </c>
      <c r="U105" s="135">
        <f t="shared" si="76"/>
        <v>0.20920502092050208</v>
      </c>
      <c r="V105" s="476">
        <f t="shared" si="102"/>
        <v>0.20920502092050208</v>
      </c>
      <c r="W105" s="71" t="s">
        <v>227</v>
      </c>
      <c r="X105" s="500">
        <f t="shared" si="9"/>
        <v>4.6025104602510455E-2</v>
      </c>
      <c r="Y105" s="220" t="s">
        <v>1666</v>
      </c>
      <c r="Z105" s="220" t="str">
        <f t="shared" ref="Z105:AH105" si="113">Y105</f>
        <v>*</v>
      </c>
      <c r="AA105" s="792" t="str">
        <f t="shared" si="113"/>
        <v>*</v>
      </c>
      <c r="AB105" s="458" t="str">
        <f t="shared" si="113"/>
        <v>*</v>
      </c>
      <c r="AC105" s="497" t="str">
        <f t="shared" si="113"/>
        <v>*</v>
      </c>
      <c r="AD105" s="497" t="str">
        <f t="shared" si="113"/>
        <v>*</v>
      </c>
      <c r="AE105" s="454" t="str">
        <f t="shared" si="113"/>
        <v>*</v>
      </c>
      <c r="AF105" s="454" t="str">
        <f t="shared" si="113"/>
        <v>*</v>
      </c>
      <c r="AG105" s="454" t="str">
        <f t="shared" si="113"/>
        <v>*</v>
      </c>
      <c r="AH105" s="454" t="str">
        <f t="shared" si="113"/>
        <v>*</v>
      </c>
    </row>
    <row r="106" spans="1:34" ht="12.75">
      <c r="A106" s="14" t="s">
        <v>2997</v>
      </c>
      <c r="B106" s="24" t="s">
        <v>2508</v>
      </c>
      <c r="C106" s="14" t="s">
        <v>2524</v>
      </c>
      <c r="D106" s="14" t="s">
        <v>2911</v>
      </c>
      <c r="E106" s="14" t="s">
        <v>2998</v>
      </c>
      <c r="F106" s="13">
        <v>143.41999999999999</v>
      </c>
      <c r="G106" s="14" t="s">
        <v>2999</v>
      </c>
      <c r="H106" s="13" t="s">
        <v>2973</v>
      </c>
      <c r="I106" s="14" t="s">
        <v>3081</v>
      </c>
      <c r="J106" s="14" t="s">
        <v>3082</v>
      </c>
      <c r="K106" s="478">
        <v>0.16</v>
      </c>
      <c r="L106" s="220">
        <v>23.68</v>
      </c>
      <c r="M106" s="473" t="s">
        <v>3083</v>
      </c>
      <c r="N106" s="473"/>
      <c r="O106" s="480"/>
      <c r="P106" s="14" t="s">
        <v>2938</v>
      </c>
      <c r="Q106" s="435" t="s">
        <v>2939</v>
      </c>
      <c r="R106" s="14">
        <v>35</v>
      </c>
      <c r="S106" s="14">
        <f t="shared" si="34"/>
        <v>8.2880000000000003</v>
      </c>
      <c r="T106" s="487">
        <f>SUM(R106:R113)</f>
        <v>99</v>
      </c>
      <c r="U106" s="14">
        <f t="shared" si="76"/>
        <v>35.353535353535356</v>
      </c>
      <c r="V106" s="481">
        <f t="shared" si="102"/>
        <v>35.353535353535356</v>
      </c>
      <c r="W106" s="482" t="s">
        <v>72</v>
      </c>
      <c r="X106" s="502">
        <f t="shared" si="9"/>
        <v>5.6565656565656575</v>
      </c>
      <c r="Y106" s="220" t="s">
        <v>1666</v>
      </c>
      <c r="Z106" s="220" t="str">
        <f t="shared" ref="Z106:AH106" si="114">Y106</f>
        <v>*</v>
      </c>
      <c r="AA106" s="792" t="str">
        <f t="shared" si="114"/>
        <v>*</v>
      </c>
      <c r="AB106" s="458" t="str">
        <f t="shared" si="114"/>
        <v>*</v>
      </c>
      <c r="AC106" s="497" t="str">
        <f t="shared" si="114"/>
        <v>*</v>
      </c>
      <c r="AD106" s="497" t="str">
        <f t="shared" si="114"/>
        <v>*</v>
      </c>
      <c r="AE106" s="454" t="str">
        <f t="shared" si="114"/>
        <v>*</v>
      </c>
      <c r="AF106" s="454" t="str">
        <f t="shared" si="114"/>
        <v>*</v>
      </c>
      <c r="AG106" s="454" t="str">
        <f t="shared" si="114"/>
        <v>*</v>
      </c>
      <c r="AH106" s="454" t="str">
        <f t="shared" si="114"/>
        <v>*</v>
      </c>
    </row>
    <row r="107" spans="1:34" ht="12.75">
      <c r="A107" s="14" t="s">
        <v>2997</v>
      </c>
      <c r="B107" s="24" t="s">
        <v>2508</v>
      </c>
      <c r="C107" s="14" t="s">
        <v>2524</v>
      </c>
      <c r="D107" s="14" t="s">
        <v>2911</v>
      </c>
      <c r="E107" s="14" t="s">
        <v>2998</v>
      </c>
      <c r="F107" s="13">
        <v>143.41999999999999</v>
      </c>
      <c r="G107" s="14" t="s">
        <v>2999</v>
      </c>
      <c r="H107" s="13" t="s">
        <v>2973</v>
      </c>
      <c r="I107" s="14" t="s">
        <v>3081</v>
      </c>
      <c r="J107" s="14" t="s">
        <v>3082</v>
      </c>
      <c r="K107" s="478">
        <v>0.16</v>
      </c>
      <c r="L107" s="220">
        <v>23.68</v>
      </c>
      <c r="M107" s="473" t="s">
        <v>3083</v>
      </c>
      <c r="N107" s="473"/>
      <c r="O107" s="480"/>
      <c r="P107" s="14" t="s">
        <v>2945</v>
      </c>
      <c r="Q107" s="14" t="s">
        <v>2946</v>
      </c>
      <c r="R107" s="14">
        <v>25</v>
      </c>
      <c r="S107" s="14">
        <f t="shared" si="34"/>
        <v>5.92</v>
      </c>
      <c r="T107" s="220">
        <f>SUM(R106:R113)</f>
        <v>99</v>
      </c>
      <c r="U107" s="14">
        <f t="shared" si="76"/>
        <v>25.252525252525253</v>
      </c>
      <c r="V107" s="220">
        <f>U107*100/SUM(U107:U113)</f>
        <v>39.062499999999993</v>
      </c>
      <c r="W107" s="14" t="s">
        <v>433</v>
      </c>
      <c r="X107" s="500">
        <f t="shared" si="9"/>
        <v>6.2499999999999991</v>
      </c>
      <c r="Y107" s="220" t="s">
        <v>1666</v>
      </c>
      <c r="Z107" s="220" t="str">
        <f t="shared" ref="Z107:AH107" si="115">Y107</f>
        <v>*</v>
      </c>
      <c r="AA107" s="792" t="str">
        <f t="shared" si="115"/>
        <v>*</v>
      </c>
      <c r="AB107" s="458" t="str">
        <f t="shared" si="115"/>
        <v>*</v>
      </c>
      <c r="AC107" s="497" t="str">
        <f t="shared" si="115"/>
        <v>*</v>
      </c>
      <c r="AD107" s="497" t="str">
        <f t="shared" si="115"/>
        <v>*</v>
      </c>
      <c r="AE107" s="454" t="str">
        <f t="shared" si="115"/>
        <v>*</v>
      </c>
      <c r="AF107" s="454" t="str">
        <f t="shared" si="115"/>
        <v>*</v>
      </c>
      <c r="AG107" s="454" t="str">
        <f t="shared" si="115"/>
        <v>*</v>
      </c>
      <c r="AH107" s="454" t="str">
        <f t="shared" si="115"/>
        <v>*</v>
      </c>
    </row>
    <row r="108" spans="1:34" ht="12.75">
      <c r="A108" s="14" t="s">
        <v>2997</v>
      </c>
      <c r="B108" s="24" t="s">
        <v>2508</v>
      </c>
      <c r="C108" s="14" t="s">
        <v>2524</v>
      </c>
      <c r="D108" s="14" t="s">
        <v>2911</v>
      </c>
      <c r="E108" s="14" t="s">
        <v>2998</v>
      </c>
      <c r="F108" s="13">
        <v>143.41999999999999</v>
      </c>
      <c r="G108" s="14" t="s">
        <v>2999</v>
      </c>
      <c r="H108" s="13" t="s">
        <v>2973</v>
      </c>
      <c r="I108" s="14" t="s">
        <v>3081</v>
      </c>
      <c r="J108" s="14" t="s">
        <v>3082</v>
      </c>
      <c r="K108" s="478">
        <v>0.16</v>
      </c>
      <c r="L108" s="220">
        <v>23.68</v>
      </c>
      <c r="M108" s="473" t="s">
        <v>3083</v>
      </c>
      <c r="N108" s="473"/>
      <c r="O108" s="480"/>
      <c r="P108" s="14" t="s">
        <v>2928</v>
      </c>
      <c r="Q108" s="14" t="s">
        <v>3061</v>
      </c>
      <c r="R108" s="14">
        <v>20</v>
      </c>
      <c r="S108" s="14">
        <f t="shared" si="34"/>
        <v>4.7359999999999998</v>
      </c>
      <c r="T108" s="220">
        <f>SUM(R106:R113)</f>
        <v>99</v>
      </c>
      <c r="U108" s="14">
        <f t="shared" si="76"/>
        <v>20.202020202020201</v>
      </c>
      <c r="V108" s="220">
        <f>U108*100/SUM(U107:U113)</f>
        <v>31.249999999999996</v>
      </c>
      <c r="W108" s="14" t="s">
        <v>876</v>
      </c>
      <c r="X108" s="500">
        <f t="shared" si="9"/>
        <v>4.9999999999999991</v>
      </c>
      <c r="Y108" s="220" t="s">
        <v>1666</v>
      </c>
      <c r="Z108" s="220" t="str">
        <f t="shared" ref="Z108:AH108" si="116">Y108</f>
        <v>*</v>
      </c>
      <c r="AA108" s="792" t="str">
        <f t="shared" si="116"/>
        <v>*</v>
      </c>
      <c r="AB108" s="458" t="str">
        <f t="shared" si="116"/>
        <v>*</v>
      </c>
      <c r="AC108" s="497" t="str">
        <f t="shared" si="116"/>
        <v>*</v>
      </c>
      <c r="AD108" s="497" t="str">
        <f t="shared" si="116"/>
        <v>*</v>
      </c>
      <c r="AE108" s="454" t="str">
        <f t="shared" si="116"/>
        <v>*</v>
      </c>
      <c r="AF108" s="454" t="str">
        <f t="shared" si="116"/>
        <v>*</v>
      </c>
      <c r="AG108" s="454" t="str">
        <f t="shared" si="116"/>
        <v>*</v>
      </c>
      <c r="AH108" s="454" t="str">
        <f t="shared" si="116"/>
        <v>*</v>
      </c>
    </row>
    <row r="109" spans="1:34" ht="12.75">
      <c r="A109" s="14" t="s">
        <v>2997</v>
      </c>
      <c r="B109" s="24" t="s">
        <v>2508</v>
      </c>
      <c r="C109" s="14" t="s">
        <v>2524</v>
      </c>
      <c r="D109" s="14" t="s">
        <v>2911</v>
      </c>
      <c r="E109" s="14" t="s">
        <v>2998</v>
      </c>
      <c r="F109" s="13">
        <v>143.41999999999999</v>
      </c>
      <c r="G109" s="14" t="s">
        <v>2999</v>
      </c>
      <c r="H109" s="13" t="s">
        <v>2973</v>
      </c>
      <c r="I109" s="14" t="s">
        <v>3081</v>
      </c>
      <c r="J109" s="14" t="s">
        <v>3082</v>
      </c>
      <c r="K109" s="478">
        <v>0.16</v>
      </c>
      <c r="L109" s="220">
        <v>23.68</v>
      </c>
      <c r="M109" s="473" t="s">
        <v>3083</v>
      </c>
      <c r="N109" s="473"/>
      <c r="O109" s="480"/>
      <c r="P109" s="14" t="s">
        <v>2912</v>
      </c>
      <c r="Q109" s="14" t="s">
        <v>2915</v>
      </c>
      <c r="R109" s="14">
        <v>5</v>
      </c>
      <c r="S109" s="14">
        <f t="shared" si="34"/>
        <v>1.1839999999999999</v>
      </c>
      <c r="T109" s="220">
        <f>SUM(R106:R113)</f>
        <v>99</v>
      </c>
      <c r="U109" s="14">
        <f t="shared" si="76"/>
        <v>5.0505050505050502</v>
      </c>
      <c r="V109" s="220">
        <f>U109*100/SUM(U107:U113)</f>
        <v>7.8124999999999991</v>
      </c>
      <c r="W109" s="14" t="s">
        <v>124</v>
      </c>
      <c r="X109" s="500">
        <f t="shared" si="9"/>
        <v>1.2499999999999998</v>
      </c>
      <c r="Y109" s="220" t="s">
        <v>1666</v>
      </c>
      <c r="Z109" s="220" t="str">
        <f t="shared" ref="Z109:AH109" si="117">Y109</f>
        <v>*</v>
      </c>
      <c r="AA109" s="792" t="str">
        <f t="shared" si="117"/>
        <v>*</v>
      </c>
      <c r="AB109" s="458" t="str">
        <f t="shared" si="117"/>
        <v>*</v>
      </c>
      <c r="AC109" s="497" t="str">
        <f t="shared" si="117"/>
        <v>*</v>
      </c>
      <c r="AD109" s="497" t="str">
        <f t="shared" si="117"/>
        <v>*</v>
      </c>
      <c r="AE109" s="454" t="str">
        <f t="shared" si="117"/>
        <v>*</v>
      </c>
      <c r="AF109" s="454" t="str">
        <f t="shared" si="117"/>
        <v>*</v>
      </c>
      <c r="AG109" s="454" t="str">
        <f t="shared" si="117"/>
        <v>*</v>
      </c>
      <c r="AH109" s="454" t="str">
        <f t="shared" si="117"/>
        <v>*</v>
      </c>
    </row>
    <row r="110" spans="1:34" ht="12.75">
      <c r="A110" s="14" t="s">
        <v>2997</v>
      </c>
      <c r="B110" s="24" t="s">
        <v>2508</v>
      </c>
      <c r="C110" s="14" t="s">
        <v>2524</v>
      </c>
      <c r="D110" s="14" t="s">
        <v>2911</v>
      </c>
      <c r="E110" s="14" t="s">
        <v>2998</v>
      </c>
      <c r="F110" s="13">
        <v>143.41999999999999</v>
      </c>
      <c r="G110" s="14" t="s">
        <v>2999</v>
      </c>
      <c r="H110" s="13" t="s">
        <v>2973</v>
      </c>
      <c r="I110" s="14" t="s">
        <v>3081</v>
      </c>
      <c r="J110" s="14" t="s">
        <v>3082</v>
      </c>
      <c r="K110" s="478">
        <v>0.16</v>
      </c>
      <c r="L110" s="220">
        <v>23.68</v>
      </c>
      <c r="M110" s="473" t="s">
        <v>3083</v>
      </c>
      <c r="N110" s="473"/>
      <c r="O110" s="480"/>
      <c r="P110" s="14" t="s">
        <v>3051</v>
      </c>
      <c r="Q110" s="486" t="s">
        <v>3084</v>
      </c>
      <c r="R110" s="14">
        <v>5</v>
      </c>
      <c r="S110" s="14">
        <f t="shared" si="34"/>
        <v>1.1839999999999999</v>
      </c>
      <c r="T110" s="220">
        <f>SUM(R106:R113)</f>
        <v>99</v>
      </c>
      <c r="U110" s="14">
        <f t="shared" si="76"/>
        <v>5.0505050505050502</v>
      </c>
      <c r="V110" s="220">
        <f>U110*100/SUM(U107:U113)</f>
        <v>7.8124999999999991</v>
      </c>
      <c r="W110" s="14" t="s">
        <v>134</v>
      </c>
      <c r="X110" s="500">
        <f t="shared" si="9"/>
        <v>1.2499999999999998</v>
      </c>
      <c r="Y110" s="220" t="s">
        <v>1666</v>
      </c>
      <c r="Z110" s="220" t="str">
        <f t="shared" ref="Z110:AH110" si="118">Y110</f>
        <v>*</v>
      </c>
      <c r="AA110" s="792" t="str">
        <f t="shared" si="118"/>
        <v>*</v>
      </c>
      <c r="AB110" s="458" t="str">
        <f t="shared" si="118"/>
        <v>*</v>
      </c>
      <c r="AC110" s="497" t="str">
        <f t="shared" si="118"/>
        <v>*</v>
      </c>
      <c r="AD110" s="497" t="str">
        <f t="shared" si="118"/>
        <v>*</v>
      </c>
      <c r="AE110" s="454" t="str">
        <f t="shared" si="118"/>
        <v>*</v>
      </c>
      <c r="AF110" s="454" t="str">
        <f t="shared" si="118"/>
        <v>*</v>
      </c>
      <c r="AG110" s="454" t="str">
        <f t="shared" si="118"/>
        <v>*</v>
      </c>
      <c r="AH110" s="454" t="str">
        <f t="shared" si="118"/>
        <v>*</v>
      </c>
    </row>
    <row r="111" spans="1:34" ht="12.75">
      <c r="A111" s="14" t="s">
        <v>2997</v>
      </c>
      <c r="B111" s="24" t="s">
        <v>2508</v>
      </c>
      <c r="C111" s="14" t="s">
        <v>2524</v>
      </c>
      <c r="D111" s="14" t="s">
        <v>2911</v>
      </c>
      <c r="E111" s="14" t="s">
        <v>2998</v>
      </c>
      <c r="F111" s="13">
        <v>143.41999999999999</v>
      </c>
      <c r="G111" s="14" t="s">
        <v>2999</v>
      </c>
      <c r="H111" s="13" t="s">
        <v>2973</v>
      </c>
      <c r="I111" s="14" t="s">
        <v>3081</v>
      </c>
      <c r="J111" s="14" t="s">
        <v>3082</v>
      </c>
      <c r="K111" s="478">
        <v>0.16</v>
      </c>
      <c r="L111" s="220">
        <v>23.68</v>
      </c>
      <c r="M111" s="473" t="s">
        <v>3083</v>
      </c>
      <c r="N111" s="473"/>
      <c r="O111" s="480"/>
      <c r="P111" s="14" t="s">
        <v>2962</v>
      </c>
      <c r="Q111" s="435" t="s">
        <v>2963</v>
      </c>
      <c r="R111" s="14">
        <v>4</v>
      </c>
      <c r="S111" s="14">
        <f t="shared" si="34"/>
        <v>0.94720000000000004</v>
      </c>
      <c r="T111" s="487">
        <f>SUM(R106:R113)</f>
        <v>99</v>
      </c>
      <c r="U111" s="14">
        <f t="shared" si="76"/>
        <v>4.0404040404040407</v>
      </c>
      <c r="V111" s="220">
        <f>U111*100/SUM(U107:U113)</f>
        <v>6.25</v>
      </c>
      <c r="W111" s="17" t="s">
        <v>425</v>
      </c>
      <c r="X111" s="500">
        <f t="shared" si="9"/>
        <v>1</v>
      </c>
      <c r="Y111" s="220" t="s">
        <v>1666</v>
      </c>
      <c r="Z111" s="220" t="str">
        <f t="shared" ref="Z111:AH111" si="119">Y111</f>
        <v>*</v>
      </c>
      <c r="AA111" s="792" t="str">
        <f t="shared" si="119"/>
        <v>*</v>
      </c>
      <c r="AB111" s="458" t="str">
        <f t="shared" si="119"/>
        <v>*</v>
      </c>
      <c r="AC111" s="497" t="str">
        <f t="shared" si="119"/>
        <v>*</v>
      </c>
      <c r="AD111" s="497" t="str">
        <f t="shared" si="119"/>
        <v>*</v>
      </c>
      <c r="AE111" s="454" t="str">
        <f t="shared" si="119"/>
        <v>*</v>
      </c>
      <c r="AF111" s="454" t="str">
        <f t="shared" si="119"/>
        <v>*</v>
      </c>
      <c r="AG111" s="454" t="str">
        <f t="shared" si="119"/>
        <v>*</v>
      </c>
      <c r="AH111" s="454" t="str">
        <f t="shared" si="119"/>
        <v>*</v>
      </c>
    </row>
    <row r="112" spans="1:34" ht="12.75">
      <c r="A112" s="14" t="s">
        <v>2997</v>
      </c>
      <c r="B112" s="24" t="s">
        <v>2508</v>
      </c>
      <c r="C112" s="14" t="s">
        <v>2524</v>
      </c>
      <c r="D112" s="14" t="s">
        <v>2911</v>
      </c>
      <c r="E112" s="14" t="s">
        <v>2998</v>
      </c>
      <c r="F112" s="13">
        <v>143.41999999999999</v>
      </c>
      <c r="G112" s="14" t="s">
        <v>2999</v>
      </c>
      <c r="H112" s="13" t="s">
        <v>2973</v>
      </c>
      <c r="I112" s="14" t="s">
        <v>3081</v>
      </c>
      <c r="J112" s="14" t="s">
        <v>3082</v>
      </c>
      <c r="K112" s="478">
        <v>0.16</v>
      </c>
      <c r="L112" s="220">
        <v>23.68</v>
      </c>
      <c r="M112" s="473" t="s">
        <v>3083</v>
      </c>
      <c r="N112" s="473"/>
      <c r="O112" s="480"/>
      <c r="P112" s="14" t="s">
        <v>3085</v>
      </c>
      <c r="Q112" s="14" t="s">
        <v>3086</v>
      </c>
      <c r="R112" s="14">
        <v>4</v>
      </c>
      <c r="S112" s="14">
        <f t="shared" si="34"/>
        <v>0.94720000000000004</v>
      </c>
      <c r="T112" s="220">
        <f>SUM(R106:R113)</f>
        <v>99</v>
      </c>
      <c r="U112" s="14">
        <f t="shared" si="76"/>
        <v>4.0404040404040407</v>
      </c>
      <c r="V112" s="220">
        <f>U112*100/SUM(U107:U113)</f>
        <v>6.25</v>
      </c>
      <c r="W112" s="14" t="s">
        <v>690</v>
      </c>
      <c r="X112" s="500">
        <f t="shared" si="9"/>
        <v>1</v>
      </c>
      <c r="Y112" s="501">
        <f>SUM(X112,X114,X115)</f>
        <v>6.25</v>
      </c>
      <c r="Z112" s="501">
        <f>X112</f>
        <v>1</v>
      </c>
      <c r="AA112" s="792">
        <f t="shared" ref="AA112:AA115" si="120">Z112</f>
        <v>1</v>
      </c>
      <c r="AB112" s="458" t="s">
        <v>2534</v>
      </c>
      <c r="AC112" s="13" t="s">
        <v>3087</v>
      </c>
      <c r="AD112" s="13" t="s">
        <v>3088</v>
      </c>
      <c r="AE112" s="12">
        <v>1.9306129458663359E-3</v>
      </c>
      <c r="AF112" s="12">
        <v>3.9248033695195798E-2</v>
      </c>
      <c r="AG112" s="12">
        <v>2.2000000000000001E-4</v>
      </c>
      <c r="AH112" s="12">
        <v>2.1384856875782642E-3</v>
      </c>
    </row>
    <row r="113" spans="1:34" ht="12.75">
      <c r="A113" s="14" t="s">
        <v>2997</v>
      </c>
      <c r="B113" s="24" t="s">
        <v>2508</v>
      </c>
      <c r="C113" s="14" t="s">
        <v>2524</v>
      </c>
      <c r="D113" s="14" t="s">
        <v>2911</v>
      </c>
      <c r="E113" s="14" t="s">
        <v>2998</v>
      </c>
      <c r="F113" s="13">
        <v>143.41999999999999</v>
      </c>
      <c r="G113" s="14" t="s">
        <v>2999</v>
      </c>
      <c r="H113" s="13" t="s">
        <v>2973</v>
      </c>
      <c r="I113" s="135" t="s">
        <v>3081</v>
      </c>
      <c r="J113" s="135" t="s">
        <v>3082</v>
      </c>
      <c r="K113" s="475">
        <v>0.16</v>
      </c>
      <c r="L113" s="476">
        <v>23.68</v>
      </c>
      <c r="M113" s="492" t="s">
        <v>3083</v>
      </c>
      <c r="N113" s="492"/>
      <c r="O113" s="494"/>
      <c r="P113" s="135" t="s">
        <v>3041</v>
      </c>
      <c r="Q113" s="495" t="s">
        <v>3089</v>
      </c>
      <c r="R113" s="135">
        <v>1</v>
      </c>
      <c r="S113" s="135">
        <f t="shared" si="34"/>
        <v>0.23680000000000001</v>
      </c>
      <c r="T113" s="854">
        <f>SUM(R106:R113)</f>
        <v>99</v>
      </c>
      <c r="U113" s="135">
        <f t="shared" si="76"/>
        <v>1.0101010101010102</v>
      </c>
      <c r="V113" s="476">
        <f>U113*100/SUM(U107:U113)</f>
        <v>1.5625</v>
      </c>
      <c r="W113" s="71" t="s">
        <v>81</v>
      </c>
      <c r="X113" s="500">
        <f t="shared" si="9"/>
        <v>0.25</v>
      </c>
      <c r="Y113" s="220" t="s">
        <v>1624</v>
      </c>
      <c r="Z113" s="220" t="s">
        <v>1666</v>
      </c>
      <c r="AA113" s="792" t="str">
        <f t="shared" si="120"/>
        <v>*</v>
      </c>
      <c r="AB113" s="458" t="str">
        <f t="shared" ref="AB113:AH113" si="121">AA113</f>
        <v>*</v>
      </c>
      <c r="AC113" s="497" t="str">
        <f t="shared" si="121"/>
        <v>*</v>
      </c>
      <c r="AD113" s="497" t="str">
        <f t="shared" si="121"/>
        <v>*</v>
      </c>
      <c r="AE113" s="454" t="str">
        <f t="shared" si="121"/>
        <v>*</v>
      </c>
      <c r="AF113" s="454" t="str">
        <f t="shared" si="121"/>
        <v>*</v>
      </c>
      <c r="AG113" s="454" t="str">
        <f t="shared" si="121"/>
        <v>*</v>
      </c>
      <c r="AH113" s="454" t="str">
        <f t="shared" si="121"/>
        <v>*</v>
      </c>
    </row>
    <row r="114" spans="1:34" ht="12.75">
      <c r="A114" s="14" t="s">
        <v>2997</v>
      </c>
      <c r="B114" s="13" t="s">
        <v>2508</v>
      </c>
      <c r="C114" s="14" t="s">
        <v>2524</v>
      </c>
      <c r="D114" s="14" t="s">
        <v>2911</v>
      </c>
      <c r="E114" s="14" t="s">
        <v>2998</v>
      </c>
      <c r="F114" s="13">
        <v>143.41999999999999</v>
      </c>
      <c r="G114" s="14" t="s">
        <v>2999</v>
      </c>
      <c r="H114" s="13" t="s">
        <v>2973</v>
      </c>
      <c r="I114" s="135" t="s">
        <v>2535</v>
      </c>
      <c r="J114" s="135" t="s">
        <v>3090</v>
      </c>
      <c r="K114" s="475">
        <v>0.05</v>
      </c>
      <c r="L114" s="476">
        <v>7.5</v>
      </c>
      <c r="M114" s="492" t="s">
        <v>3091</v>
      </c>
      <c r="N114" s="492"/>
      <c r="O114" s="494"/>
      <c r="P114" s="135" t="s">
        <v>2535</v>
      </c>
      <c r="Q114" s="135" t="s">
        <v>3092</v>
      </c>
      <c r="R114" s="135">
        <v>100</v>
      </c>
      <c r="S114" s="135">
        <f t="shared" si="34"/>
        <v>7.5</v>
      </c>
      <c r="T114" s="528">
        <f>R114</f>
        <v>100</v>
      </c>
      <c r="U114" s="135">
        <f t="shared" ref="U114:V114" si="122">T114</f>
        <v>100</v>
      </c>
      <c r="V114" s="476">
        <f t="shared" si="122"/>
        <v>100</v>
      </c>
      <c r="W114" s="135" t="s">
        <v>2535</v>
      </c>
      <c r="X114" s="500">
        <f t="shared" si="9"/>
        <v>5</v>
      </c>
      <c r="Y114" s="220" t="s">
        <v>1666</v>
      </c>
      <c r="Z114" s="501">
        <f t="shared" ref="Z114:Z115" si="123">X114</f>
        <v>5</v>
      </c>
      <c r="AA114" s="792">
        <f t="shared" si="120"/>
        <v>5</v>
      </c>
      <c r="AB114" s="18" t="s">
        <v>2535</v>
      </c>
      <c r="AC114" s="13" t="s">
        <v>2535</v>
      </c>
      <c r="AD114" s="13" t="s">
        <v>3093</v>
      </c>
      <c r="AE114" s="12">
        <v>1.1328228175540001E-3</v>
      </c>
      <c r="AF114" s="12">
        <v>1.1196667334361301E-2</v>
      </c>
      <c r="AG114" s="12">
        <v>2.4736842105263154E-4</v>
      </c>
      <c r="AH114" s="12">
        <v>2.2046244201837776E-4</v>
      </c>
    </row>
    <row r="115" spans="1:34" ht="12.75">
      <c r="A115" s="14" t="s">
        <v>2997</v>
      </c>
      <c r="B115" s="24" t="s">
        <v>2508</v>
      </c>
      <c r="C115" s="14" t="s">
        <v>2524</v>
      </c>
      <c r="D115" s="14" t="s">
        <v>2911</v>
      </c>
      <c r="E115" s="14" t="s">
        <v>2998</v>
      </c>
      <c r="F115" s="13">
        <v>143.41999999999999</v>
      </c>
      <c r="G115" s="14" t="s">
        <v>2999</v>
      </c>
      <c r="H115" s="13" t="s">
        <v>2973</v>
      </c>
      <c r="I115" s="14" t="s">
        <v>3094</v>
      </c>
      <c r="J115" s="14" t="s">
        <v>3095</v>
      </c>
      <c r="K115" s="478">
        <v>0.01</v>
      </c>
      <c r="L115" s="220">
        <v>0.2</v>
      </c>
      <c r="M115" s="473" t="s">
        <v>3096</v>
      </c>
      <c r="N115" s="473"/>
      <c r="O115" s="480"/>
      <c r="P115" s="14" t="s">
        <v>3097</v>
      </c>
      <c r="Q115" s="14" t="s">
        <v>3098</v>
      </c>
      <c r="R115" s="14">
        <v>25</v>
      </c>
      <c r="S115" s="14">
        <f t="shared" si="34"/>
        <v>0.05</v>
      </c>
      <c r="T115" s="487">
        <f>SUM(R115:R118)</f>
        <v>100</v>
      </c>
      <c r="U115" s="14">
        <f t="shared" ref="U115:U122" si="124">R115*100/T115</f>
        <v>25</v>
      </c>
      <c r="V115" s="220">
        <f t="shared" ref="V115:V123" si="125">U115</f>
        <v>25</v>
      </c>
      <c r="W115" s="14" t="s">
        <v>3097</v>
      </c>
      <c r="X115" s="500">
        <f t="shared" si="9"/>
        <v>0.25</v>
      </c>
      <c r="Y115" s="220" t="s">
        <v>1666</v>
      </c>
      <c r="Z115" s="501">
        <f t="shared" si="123"/>
        <v>0.25</v>
      </c>
      <c r="AA115" s="792">
        <f t="shared" si="120"/>
        <v>0.25</v>
      </c>
      <c r="AB115" s="18" t="s">
        <v>2536</v>
      </c>
      <c r="AC115" s="13" t="s">
        <v>3097</v>
      </c>
      <c r="AD115" s="13" t="s">
        <v>3099</v>
      </c>
      <c r="AE115" s="12">
        <v>4.18475450981867E-4</v>
      </c>
      <c r="AF115" s="12">
        <v>8.6483234472969298E-3</v>
      </c>
      <c r="AG115" s="12">
        <v>1.2528735632183908E-4</v>
      </c>
      <c r="AH115" s="12">
        <v>3.0408612692190031E-4</v>
      </c>
    </row>
    <row r="116" spans="1:34" ht="12.75">
      <c r="A116" s="14" t="s">
        <v>2997</v>
      </c>
      <c r="B116" s="24" t="s">
        <v>2508</v>
      </c>
      <c r="C116" s="14" t="s">
        <v>2524</v>
      </c>
      <c r="D116" s="14" t="s">
        <v>2911</v>
      </c>
      <c r="E116" s="14" t="s">
        <v>2998</v>
      </c>
      <c r="F116" s="13">
        <v>143.41999999999999</v>
      </c>
      <c r="G116" s="14" t="s">
        <v>2999</v>
      </c>
      <c r="H116" s="13" t="s">
        <v>2973</v>
      </c>
      <c r="I116" s="14" t="s">
        <v>3094</v>
      </c>
      <c r="J116" s="14" t="s">
        <v>3095</v>
      </c>
      <c r="K116" s="478">
        <v>0.01</v>
      </c>
      <c r="L116" s="220">
        <v>0.2</v>
      </c>
      <c r="M116" s="473" t="s">
        <v>3096</v>
      </c>
      <c r="N116" s="473"/>
      <c r="O116" s="480"/>
      <c r="P116" s="14" t="s">
        <v>2962</v>
      </c>
      <c r="Q116" s="10" t="s">
        <v>2963</v>
      </c>
      <c r="R116" s="14">
        <v>25</v>
      </c>
      <c r="S116" s="14">
        <f t="shared" si="34"/>
        <v>0.05</v>
      </c>
      <c r="T116" s="487">
        <f>SUM(R115:R118)</f>
        <v>100</v>
      </c>
      <c r="U116" s="14">
        <f t="shared" si="124"/>
        <v>25</v>
      </c>
      <c r="V116" s="220">
        <f t="shared" si="125"/>
        <v>25</v>
      </c>
      <c r="W116" s="14" t="s">
        <v>425</v>
      </c>
      <c r="X116" s="500">
        <f t="shared" si="9"/>
        <v>0.25</v>
      </c>
      <c r="Y116" s="220" t="s">
        <v>1666</v>
      </c>
      <c r="Z116" s="220" t="str">
        <f t="shared" ref="Z116:AH116" si="126">Y116</f>
        <v>*</v>
      </c>
      <c r="AA116" s="792" t="str">
        <f t="shared" si="126"/>
        <v>*</v>
      </c>
      <c r="AB116" s="458" t="str">
        <f t="shared" si="126"/>
        <v>*</v>
      </c>
      <c r="AC116" s="497" t="str">
        <f t="shared" si="126"/>
        <v>*</v>
      </c>
      <c r="AD116" s="497" t="str">
        <f t="shared" si="126"/>
        <v>*</v>
      </c>
      <c r="AE116" s="454" t="str">
        <f t="shared" si="126"/>
        <v>*</v>
      </c>
      <c r="AF116" s="454" t="str">
        <f t="shared" si="126"/>
        <v>*</v>
      </c>
      <c r="AG116" s="454" t="str">
        <f t="shared" si="126"/>
        <v>*</v>
      </c>
      <c r="AH116" s="454" t="str">
        <f t="shared" si="126"/>
        <v>*</v>
      </c>
    </row>
    <row r="117" spans="1:34" ht="12.75">
      <c r="A117" s="14" t="s">
        <v>2997</v>
      </c>
      <c r="B117" s="24" t="s">
        <v>2508</v>
      </c>
      <c r="C117" s="14" t="s">
        <v>2524</v>
      </c>
      <c r="D117" s="14" t="s">
        <v>2911</v>
      </c>
      <c r="E117" s="14" t="s">
        <v>2998</v>
      </c>
      <c r="F117" s="13">
        <v>143.41999999999999</v>
      </c>
      <c r="G117" s="14" t="s">
        <v>2999</v>
      </c>
      <c r="H117" s="13" t="s">
        <v>2973</v>
      </c>
      <c r="I117" s="14" t="s">
        <v>3094</v>
      </c>
      <c r="J117" s="14" t="s">
        <v>3095</v>
      </c>
      <c r="K117" s="478">
        <v>0.01</v>
      </c>
      <c r="L117" s="220">
        <v>0.2</v>
      </c>
      <c r="M117" s="473" t="s">
        <v>3096</v>
      </c>
      <c r="N117" s="473"/>
      <c r="O117" s="480"/>
      <c r="P117" s="14" t="s">
        <v>2962</v>
      </c>
      <c r="Q117" s="10" t="s">
        <v>2963</v>
      </c>
      <c r="R117" s="14">
        <v>25</v>
      </c>
      <c r="S117" s="14">
        <f t="shared" si="34"/>
        <v>0.05</v>
      </c>
      <c r="T117" s="487">
        <f>SUM(R115:R118)</f>
        <v>100</v>
      </c>
      <c r="U117" s="14">
        <f t="shared" si="124"/>
        <v>25</v>
      </c>
      <c r="V117" s="220">
        <f t="shared" si="125"/>
        <v>25</v>
      </c>
      <c r="W117" s="14" t="s">
        <v>425</v>
      </c>
      <c r="X117" s="500">
        <f t="shared" si="9"/>
        <v>0.25</v>
      </c>
      <c r="Y117" s="220" t="s">
        <v>1666</v>
      </c>
      <c r="Z117" s="220" t="str">
        <f t="shared" ref="Z117:AH117" si="127">Y117</f>
        <v>*</v>
      </c>
      <c r="AA117" s="792" t="str">
        <f t="shared" si="127"/>
        <v>*</v>
      </c>
      <c r="AB117" s="458" t="str">
        <f t="shared" si="127"/>
        <v>*</v>
      </c>
      <c r="AC117" s="497" t="str">
        <f t="shared" si="127"/>
        <v>*</v>
      </c>
      <c r="AD117" s="497" t="str">
        <f t="shared" si="127"/>
        <v>*</v>
      </c>
      <c r="AE117" s="454" t="str">
        <f t="shared" si="127"/>
        <v>*</v>
      </c>
      <c r="AF117" s="454" t="str">
        <f t="shared" si="127"/>
        <v>*</v>
      </c>
      <c r="AG117" s="454" t="str">
        <f t="shared" si="127"/>
        <v>*</v>
      </c>
      <c r="AH117" s="454" t="str">
        <f t="shared" si="127"/>
        <v>*</v>
      </c>
    </row>
    <row r="118" spans="1:34" ht="12.75">
      <c r="A118" s="617" t="s">
        <v>2997</v>
      </c>
      <c r="B118" s="794" t="s">
        <v>2508</v>
      </c>
      <c r="C118" s="617" t="s">
        <v>2524</v>
      </c>
      <c r="D118" s="617" t="s">
        <v>2911</v>
      </c>
      <c r="E118" s="617" t="s">
        <v>2998</v>
      </c>
      <c r="F118" s="799">
        <v>143.41999999999999</v>
      </c>
      <c r="G118" s="617" t="s">
        <v>2999</v>
      </c>
      <c r="H118" s="799" t="s">
        <v>2973</v>
      </c>
      <c r="I118" s="617" t="s">
        <v>3094</v>
      </c>
      <c r="J118" s="617" t="s">
        <v>3095</v>
      </c>
      <c r="K118" s="838">
        <v>0.01</v>
      </c>
      <c r="L118" s="725">
        <v>0.2</v>
      </c>
      <c r="M118" s="850" t="s">
        <v>3096</v>
      </c>
      <c r="N118" s="850"/>
      <c r="O118" s="842"/>
      <c r="P118" s="617" t="s">
        <v>2945</v>
      </c>
      <c r="Q118" s="617" t="s">
        <v>2946</v>
      </c>
      <c r="R118" s="617">
        <v>25</v>
      </c>
      <c r="S118" s="617">
        <f t="shared" si="34"/>
        <v>0.05</v>
      </c>
      <c r="T118" s="725">
        <f>SUM(R115:R118)</f>
        <v>100</v>
      </c>
      <c r="U118" s="617">
        <f t="shared" si="124"/>
        <v>25</v>
      </c>
      <c r="V118" s="725">
        <f t="shared" si="125"/>
        <v>25</v>
      </c>
      <c r="W118" s="617" t="s">
        <v>433</v>
      </c>
      <c r="X118" s="855">
        <f t="shared" si="9"/>
        <v>0.25</v>
      </c>
      <c r="Y118" s="725" t="s">
        <v>1666</v>
      </c>
      <c r="Z118" s="725" t="s">
        <v>1666</v>
      </c>
      <c r="AA118" s="455" t="s">
        <v>1666</v>
      </c>
      <c r="AB118" s="793" t="s">
        <v>1666</v>
      </c>
      <c r="AC118" s="799" t="str">
        <f t="shared" ref="AC118:AH118" si="128">AB118</f>
        <v>*</v>
      </c>
      <c r="AD118" s="799" t="str">
        <f t="shared" si="128"/>
        <v>*</v>
      </c>
      <c r="AE118" s="725" t="str">
        <f t="shared" si="128"/>
        <v>*</v>
      </c>
      <c r="AF118" s="725" t="str">
        <f t="shared" si="128"/>
        <v>*</v>
      </c>
      <c r="AG118" s="725" t="str">
        <f t="shared" si="128"/>
        <v>*</v>
      </c>
      <c r="AH118" s="725" t="str">
        <f t="shared" si="128"/>
        <v>*</v>
      </c>
    </row>
    <row r="119" spans="1:34" ht="12.75">
      <c r="A119" s="14" t="s">
        <v>3100</v>
      </c>
      <c r="B119" s="24" t="s">
        <v>2508</v>
      </c>
      <c r="C119" s="14" t="s">
        <v>2537</v>
      </c>
      <c r="D119" s="14" t="s">
        <v>2911</v>
      </c>
      <c r="E119" s="14" t="s">
        <v>3058</v>
      </c>
      <c r="F119" s="13">
        <v>132</v>
      </c>
      <c r="G119" s="14" t="s">
        <v>2999</v>
      </c>
      <c r="H119" s="473" t="s">
        <v>3060</v>
      </c>
      <c r="I119" s="655" t="s">
        <v>3058</v>
      </c>
      <c r="J119" s="14" t="s">
        <v>3059</v>
      </c>
      <c r="K119" s="478">
        <v>1</v>
      </c>
      <c r="L119" s="220">
        <v>132</v>
      </c>
      <c r="M119" s="473" t="s">
        <v>3060</v>
      </c>
      <c r="N119" s="473"/>
      <c r="O119" s="480"/>
      <c r="P119" s="14" t="s">
        <v>2928</v>
      </c>
      <c r="Q119" s="14" t="s">
        <v>3061</v>
      </c>
      <c r="R119" s="14">
        <v>48</v>
      </c>
      <c r="S119" s="14">
        <f t="shared" si="34"/>
        <v>63.36</v>
      </c>
      <c r="T119" s="220">
        <f>SUM(R119:R122)</f>
        <v>115.45</v>
      </c>
      <c r="U119" s="14">
        <f t="shared" si="124"/>
        <v>41.576440017323513</v>
      </c>
      <c r="V119" s="220">
        <f t="shared" si="125"/>
        <v>41.576440017323513</v>
      </c>
      <c r="W119" s="14" t="s">
        <v>876</v>
      </c>
      <c r="X119" s="14">
        <f t="shared" si="9"/>
        <v>41.576440017323513</v>
      </c>
      <c r="Y119" s="220">
        <f>SUM(X119:X120)</f>
        <v>83.152880034647026</v>
      </c>
      <c r="Z119" s="220">
        <f t="shared" ref="Z119:Z120" si="129">X119</f>
        <v>41.576440017323513</v>
      </c>
      <c r="AA119" s="792">
        <f t="shared" ref="AA119:AA120" si="130">Z119</f>
        <v>41.576440017323513</v>
      </c>
      <c r="AB119" s="18" t="s">
        <v>876</v>
      </c>
      <c r="AC119" s="13" t="s">
        <v>2930</v>
      </c>
      <c r="AD119" s="13" t="s">
        <v>2931</v>
      </c>
      <c r="AE119" s="12">
        <v>6.0179999999999999E-3</v>
      </c>
      <c r="AF119" s="23">
        <v>1.7694000000000001E-2</v>
      </c>
      <c r="AG119" s="12">
        <v>1.17966E-4</v>
      </c>
      <c r="AH119" s="12">
        <v>1.1100000000000001E-3</v>
      </c>
    </row>
    <row r="120" spans="1:34" ht="12.75">
      <c r="A120" s="14" t="s">
        <v>3100</v>
      </c>
      <c r="B120" s="24" t="s">
        <v>2508</v>
      </c>
      <c r="C120" s="14" t="s">
        <v>2537</v>
      </c>
      <c r="D120" s="14" t="s">
        <v>2911</v>
      </c>
      <c r="E120" s="14" t="s">
        <v>3058</v>
      </c>
      <c r="F120" s="13">
        <v>132</v>
      </c>
      <c r="G120" s="14" t="s">
        <v>2999</v>
      </c>
      <c r="H120" s="473" t="s">
        <v>3060</v>
      </c>
      <c r="I120" s="655" t="s">
        <v>3058</v>
      </c>
      <c r="J120" s="14" t="s">
        <v>3059</v>
      </c>
      <c r="K120" s="478">
        <v>1</v>
      </c>
      <c r="L120" s="220">
        <v>132</v>
      </c>
      <c r="M120" s="473" t="s">
        <v>3060</v>
      </c>
      <c r="N120" s="473"/>
      <c r="O120" s="480"/>
      <c r="P120" s="14" t="s">
        <v>2776</v>
      </c>
      <c r="Q120" s="14" t="s">
        <v>3040</v>
      </c>
      <c r="R120" s="14">
        <v>48</v>
      </c>
      <c r="S120" s="14">
        <f t="shared" si="34"/>
        <v>63.36</v>
      </c>
      <c r="T120" s="220">
        <f>SUM(R119:R122)</f>
        <v>115.45</v>
      </c>
      <c r="U120" s="14">
        <f t="shared" si="124"/>
        <v>41.576440017323513</v>
      </c>
      <c r="V120" s="220">
        <f t="shared" si="125"/>
        <v>41.576440017323513</v>
      </c>
      <c r="W120" s="14" t="s">
        <v>2776</v>
      </c>
      <c r="X120" s="14">
        <f t="shared" si="9"/>
        <v>41.576440017323513</v>
      </c>
      <c r="Y120" s="220" t="s">
        <v>1666</v>
      </c>
      <c r="Z120" s="220">
        <f t="shared" si="129"/>
        <v>41.576440017323513</v>
      </c>
      <c r="AA120" s="792">
        <f t="shared" si="130"/>
        <v>41.576440017323513</v>
      </c>
      <c r="AB120" s="18" t="s">
        <v>2527</v>
      </c>
      <c r="AC120" s="13" t="s">
        <v>2776</v>
      </c>
      <c r="AD120" s="13" t="s">
        <v>3011</v>
      </c>
      <c r="AE120" s="12">
        <v>1.5483515402843602E-2</v>
      </c>
      <c r="AF120" s="12">
        <v>4.5524313981042654E-2</v>
      </c>
      <c r="AG120" s="12">
        <v>3.0351086374407588E-4</v>
      </c>
      <c r="AH120" s="12">
        <v>2.8558827014218014E-3</v>
      </c>
    </row>
    <row r="121" spans="1:34" ht="12.75">
      <c r="A121" s="14" t="s">
        <v>3100</v>
      </c>
      <c r="B121" s="24" t="s">
        <v>2508</v>
      </c>
      <c r="C121" s="14" t="s">
        <v>2537</v>
      </c>
      <c r="D121" s="14" t="s">
        <v>2911</v>
      </c>
      <c r="E121" s="14" t="s">
        <v>3058</v>
      </c>
      <c r="F121" s="13">
        <v>132</v>
      </c>
      <c r="G121" s="14" t="s">
        <v>2999</v>
      </c>
      <c r="H121" s="473" t="s">
        <v>3060</v>
      </c>
      <c r="I121" s="655" t="s">
        <v>3058</v>
      </c>
      <c r="J121" s="14" t="s">
        <v>3059</v>
      </c>
      <c r="K121" s="478">
        <v>1</v>
      </c>
      <c r="L121" s="220">
        <v>132</v>
      </c>
      <c r="M121" s="473" t="s">
        <v>3060</v>
      </c>
      <c r="N121" s="473"/>
      <c r="O121" s="480"/>
      <c r="P121" s="14" t="s">
        <v>2945</v>
      </c>
      <c r="Q121" s="14" t="s">
        <v>2946</v>
      </c>
      <c r="R121" s="14">
        <v>18.75</v>
      </c>
      <c r="S121" s="14">
        <f t="shared" si="34"/>
        <v>24.75</v>
      </c>
      <c r="T121" s="220">
        <f>SUM(R119:R122)</f>
        <v>115.45</v>
      </c>
      <c r="U121" s="14">
        <f t="shared" si="124"/>
        <v>16.240796881766997</v>
      </c>
      <c r="V121" s="220">
        <f t="shared" si="125"/>
        <v>16.240796881766997</v>
      </c>
      <c r="W121" s="14" t="s">
        <v>433</v>
      </c>
      <c r="X121" s="14">
        <f t="shared" si="9"/>
        <v>16.240796881766997</v>
      </c>
      <c r="Y121" s="220">
        <f t="shared" ref="Y121:AA121" si="131">X121</f>
        <v>16.240796881766997</v>
      </c>
      <c r="Z121" s="220">
        <f t="shared" si="131"/>
        <v>16.240796881766997</v>
      </c>
      <c r="AA121" s="792">
        <f t="shared" si="131"/>
        <v>16.240796881766997</v>
      </c>
      <c r="AB121" s="18" t="s">
        <v>433</v>
      </c>
      <c r="AC121" s="13" t="s">
        <v>433</v>
      </c>
      <c r="AD121" s="13" t="s">
        <v>2947</v>
      </c>
      <c r="AE121" s="12">
        <v>3.0104466724907065E-4</v>
      </c>
      <c r="AF121" s="12">
        <v>1.2500000000000001E-2</v>
      </c>
      <c r="AG121" s="12">
        <v>5.1818181818181835E-4</v>
      </c>
      <c r="AH121" s="12">
        <v>4.0084080366977777E-4</v>
      </c>
    </row>
    <row r="122" spans="1:34" ht="12.75">
      <c r="A122" s="617" t="s">
        <v>3100</v>
      </c>
      <c r="B122" s="794" t="s">
        <v>2508</v>
      </c>
      <c r="C122" s="617" t="s">
        <v>2537</v>
      </c>
      <c r="D122" s="617" t="s">
        <v>2911</v>
      </c>
      <c r="E122" s="617" t="s">
        <v>3058</v>
      </c>
      <c r="F122" s="799">
        <v>132</v>
      </c>
      <c r="G122" s="617" t="s">
        <v>2999</v>
      </c>
      <c r="H122" s="850" t="s">
        <v>3060</v>
      </c>
      <c r="I122" s="849" t="s">
        <v>3058</v>
      </c>
      <c r="J122" s="617" t="s">
        <v>3059</v>
      </c>
      <c r="K122" s="838">
        <v>1</v>
      </c>
      <c r="L122" s="725">
        <v>132</v>
      </c>
      <c r="M122" s="850" t="s">
        <v>3060</v>
      </c>
      <c r="N122" s="850"/>
      <c r="O122" s="842"/>
      <c r="P122" s="617" t="s">
        <v>3041</v>
      </c>
      <c r="Q122" s="856" t="s">
        <v>3101</v>
      </c>
      <c r="R122" s="617">
        <v>0.7</v>
      </c>
      <c r="S122" s="617">
        <f t="shared" si="34"/>
        <v>0.92399999999999993</v>
      </c>
      <c r="T122" s="857">
        <f>SUM(R119:R122)</f>
        <v>115.45</v>
      </c>
      <c r="U122" s="617">
        <f t="shared" si="124"/>
        <v>0.60632308358596798</v>
      </c>
      <c r="V122" s="725">
        <f t="shared" si="125"/>
        <v>0.60632308358596798</v>
      </c>
      <c r="W122" s="617" t="s">
        <v>81</v>
      </c>
      <c r="X122" s="617">
        <f t="shared" si="9"/>
        <v>0.60632308358596798</v>
      </c>
      <c r="Y122" s="725" t="s">
        <v>1624</v>
      </c>
      <c r="Z122" s="725">
        <f>X122</f>
        <v>0.60632308358596798</v>
      </c>
      <c r="AA122" s="455">
        <f>Z122</f>
        <v>0.60632308358596798</v>
      </c>
      <c r="AB122" s="793" t="s">
        <v>81</v>
      </c>
      <c r="AC122" s="617" t="s">
        <v>18</v>
      </c>
      <c r="AD122" s="617" t="s">
        <v>18</v>
      </c>
      <c r="AE122" s="635">
        <v>1.9912385503783353E-2</v>
      </c>
      <c r="AF122" s="635">
        <v>5.6949422540820388E-2</v>
      </c>
      <c r="AG122" s="635">
        <v>3.8829151732377542E-3</v>
      </c>
      <c r="AH122" s="635">
        <v>5.6321186778176026E-3</v>
      </c>
    </row>
    <row r="123" spans="1:34" ht="12.75">
      <c r="A123" s="617" t="s">
        <v>3102</v>
      </c>
      <c r="B123" s="799" t="s">
        <v>2508</v>
      </c>
      <c r="C123" s="617" t="s">
        <v>2538</v>
      </c>
      <c r="D123" s="617" t="s">
        <v>2911</v>
      </c>
      <c r="E123" s="617" t="s">
        <v>3013</v>
      </c>
      <c r="F123" s="799">
        <v>5</v>
      </c>
      <c r="G123" s="617" t="s">
        <v>3103</v>
      </c>
      <c r="H123" s="799">
        <v>1001</v>
      </c>
      <c r="I123" s="617" t="s">
        <v>3013</v>
      </c>
      <c r="J123" s="617" t="s">
        <v>3104</v>
      </c>
      <c r="K123" s="838">
        <v>1</v>
      </c>
      <c r="L123" s="725">
        <v>5</v>
      </c>
      <c r="M123" s="850" t="s">
        <v>3105</v>
      </c>
      <c r="N123" s="850"/>
      <c r="O123" s="842"/>
      <c r="P123" s="617" t="s">
        <v>3013</v>
      </c>
      <c r="Q123" s="617" t="s">
        <v>3014</v>
      </c>
      <c r="R123" s="617">
        <v>100</v>
      </c>
      <c r="S123" s="617">
        <f t="shared" si="34"/>
        <v>5</v>
      </c>
      <c r="T123" s="725">
        <f>SUM(R123)</f>
        <v>100</v>
      </c>
      <c r="U123" s="617">
        <f>R123</f>
        <v>100</v>
      </c>
      <c r="V123" s="725">
        <f t="shared" si="125"/>
        <v>100</v>
      </c>
      <c r="W123" s="617" t="s">
        <v>88</v>
      </c>
      <c r="X123" s="617">
        <f t="shared" si="9"/>
        <v>100</v>
      </c>
      <c r="Y123" s="725">
        <f t="shared" ref="Y123:AA123" si="132">X123</f>
        <v>100</v>
      </c>
      <c r="Z123" s="725">
        <f t="shared" si="132"/>
        <v>100</v>
      </c>
      <c r="AA123" s="455">
        <f t="shared" si="132"/>
        <v>100</v>
      </c>
      <c r="AB123" s="793" t="s">
        <v>88</v>
      </c>
      <c r="AC123" s="799" t="s">
        <v>3015</v>
      </c>
      <c r="AD123" s="799" t="s">
        <v>3016</v>
      </c>
      <c r="AE123" s="635">
        <v>5.5280749052132698E-2</v>
      </c>
      <c r="AF123" s="635">
        <v>0.16253532298578199</v>
      </c>
      <c r="AG123" s="635">
        <v>1.0836239353080568E-3</v>
      </c>
      <c r="AH123" s="635">
        <v>1.0196349526066351E-2</v>
      </c>
    </row>
    <row r="124" spans="1:34" ht="12.75">
      <c r="A124" s="14" t="s">
        <v>3106</v>
      </c>
      <c r="B124" s="24" t="s">
        <v>2508</v>
      </c>
      <c r="C124" s="14" t="s">
        <v>2539</v>
      </c>
      <c r="D124" s="14" t="s">
        <v>2911</v>
      </c>
      <c r="E124" s="14" t="s">
        <v>3107</v>
      </c>
      <c r="F124" s="13">
        <v>4.75</v>
      </c>
      <c r="G124" s="14" t="s">
        <v>3103</v>
      </c>
      <c r="H124" s="13" t="s">
        <v>3108</v>
      </c>
      <c r="I124" s="14" t="s">
        <v>3109</v>
      </c>
      <c r="J124" s="14" t="s">
        <v>3110</v>
      </c>
      <c r="K124" s="478">
        <f t="shared" ref="K124:K129" si="133">46/101</f>
        <v>0.45544554455445546</v>
      </c>
      <c r="L124" s="220">
        <v>2.16</v>
      </c>
      <c r="M124" s="473" t="s">
        <v>3111</v>
      </c>
      <c r="N124" s="14" t="s">
        <v>3112</v>
      </c>
      <c r="O124" s="220" t="s">
        <v>2961</v>
      </c>
      <c r="P124" s="14" t="s">
        <v>3021</v>
      </c>
      <c r="Q124" s="486" t="s">
        <v>3022</v>
      </c>
      <c r="R124" s="14">
        <v>30</v>
      </c>
      <c r="S124" s="14"/>
      <c r="T124" s="220">
        <f>SUM(R124:R129)</f>
        <v>95.5</v>
      </c>
      <c r="U124" s="14">
        <f t="shared" ref="U124:U166" si="134">R124*100/T124</f>
        <v>31.413612565445025</v>
      </c>
      <c r="V124" s="220">
        <f>U124*100/SUM(U124:U128)</f>
        <v>46.874999999999993</v>
      </c>
      <c r="W124" s="14" t="s">
        <v>346</v>
      </c>
      <c r="X124" s="14">
        <f t="shared" si="9"/>
        <v>21.349009900990097</v>
      </c>
      <c r="Y124" s="220">
        <f>SUM(X124,X130,X138,X148,X160,X128,X134,X141,X146,X150,X153,X151,X156,X157,X158,X161,X162)</f>
        <v>43.310441572041356</v>
      </c>
      <c r="Z124" s="220">
        <f t="shared" ref="Z124:AA124" si="135">Y124</f>
        <v>43.310441572041356</v>
      </c>
      <c r="AA124" s="792">
        <f t="shared" si="135"/>
        <v>43.310441572041356</v>
      </c>
      <c r="AB124" s="18" t="s">
        <v>2540</v>
      </c>
      <c r="AC124" s="13" t="s">
        <v>2982</v>
      </c>
      <c r="AD124" s="13" t="s">
        <v>2983</v>
      </c>
      <c r="AE124" s="12">
        <v>2.9691872042618299E-2</v>
      </c>
      <c r="AF124" s="12">
        <v>7.5368545517799299E-2</v>
      </c>
      <c r="AG124" s="12">
        <v>2.9014018691588786E-4</v>
      </c>
      <c r="AH124" s="12">
        <v>1.4770983615231311E-3</v>
      </c>
    </row>
    <row r="125" spans="1:34" ht="12.75">
      <c r="A125" s="14" t="s">
        <v>3106</v>
      </c>
      <c r="B125" s="24" t="s">
        <v>2508</v>
      </c>
      <c r="C125" s="14" t="s">
        <v>2539</v>
      </c>
      <c r="D125" s="14" t="s">
        <v>2911</v>
      </c>
      <c r="E125" s="14" t="s">
        <v>3107</v>
      </c>
      <c r="F125" s="13">
        <v>4.75</v>
      </c>
      <c r="G125" s="14" t="s">
        <v>3103</v>
      </c>
      <c r="H125" s="13" t="s">
        <v>3108</v>
      </c>
      <c r="I125" s="14" t="s">
        <v>3109</v>
      </c>
      <c r="J125" s="14" t="s">
        <v>3110</v>
      </c>
      <c r="K125" s="478">
        <f t="shared" si="133"/>
        <v>0.45544554455445546</v>
      </c>
      <c r="L125" s="220">
        <v>2.16</v>
      </c>
      <c r="M125" s="473" t="s">
        <v>3111</v>
      </c>
      <c r="N125" s="24" t="s">
        <v>3112</v>
      </c>
      <c r="O125" s="220" t="s">
        <v>2961</v>
      </c>
      <c r="P125" s="14" t="s">
        <v>330</v>
      </c>
      <c r="Q125" s="486" t="s">
        <v>3113</v>
      </c>
      <c r="R125" s="14">
        <v>24</v>
      </c>
      <c r="S125" s="14"/>
      <c r="T125" s="220">
        <f>SUM(R124:R129)</f>
        <v>95.5</v>
      </c>
      <c r="U125" s="14">
        <f t="shared" si="134"/>
        <v>25.130890052356023</v>
      </c>
      <c r="V125" s="220">
        <f>U125*100/SUM(U124:U128)</f>
        <v>37.5</v>
      </c>
      <c r="W125" s="14" t="s">
        <v>332</v>
      </c>
      <c r="X125" s="14">
        <f t="shared" si="9"/>
        <v>17.079207920792079</v>
      </c>
      <c r="Y125" s="220">
        <f>SUM(X125,X131,X139,X144,X133,X140)</f>
        <v>29.094914304313793</v>
      </c>
      <c r="Z125" s="220">
        <f>SUM(X125,X131,X139,X144)</f>
        <v>25.352547487972622</v>
      </c>
      <c r="AA125" s="792">
        <f>Z125</f>
        <v>25.352547487972622</v>
      </c>
      <c r="AB125" s="18" t="s">
        <v>332</v>
      </c>
      <c r="AC125" s="13"/>
      <c r="AD125" s="13"/>
      <c r="AE125" s="12">
        <v>2.3E-3</v>
      </c>
      <c r="AF125" s="12">
        <v>4.7879999999999999E-2</v>
      </c>
      <c r="AG125" s="12">
        <v>9.9999999999999995E-7</v>
      </c>
      <c r="AH125" s="12">
        <v>4.4092488403675551E-4</v>
      </c>
    </row>
    <row r="126" spans="1:34" ht="12.75">
      <c r="A126" s="14" t="s">
        <v>3106</v>
      </c>
      <c r="B126" s="24" t="s">
        <v>2508</v>
      </c>
      <c r="C126" s="14" t="s">
        <v>2539</v>
      </c>
      <c r="D126" s="14" t="s">
        <v>2911</v>
      </c>
      <c r="E126" s="14" t="s">
        <v>3107</v>
      </c>
      <c r="F126" s="13">
        <v>4.75</v>
      </c>
      <c r="G126" s="14" t="s">
        <v>3103</v>
      </c>
      <c r="H126" s="13" t="s">
        <v>3108</v>
      </c>
      <c r="I126" s="14" t="s">
        <v>3109</v>
      </c>
      <c r="J126" s="14" t="s">
        <v>3110</v>
      </c>
      <c r="K126" s="478">
        <f t="shared" si="133"/>
        <v>0.45544554455445546</v>
      </c>
      <c r="L126" s="220">
        <v>2.16</v>
      </c>
      <c r="M126" s="473" t="s">
        <v>3111</v>
      </c>
      <c r="N126" s="24" t="s">
        <v>3112</v>
      </c>
      <c r="O126" s="220" t="s">
        <v>2961</v>
      </c>
      <c r="P126" s="14" t="s">
        <v>1376</v>
      </c>
      <c r="Q126" s="486" t="s">
        <v>3114</v>
      </c>
      <c r="R126" s="14">
        <v>4.5</v>
      </c>
      <c r="S126" s="14"/>
      <c r="T126" s="220">
        <f>SUM(R124:R129)</f>
        <v>95.5</v>
      </c>
      <c r="U126" s="14">
        <f t="shared" si="134"/>
        <v>4.7120418848167542</v>
      </c>
      <c r="V126" s="220">
        <f>U126*100/SUM(U124:U128)</f>
        <v>7.0312500000000009</v>
      </c>
      <c r="W126" s="14" t="s">
        <v>340</v>
      </c>
      <c r="X126" s="14">
        <f t="shared" si="9"/>
        <v>3.2023514851485153</v>
      </c>
      <c r="Y126" s="220">
        <f>SUM(X126,X132,X137,X143,X155)</f>
        <v>17.42146851434163</v>
      </c>
      <c r="Z126" s="220">
        <f t="shared" ref="Z126:AA126" si="136">Y126</f>
        <v>17.42146851434163</v>
      </c>
      <c r="AA126" s="792">
        <f t="shared" si="136"/>
        <v>17.42146851434163</v>
      </c>
      <c r="AB126" s="18" t="s">
        <v>340</v>
      </c>
      <c r="AC126" s="13" t="s">
        <v>3115</v>
      </c>
      <c r="AD126" s="13" t="s">
        <v>3116</v>
      </c>
      <c r="AE126" s="12">
        <v>2.1708241661196198E-2</v>
      </c>
      <c r="AF126" s="12">
        <v>0.36572952458380198</v>
      </c>
      <c r="AG126" s="12">
        <v>4.6350652173913045E-4</v>
      </c>
      <c r="AH126" s="12">
        <v>1.6975608035415088E-3</v>
      </c>
    </row>
    <row r="127" spans="1:34" ht="12.75">
      <c r="A127" s="14" t="s">
        <v>3106</v>
      </c>
      <c r="B127" s="24" t="s">
        <v>2508</v>
      </c>
      <c r="C127" s="14" t="s">
        <v>2539</v>
      </c>
      <c r="D127" s="14" t="s">
        <v>2911</v>
      </c>
      <c r="E127" s="14" t="s">
        <v>3107</v>
      </c>
      <c r="F127" s="13">
        <v>4.75</v>
      </c>
      <c r="G127" s="14" t="s">
        <v>3103</v>
      </c>
      <c r="H127" s="13" t="s">
        <v>3108</v>
      </c>
      <c r="I127" s="14" t="s">
        <v>3109</v>
      </c>
      <c r="J127" s="14" t="s">
        <v>3110</v>
      </c>
      <c r="K127" s="478">
        <f t="shared" si="133"/>
        <v>0.45544554455445546</v>
      </c>
      <c r="L127" s="220">
        <v>2.16</v>
      </c>
      <c r="M127" s="473" t="s">
        <v>3111</v>
      </c>
      <c r="N127" s="24" t="s">
        <v>3112</v>
      </c>
      <c r="O127" s="220" t="s">
        <v>2961</v>
      </c>
      <c r="P127" s="14" t="s">
        <v>3117</v>
      </c>
      <c r="Q127" s="88" t="s">
        <v>325</v>
      </c>
      <c r="R127" s="14">
        <v>4.5</v>
      </c>
      <c r="S127" s="14"/>
      <c r="T127" s="220">
        <f>SUM(R124:R129)</f>
        <v>95.5</v>
      </c>
      <c r="U127" s="14">
        <f t="shared" si="134"/>
        <v>4.7120418848167542</v>
      </c>
      <c r="V127" s="220">
        <f>U127*100/SUM(U124:U128)</f>
        <v>7.0312500000000009</v>
      </c>
      <c r="W127" s="14" t="s">
        <v>325</v>
      </c>
      <c r="X127" s="14">
        <f t="shared" si="9"/>
        <v>3.2023514851485153</v>
      </c>
      <c r="Y127" s="220">
        <f>SUM(X127,X145,X149)</f>
        <v>5.5640940114882635</v>
      </c>
      <c r="Z127" s="220">
        <f t="shared" ref="Z127:AA127" si="137">Y127</f>
        <v>5.5640940114882635</v>
      </c>
      <c r="AA127" s="792">
        <f t="shared" si="137"/>
        <v>5.5640940114882635</v>
      </c>
      <c r="AB127" s="18" t="s">
        <v>325</v>
      </c>
      <c r="AC127" s="13" t="s">
        <v>3118</v>
      </c>
      <c r="AD127" s="13" t="s">
        <v>3119</v>
      </c>
      <c r="AE127" s="12">
        <v>1.0908510307875098E-2</v>
      </c>
      <c r="AF127" s="12">
        <v>0.10414261699680899</v>
      </c>
      <c r="AG127" s="12">
        <v>2.2359865447154469E-3</v>
      </c>
      <c r="AH127" s="12">
        <v>1.4E-3</v>
      </c>
    </row>
    <row r="128" spans="1:34" ht="12.75">
      <c r="A128" s="14" t="s">
        <v>3106</v>
      </c>
      <c r="B128" s="24" t="s">
        <v>2508</v>
      </c>
      <c r="C128" s="14" t="s">
        <v>2539</v>
      </c>
      <c r="D128" s="14" t="s">
        <v>2911</v>
      </c>
      <c r="E128" s="14" t="s">
        <v>3107</v>
      </c>
      <c r="F128" s="13">
        <v>4.75</v>
      </c>
      <c r="G128" s="14" t="s">
        <v>3103</v>
      </c>
      <c r="H128" s="13" t="s">
        <v>3108</v>
      </c>
      <c r="I128" s="14" t="s">
        <v>3109</v>
      </c>
      <c r="J128" s="14" t="s">
        <v>3110</v>
      </c>
      <c r="K128" s="478">
        <f t="shared" si="133"/>
        <v>0.45544554455445546</v>
      </c>
      <c r="L128" s="220">
        <v>2.16</v>
      </c>
      <c r="M128" s="473" t="s">
        <v>3111</v>
      </c>
      <c r="N128" s="24" t="s">
        <v>3112</v>
      </c>
      <c r="O128" s="220" t="s">
        <v>2961</v>
      </c>
      <c r="P128" s="14" t="s">
        <v>3072</v>
      </c>
      <c r="Q128" s="14" t="s">
        <v>3073</v>
      </c>
      <c r="R128" s="14">
        <v>1</v>
      </c>
      <c r="S128" s="14"/>
      <c r="T128" s="220">
        <f>SUM(R124:R129)</f>
        <v>95.5</v>
      </c>
      <c r="U128" s="14">
        <f t="shared" si="134"/>
        <v>1.0471204188481675</v>
      </c>
      <c r="V128" s="220">
        <f>U128*100/SUM(U124:U128)</f>
        <v>1.5625</v>
      </c>
      <c r="W128" s="17" t="s">
        <v>343</v>
      </c>
      <c r="X128" s="14">
        <f t="shared" si="9"/>
        <v>0.71163366336633671</v>
      </c>
      <c r="Y128" s="220" t="s">
        <v>1666</v>
      </c>
      <c r="Z128" s="220" t="str">
        <f t="shared" ref="Z128:AH128" si="138">Y128</f>
        <v>*</v>
      </c>
      <c r="AA128" s="792" t="str">
        <f t="shared" si="138"/>
        <v>*</v>
      </c>
      <c r="AB128" s="458" t="str">
        <f t="shared" si="138"/>
        <v>*</v>
      </c>
      <c r="AC128" s="497" t="str">
        <f t="shared" si="138"/>
        <v>*</v>
      </c>
      <c r="AD128" s="497" t="str">
        <f t="shared" si="138"/>
        <v>*</v>
      </c>
      <c r="AE128" s="454" t="str">
        <f t="shared" si="138"/>
        <v>*</v>
      </c>
      <c r="AF128" s="454" t="str">
        <f t="shared" si="138"/>
        <v>*</v>
      </c>
      <c r="AG128" s="454" t="str">
        <f t="shared" si="138"/>
        <v>*</v>
      </c>
      <c r="AH128" s="454" t="str">
        <f t="shared" si="138"/>
        <v>*</v>
      </c>
    </row>
    <row r="129" spans="1:34" ht="12.75">
      <c r="A129" s="14" t="s">
        <v>3106</v>
      </c>
      <c r="B129" s="24" t="s">
        <v>2508</v>
      </c>
      <c r="C129" s="14" t="s">
        <v>2539</v>
      </c>
      <c r="D129" s="14" t="s">
        <v>2911</v>
      </c>
      <c r="E129" s="14" t="s">
        <v>3107</v>
      </c>
      <c r="F129" s="13">
        <v>4.75</v>
      </c>
      <c r="G129" s="14" t="s">
        <v>3103</v>
      </c>
      <c r="H129" s="13" t="s">
        <v>3108</v>
      </c>
      <c r="I129" s="135" t="s">
        <v>3109</v>
      </c>
      <c r="J129" s="135" t="s">
        <v>3110</v>
      </c>
      <c r="K129" s="475">
        <f t="shared" si="133"/>
        <v>0.45544554455445546</v>
      </c>
      <c r="L129" s="476">
        <v>2.16</v>
      </c>
      <c r="M129" s="492" t="s">
        <v>3111</v>
      </c>
      <c r="N129" s="506" t="s">
        <v>3120</v>
      </c>
      <c r="O129" s="476" t="s">
        <v>2961</v>
      </c>
      <c r="P129" s="135" t="s">
        <v>2938</v>
      </c>
      <c r="Q129" s="507" t="s">
        <v>72</v>
      </c>
      <c r="R129" s="135">
        <v>31.5</v>
      </c>
      <c r="S129" s="135"/>
      <c r="T129" s="476">
        <f>SUM(R124:R129)</f>
        <v>95.5</v>
      </c>
      <c r="U129" s="135">
        <f t="shared" si="134"/>
        <v>32.984293193717278</v>
      </c>
      <c r="V129" s="508">
        <f>U129</f>
        <v>32.984293193717278</v>
      </c>
      <c r="W129" s="509" t="s">
        <v>72</v>
      </c>
      <c r="X129" s="482">
        <f t="shared" si="9"/>
        <v>15.022549375356384</v>
      </c>
      <c r="Y129" s="481">
        <f>SUM(X129,X135,X142,X147,X154,X159,X163)</f>
        <v>33.81385864332762</v>
      </c>
      <c r="Z129" s="481">
        <f t="shared" ref="Z129:AA129" si="139">Y129</f>
        <v>33.81385864332762</v>
      </c>
      <c r="AA129" s="796">
        <f t="shared" si="139"/>
        <v>33.81385864332762</v>
      </c>
      <c r="AB129" s="456" t="s">
        <v>72</v>
      </c>
      <c r="AC129" s="469" t="s">
        <v>2938</v>
      </c>
      <c r="AD129" s="469" t="s">
        <v>2940</v>
      </c>
      <c r="AE129" s="457">
        <v>0</v>
      </c>
      <c r="AF129" s="457">
        <v>0</v>
      </c>
      <c r="AG129" s="457">
        <v>0</v>
      </c>
      <c r="AH129" s="457">
        <v>0</v>
      </c>
    </row>
    <row r="130" spans="1:34" ht="12.75">
      <c r="A130" s="14" t="s">
        <v>3106</v>
      </c>
      <c r="B130" s="24" t="s">
        <v>2508</v>
      </c>
      <c r="C130" s="14" t="s">
        <v>2539</v>
      </c>
      <c r="D130" s="14" t="s">
        <v>2911</v>
      </c>
      <c r="E130" s="14" t="s">
        <v>3107</v>
      </c>
      <c r="F130" s="13">
        <v>4.75</v>
      </c>
      <c r="G130" s="14" t="s">
        <v>3103</v>
      </c>
      <c r="H130" s="13" t="s">
        <v>3108</v>
      </c>
      <c r="I130" s="14" t="s">
        <v>3121</v>
      </c>
      <c r="J130" s="14" t="s">
        <v>3122</v>
      </c>
      <c r="K130" s="478">
        <f t="shared" ref="K130:K135" si="140">27/101</f>
        <v>0.26732673267326734</v>
      </c>
      <c r="L130" s="220">
        <v>1.27</v>
      </c>
      <c r="M130" s="473" t="s">
        <v>3111</v>
      </c>
      <c r="N130" s="14" t="s">
        <v>3123</v>
      </c>
      <c r="O130" s="220" t="s">
        <v>2961</v>
      </c>
      <c r="P130" s="14" t="s">
        <v>3021</v>
      </c>
      <c r="Q130" s="486" t="s">
        <v>3022</v>
      </c>
      <c r="R130" s="14">
        <v>32</v>
      </c>
      <c r="S130" s="14"/>
      <c r="T130" s="220">
        <f>SUM(R130:R135)</f>
        <v>112.9</v>
      </c>
      <c r="U130" s="14">
        <f t="shared" si="134"/>
        <v>28.343666961913197</v>
      </c>
      <c r="V130" s="220">
        <f>U130*100/SUM(U130:U134)</f>
        <v>40.506329113924046</v>
      </c>
      <c r="W130" s="14" t="s">
        <v>346</v>
      </c>
      <c r="X130" s="14">
        <f t="shared" si="9"/>
        <v>10.828424614613359</v>
      </c>
      <c r="Y130" s="220" t="s">
        <v>1666</v>
      </c>
      <c r="Z130" s="220" t="str">
        <f t="shared" ref="Z130:AH130" si="141">Y130</f>
        <v>*</v>
      </c>
      <c r="AA130" s="792" t="str">
        <f t="shared" si="141"/>
        <v>*</v>
      </c>
      <c r="AB130" s="497" t="str">
        <f t="shared" si="141"/>
        <v>*</v>
      </c>
      <c r="AC130" s="497" t="str">
        <f t="shared" si="141"/>
        <v>*</v>
      </c>
      <c r="AD130" s="497" t="str">
        <f t="shared" si="141"/>
        <v>*</v>
      </c>
      <c r="AE130" s="454" t="str">
        <f t="shared" si="141"/>
        <v>*</v>
      </c>
      <c r="AF130" s="454" t="str">
        <f t="shared" si="141"/>
        <v>*</v>
      </c>
      <c r="AG130" s="454" t="str">
        <f t="shared" si="141"/>
        <v>*</v>
      </c>
      <c r="AH130" s="454" t="str">
        <f t="shared" si="141"/>
        <v>*</v>
      </c>
    </row>
    <row r="131" spans="1:34" ht="12.75">
      <c r="A131" s="14" t="s">
        <v>3106</v>
      </c>
      <c r="B131" s="24" t="s">
        <v>2508</v>
      </c>
      <c r="C131" s="14" t="s">
        <v>2539</v>
      </c>
      <c r="D131" s="14" t="s">
        <v>2911</v>
      </c>
      <c r="E131" s="14" t="s">
        <v>3107</v>
      </c>
      <c r="F131" s="13">
        <v>4.75</v>
      </c>
      <c r="G131" s="14" t="s">
        <v>3103</v>
      </c>
      <c r="H131" s="13" t="s">
        <v>3108</v>
      </c>
      <c r="I131" s="14" t="s">
        <v>3121</v>
      </c>
      <c r="J131" s="14" t="s">
        <v>3122</v>
      </c>
      <c r="K131" s="478">
        <f t="shared" si="140"/>
        <v>0.26732673267326734</v>
      </c>
      <c r="L131" s="220">
        <v>1.27</v>
      </c>
      <c r="M131" s="473" t="s">
        <v>3111</v>
      </c>
      <c r="N131" s="14" t="s">
        <v>3123</v>
      </c>
      <c r="O131" s="220" t="s">
        <v>2961</v>
      </c>
      <c r="P131" s="14" t="s">
        <v>330</v>
      </c>
      <c r="Q131" s="486" t="s">
        <v>3113</v>
      </c>
      <c r="R131" s="14">
        <v>18</v>
      </c>
      <c r="S131" s="14"/>
      <c r="T131" s="220">
        <f>SUM(R130:R135)</f>
        <v>112.9</v>
      </c>
      <c r="U131" s="14">
        <f t="shared" si="134"/>
        <v>15.943312666076173</v>
      </c>
      <c r="V131" s="220">
        <f>U131*100/SUM(U130:U134)</f>
        <v>22.784810126582276</v>
      </c>
      <c r="W131" s="14" t="s">
        <v>332</v>
      </c>
      <c r="X131" s="14">
        <f t="shared" si="9"/>
        <v>6.0909888457200143</v>
      </c>
      <c r="Y131" s="205" t="s">
        <v>1666</v>
      </c>
      <c r="Z131" s="205" t="str">
        <f t="shared" ref="Z131:AH131" si="142">Y131</f>
        <v>*</v>
      </c>
      <c r="AA131" s="792" t="str">
        <f t="shared" si="142"/>
        <v>*</v>
      </c>
      <c r="AB131" s="497" t="str">
        <f t="shared" si="142"/>
        <v>*</v>
      </c>
      <c r="AC131" s="497" t="str">
        <f t="shared" si="142"/>
        <v>*</v>
      </c>
      <c r="AD131" s="497" t="str">
        <f t="shared" si="142"/>
        <v>*</v>
      </c>
      <c r="AE131" s="454" t="str">
        <f t="shared" si="142"/>
        <v>*</v>
      </c>
      <c r="AF131" s="454" t="str">
        <f t="shared" si="142"/>
        <v>*</v>
      </c>
      <c r="AG131" s="454" t="str">
        <f t="shared" si="142"/>
        <v>*</v>
      </c>
      <c r="AH131" s="454" t="str">
        <f t="shared" si="142"/>
        <v>*</v>
      </c>
    </row>
    <row r="132" spans="1:34" ht="12.75">
      <c r="A132" s="14" t="s">
        <v>3106</v>
      </c>
      <c r="B132" s="24" t="s">
        <v>2508</v>
      </c>
      <c r="C132" s="14" t="s">
        <v>2539</v>
      </c>
      <c r="D132" s="14" t="s">
        <v>2911</v>
      </c>
      <c r="E132" s="14" t="s">
        <v>3107</v>
      </c>
      <c r="F132" s="13">
        <v>4.75</v>
      </c>
      <c r="G132" s="14" t="s">
        <v>3103</v>
      </c>
      <c r="H132" s="13" t="s">
        <v>3108</v>
      </c>
      <c r="I132" s="14" t="s">
        <v>3121</v>
      </c>
      <c r="J132" s="14" t="s">
        <v>3122</v>
      </c>
      <c r="K132" s="478">
        <f t="shared" si="140"/>
        <v>0.26732673267326734</v>
      </c>
      <c r="L132" s="220">
        <v>1.27</v>
      </c>
      <c r="M132" s="473" t="s">
        <v>3111</v>
      </c>
      <c r="N132" s="14" t="s">
        <v>3123</v>
      </c>
      <c r="O132" s="220" t="s">
        <v>2961</v>
      </c>
      <c r="P132" s="14" t="s">
        <v>1376</v>
      </c>
      <c r="Q132" s="486" t="s">
        <v>3114</v>
      </c>
      <c r="R132" s="14">
        <v>18</v>
      </c>
      <c r="S132" s="14"/>
      <c r="T132" s="220">
        <f>SUM(R130:R135)</f>
        <v>112.9</v>
      </c>
      <c r="U132" s="14">
        <f t="shared" si="134"/>
        <v>15.943312666076173</v>
      </c>
      <c r="V132" s="220">
        <f>U132*100/SUM(U130:U134)</f>
        <v>22.784810126582276</v>
      </c>
      <c r="W132" s="14" t="s">
        <v>340</v>
      </c>
      <c r="X132" s="14">
        <f t="shared" si="9"/>
        <v>6.0909888457200143</v>
      </c>
      <c r="Y132" s="205" t="s">
        <v>1666</v>
      </c>
      <c r="Z132" s="205" t="str">
        <f t="shared" ref="Z132:AH132" si="143">Y132</f>
        <v>*</v>
      </c>
      <c r="AA132" s="792" t="str">
        <f t="shared" si="143"/>
        <v>*</v>
      </c>
      <c r="AB132" s="497" t="str">
        <f t="shared" si="143"/>
        <v>*</v>
      </c>
      <c r="AC132" s="497" t="str">
        <f t="shared" si="143"/>
        <v>*</v>
      </c>
      <c r="AD132" s="497" t="str">
        <f t="shared" si="143"/>
        <v>*</v>
      </c>
      <c r="AE132" s="454" t="str">
        <f t="shared" si="143"/>
        <v>*</v>
      </c>
      <c r="AF132" s="454" t="str">
        <f t="shared" si="143"/>
        <v>*</v>
      </c>
      <c r="AG132" s="454" t="str">
        <f t="shared" si="143"/>
        <v>*</v>
      </c>
      <c r="AH132" s="454" t="str">
        <f t="shared" si="143"/>
        <v>*</v>
      </c>
    </row>
    <row r="133" spans="1:34" ht="14.25">
      <c r="A133" s="14" t="s">
        <v>3106</v>
      </c>
      <c r="B133" s="24" t="s">
        <v>2508</v>
      </c>
      <c r="C133" s="14" t="s">
        <v>2539</v>
      </c>
      <c r="D133" s="14" t="s">
        <v>2911</v>
      </c>
      <c r="E133" s="14" t="s">
        <v>3107</v>
      </c>
      <c r="F133" s="13">
        <v>4.75</v>
      </c>
      <c r="G133" s="14" t="s">
        <v>3103</v>
      </c>
      <c r="H133" s="13" t="s">
        <v>3108</v>
      </c>
      <c r="I133" s="14" t="s">
        <v>3121</v>
      </c>
      <c r="J133" s="14" t="s">
        <v>3122</v>
      </c>
      <c r="K133" s="478">
        <f t="shared" si="140"/>
        <v>0.26732673267326734</v>
      </c>
      <c r="L133" s="220">
        <v>1.27</v>
      </c>
      <c r="M133" s="473" t="s">
        <v>3111</v>
      </c>
      <c r="N133" s="14" t="s">
        <v>3123</v>
      </c>
      <c r="O133" s="220" t="s">
        <v>2961</v>
      </c>
      <c r="P133" s="14" t="s">
        <v>3124</v>
      </c>
      <c r="Q133" s="486" t="s">
        <v>2968</v>
      </c>
      <c r="R133" s="14">
        <v>10</v>
      </c>
      <c r="S133" s="14"/>
      <c r="T133" s="220">
        <f>SUM(R130:R135)</f>
        <v>112.9</v>
      </c>
      <c r="U133" s="14">
        <f t="shared" si="134"/>
        <v>8.8573959255978743</v>
      </c>
      <c r="V133" s="220">
        <f>U133*100/SUM(U130:U134)</f>
        <v>12.658227848101266</v>
      </c>
      <c r="W133" s="14" t="s">
        <v>1370</v>
      </c>
      <c r="X133" s="14">
        <f t="shared" si="9"/>
        <v>3.3838826920666754</v>
      </c>
      <c r="Y133" s="220" t="s">
        <v>1666</v>
      </c>
      <c r="Z133" s="510">
        <f>SUM(X133,X140)</f>
        <v>3.7423668163411716</v>
      </c>
      <c r="AA133" s="792">
        <f>Z133</f>
        <v>3.7423668163411716</v>
      </c>
      <c r="AB133" s="18" t="s">
        <v>2541</v>
      </c>
      <c r="AC133" s="13"/>
      <c r="AD133" s="13"/>
      <c r="AE133" s="12">
        <v>1.7000000000000001E-2</v>
      </c>
      <c r="AF133" s="12">
        <v>3.15E-2</v>
      </c>
      <c r="AG133" s="12">
        <v>9.9999999999999995E-7</v>
      </c>
      <c r="AH133" s="12">
        <v>9.0389601227534877E-4</v>
      </c>
    </row>
    <row r="134" spans="1:34" ht="12.75">
      <c r="A134" s="14" t="s">
        <v>3106</v>
      </c>
      <c r="B134" s="24" t="s">
        <v>2508</v>
      </c>
      <c r="C134" s="14" t="s">
        <v>2539</v>
      </c>
      <c r="D134" s="14" t="s">
        <v>2911</v>
      </c>
      <c r="E134" s="14" t="s">
        <v>3107</v>
      </c>
      <c r="F134" s="13">
        <v>4.75</v>
      </c>
      <c r="G134" s="14" t="s">
        <v>3103</v>
      </c>
      <c r="H134" s="13" t="s">
        <v>3108</v>
      </c>
      <c r="I134" s="14" t="s">
        <v>3121</v>
      </c>
      <c r="J134" s="14" t="s">
        <v>3122</v>
      </c>
      <c r="K134" s="478">
        <f t="shared" si="140"/>
        <v>0.26732673267326734</v>
      </c>
      <c r="L134" s="220">
        <v>1.27</v>
      </c>
      <c r="M134" s="473" t="s">
        <v>3111</v>
      </c>
      <c r="N134" s="14" t="s">
        <v>3123</v>
      </c>
      <c r="O134" s="220" t="s">
        <v>2961</v>
      </c>
      <c r="P134" s="14" t="s">
        <v>3072</v>
      </c>
      <c r="Q134" s="14" t="s">
        <v>3073</v>
      </c>
      <c r="R134" s="14">
        <v>1</v>
      </c>
      <c r="S134" s="14"/>
      <c r="T134" s="220">
        <f>SUM(R130:R135)</f>
        <v>112.9</v>
      </c>
      <c r="U134" s="14">
        <f t="shared" si="134"/>
        <v>0.8857395925597874</v>
      </c>
      <c r="V134" s="220">
        <f>U134*100/SUM(U130:U134)</f>
        <v>1.2658227848101264</v>
      </c>
      <c r="W134" s="17" t="s">
        <v>343</v>
      </c>
      <c r="X134" s="14">
        <f t="shared" si="9"/>
        <v>0.33838826920666748</v>
      </c>
      <c r="Y134" s="205" t="s">
        <v>1666</v>
      </c>
      <c r="Z134" s="205" t="str">
        <f t="shared" ref="Z134:AH134" si="144">Y134</f>
        <v>*</v>
      </c>
      <c r="AA134" s="792" t="str">
        <f t="shared" si="144"/>
        <v>*</v>
      </c>
      <c r="AB134" s="497" t="str">
        <f t="shared" si="144"/>
        <v>*</v>
      </c>
      <c r="AC134" s="497" t="str">
        <f t="shared" si="144"/>
        <v>*</v>
      </c>
      <c r="AD134" s="497" t="str">
        <f t="shared" si="144"/>
        <v>*</v>
      </c>
      <c r="AE134" s="454" t="str">
        <f t="shared" si="144"/>
        <v>*</v>
      </c>
      <c r="AF134" s="454" t="str">
        <f t="shared" si="144"/>
        <v>*</v>
      </c>
      <c r="AG134" s="454" t="str">
        <f t="shared" si="144"/>
        <v>*</v>
      </c>
      <c r="AH134" s="454" t="str">
        <f t="shared" si="144"/>
        <v>*</v>
      </c>
    </row>
    <row r="135" spans="1:34" ht="12.75">
      <c r="A135" s="14" t="s">
        <v>3106</v>
      </c>
      <c r="B135" s="24" t="s">
        <v>2508</v>
      </c>
      <c r="C135" s="14" t="s">
        <v>2539</v>
      </c>
      <c r="D135" s="14" t="s">
        <v>2911</v>
      </c>
      <c r="E135" s="14" t="s">
        <v>3107</v>
      </c>
      <c r="F135" s="13">
        <v>4.75</v>
      </c>
      <c r="G135" s="14" t="s">
        <v>3103</v>
      </c>
      <c r="H135" s="13" t="s">
        <v>3108</v>
      </c>
      <c r="I135" s="135" t="s">
        <v>3121</v>
      </c>
      <c r="J135" s="135" t="s">
        <v>3122</v>
      </c>
      <c r="K135" s="475">
        <f t="shared" si="140"/>
        <v>0.26732673267326734</v>
      </c>
      <c r="L135" s="476">
        <v>1.27</v>
      </c>
      <c r="M135" s="492" t="s">
        <v>3111</v>
      </c>
      <c r="N135" s="506" t="s">
        <v>3125</v>
      </c>
      <c r="O135" s="476" t="s">
        <v>2961</v>
      </c>
      <c r="P135" s="135" t="s">
        <v>72</v>
      </c>
      <c r="Q135" s="507" t="s">
        <v>72</v>
      </c>
      <c r="R135" s="135">
        <v>33.9</v>
      </c>
      <c r="S135" s="135"/>
      <c r="T135" s="476">
        <f>SUM(R130:R135)</f>
        <v>112.9</v>
      </c>
      <c r="U135" s="135">
        <f t="shared" si="134"/>
        <v>30.026572187776793</v>
      </c>
      <c r="V135" s="508">
        <f>U135</f>
        <v>30.026572187776793</v>
      </c>
      <c r="W135" s="509" t="s">
        <v>72</v>
      </c>
      <c r="X135" s="482">
        <f t="shared" si="9"/>
        <v>8.0269054363363708</v>
      </c>
      <c r="Y135" s="205" t="s">
        <v>1666</v>
      </c>
      <c r="Z135" s="205" t="str">
        <f t="shared" ref="Z135:AH135" si="145">Y135</f>
        <v>*</v>
      </c>
      <c r="AA135" s="792" t="str">
        <f t="shared" si="145"/>
        <v>*</v>
      </c>
      <c r="AB135" s="497" t="str">
        <f t="shared" si="145"/>
        <v>*</v>
      </c>
      <c r="AC135" s="497" t="str">
        <f t="shared" si="145"/>
        <v>*</v>
      </c>
      <c r="AD135" s="497" t="str">
        <f t="shared" si="145"/>
        <v>*</v>
      </c>
      <c r="AE135" s="454" t="str">
        <f t="shared" si="145"/>
        <v>*</v>
      </c>
      <c r="AF135" s="454" t="str">
        <f t="shared" si="145"/>
        <v>*</v>
      </c>
      <c r="AG135" s="454" t="str">
        <f t="shared" si="145"/>
        <v>*</v>
      </c>
      <c r="AH135" s="454" t="str">
        <f t="shared" si="145"/>
        <v>*</v>
      </c>
    </row>
    <row r="136" spans="1:34" ht="11.25" customHeight="1">
      <c r="A136" s="14" t="s">
        <v>3106</v>
      </c>
      <c r="B136" s="24" t="s">
        <v>2508</v>
      </c>
      <c r="C136" s="14" t="s">
        <v>2539</v>
      </c>
      <c r="D136" s="14" t="s">
        <v>2911</v>
      </c>
      <c r="E136" s="14" t="s">
        <v>3107</v>
      </c>
      <c r="F136" s="13">
        <v>4.75</v>
      </c>
      <c r="G136" s="14" t="s">
        <v>3103</v>
      </c>
      <c r="H136" s="13" t="s">
        <v>3108</v>
      </c>
      <c r="I136" s="14" t="s">
        <v>3126</v>
      </c>
      <c r="J136" s="14" t="s">
        <v>3127</v>
      </c>
      <c r="K136" s="478">
        <f t="shared" ref="K136:K147" si="146">7/101</f>
        <v>6.9306930693069313E-2</v>
      </c>
      <c r="L136" s="220">
        <v>0.33</v>
      </c>
      <c r="M136" s="473" t="s">
        <v>3111</v>
      </c>
      <c r="N136" s="14" t="s">
        <v>3128</v>
      </c>
      <c r="O136" s="220" t="s">
        <v>2961</v>
      </c>
      <c r="P136" s="14" t="s">
        <v>3129</v>
      </c>
      <c r="Q136" s="486" t="s">
        <v>3130</v>
      </c>
      <c r="R136" s="14">
        <v>36</v>
      </c>
      <c r="S136" s="14"/>
      <c r="T136" s="220">
        <f>SUM(R136:R142)</f>
        <v>101.8</v>
      </c>
      <c r="U136" s="14">
        <f t="shared" si="134"/>
        <v>35.36345776031434</v>
      </c>
      <c r="V136" s="220">
        <f>U136*100/SUM(U136:U141)</f>
        <v>62.068965517241388</v>
      </c>
      <c r="W136" s="14" t="s">
        <v>350</v>
      </c>
      <c r="X136" s="14">
        <f t="shared" si="9"/>
        <v>4.301809491293958</v>
      </c>
      <c r="Y136" s="499">
        <f>SUM(X136)</f>
        <v>4.301809491293958</v>
      </c>
      <c r="Z136" s="220" t="s">
        <v>1624</v>
      </c>
      <c r="AA136" s="792">
        <f>X136</f>
        <v>4.301809491293958</v>
      </c>
      <c r="AB136" s="18" t="s">
        <v>350</v>
      </c>
      <c r="AC136" s="13" t="s">
        <v>18</v>
      </c>
      <c r="AD136" s="13" t="s">
        <v>2967</v>
      </c>
      <c r="AE136" s="12">
        <v>7.6923076923076919E-3</v>
      </c>
      <c r="AF136" s="12">
        <v>0.183</v>
      </c>
      <c r="AG136" s="12">
        <v>2.8673068893528183E-4</v>
      </c>
      <c r="AH136" s="12">
        <v>1.4770983615231311E-3</v>
      </c>
    </row>
    <row r="137" spans="1:34" ht="12.75">
      <c r="A137" s="14" t="s">
        <v>3106</v>
      </c>
      <c r="B137" s="24" t="s">
        <v>2508</v>
      </c>
      <c r="C137" s="14" t="s">
        <v>2539</v>
      </c>
      <c r="D137" s="14" t="s">
        <v>2911</v>
      </c>
      <c r="E137" s="14" t="s">
        <v>3107</v>
      </c>
      <c r="F137" s="13">
        <v>4.75</v>
      </c>
      <c r="G137" s="14" t="s">
        <v>3103</v>
      </c>
      <c r="H137" s="13" t="s">
        <v>3108</v>
      </c>
      <c r="I137" s="14" t="s">
        <v>3126</v>
      </c>
      <c r="J137" s="14" t="s">
        <v>3127</v>
      </c>
      <c r="K137" s="478">
        <f t="shared" si="146"/>
        <v>6.9306930693069313E-2</v>
      </c>
      <c r="L137" s="220">
        <v>0.33</v>
      </c>
      <c r="M137" s="473" t="s">
        <v>3111</v>
      </c>
      <c r="N137" s="14" t="s">
        <v>3128</v>
      </c>
      <c r="O137" s="220" t="s">
        <v>2961</v>
      </c>
      <c r="P137" s="14" t="s">
        <v>1376</v>
      </c>
      <c r="Q137" s="486" t="s">
        <v>3114</v>
      </c>
      <c r="R137" s="14">
        <v>12</v>
      </c>
      <c r="S137" s="14"/>
      <c r="T137" s="220">
        <f>SUM(R136:R142)</f>
        <v>101.8</v>
      </c>
      <c r="U137" s="14">
        <f t="shared" si="134"/>
        <v>11.787819253438114</v>
      </c>
      <c r="V137" s="220">
        <f>U137*100/SUM(U136:U141)</f>
        <v>20.689655172413794</v>
      </c>
      <c r="W137" s="14" t="s">
        <v>340</v>
      </c>
      <c r="X137" s="14">
        <f t="shared" si="9"/>
        <v>1.4339364970979858</v>
      </c>
      <c r="Y137" s="220" t="s">
        <v>1666</v>
      </c>
      <c r="Z137" s="205" t="str">
        <f t="shared" ref="Z137:AH137" si="147">Y137</f>
        <v>*</v>
      </c>
      <c r="AA137" s="792" t="str">
        <f t="shared" si="147"/>
        <v>*</v>
      </c>
      <c r="AB137" s="497" t="str">
        <f t="shared" si="147"/>
        <v>*</v>
      </c>
      <c r="AC137" s="497" t="str">
        <f t="shared" si="147"/>
        <v>*</v>
      </c>
      <c r="AD137" s="497" t="str">
        <f t="shared" si="147"/>
        <v>*</v>
      </c>
      <c r="AE137" s="454" t="str">
        <f t="shared" si="147"/>
        <v>*</v>
      </c>
      <c r="AF137" s="454" t="str">
        <f t="shared" si="147"/>
        <v>*</v>
      </c>
      <c r="AG137" s="454" t="str">
        <f t="shared" si="147"/>
        <v>*</v>
      </c>
      <c r="AH137" s="454" t="str">
        <f t="shared" si="147"/>
        <v>*</v>
      </c>
    </row>
    <row r="138" spans="1:34" ht="12.75">
      <c r="A138" s="14" t="s">
        <v>3106</v>
      </c>
      <c r="B138" s="24" t="s">
        <v>2508</v>
      </c>
      <c r="C138" s="14" t="s">
        <v>2539</v>
      </c>
      <c r="D138" s="14" t="s">
        <v>2911</v>
      </c>
      <c r="E138" s="14" t="s">
        <v>3107</v>
      </c>
      <c r="F138" s="13">
        <v>4.75</v>
      </c>
      <c r="G138" s="14" t="s">
        <v>3103</v>
      </c>
      <c r="H138" s="13" t="s">
        <v>3108</v>
      </c>
      <c r="I138" s="14" t="s">
        <v>3126</v>
      </c>
      <c r="J138" s="14" t="s">
        <v>3127</v>
      </c>
      <c r="K138" s="478">
        <f t="shared" si="146"/>
        <v>6.9306930693069313E-2</v>
      </c>
      <c r="L138" s="220">
        <v>0.33</v>
      </c>
      <c r="M138" s="473" t="s">
        <v>3111</v>
      </c>
      <c r="N138" s="14" t="s">
        <v>3128</v>
      </c>
      <c r="O138" s="220" t="s">
        <v>2961</v>
      </c>
      <c r="P138" s="14" t="s">
        <v>3021</v>
      </c>
      <c r="Q138" s="486" t="s">
        <v>3022</v>
      </c>
      <c r="R138" s="14">
        <v>3</v>
      </c>
      <c r="S138" s="14"/>
      <c r="T138" s="220">
        <f>SUM(R136:R142)</f>
        <v>101.8</v>
      </c>
      <c r="U138" s="14">
        <f t="shared" si="134"/>
        <v>2.9469548133595285</v>
      </c>
      <c r="V138" s="220">
        <f>U138*100/SUM(U136:U141)</f>
        <v>5.1724137931034484</v>
      </c>
      <c r="W138" s="14" t="s">
        <v>346</v>
      </c>
      <c r="X138" s="14">
        <f t="shared" si="9"/>
        <v>0.35848412427449644</v>
      </c>
      <c r="Y138" s="220" t="s">
        <v>1666</v>
      </c>
      <c r="Z138" s="205" t="str">
        <f t="shared" ref="Z138:AH138" si="148">Y138</f>
        <v>*</v>
      </c>
      <c r="AA138" s="792" t="str">
        <f t="shared" si="148"/>
        <v>*</v>
      </c>
      <c r="AB138" s="497" t="str">
        <f t="shared" si="148"/>
        <v>*</v>
      </c>
      <c r="AC138" s="497" t="str">
        <f t="shared" si="148"/>
        <v>*</v>
      </c>
      <c r="AD138" s="497" t="str">
        <f t="shared" si="148"/>
        <v>*</v>
      </c>
      <c r="AE138" s="454" t="str">
        <f t="shared" si="148"/>
        <v>*</v>
      </c>
      <c r="AF138" s="454" t="str">
        <f t="shared" si="148"/>
        <v>*</v>
      </c>
      <c r="AG138" s="454" t="str">
        <f t="shared" si="148"/>
        <v>*</v>
      </c>
      <c r="AH138" s="454" t="str">
        <f t="shared" si="148"/>
        <v>*</v>
      </c>
    </row>
    <row r="139" spans="1:34" ht="12.75">
      <c r="A139" s="14" t="s">
        <v>3106</v>
      </c>
      <c r="B139" s="24" t="s">
        <v>2508</v>
      </c>
      <c r="C139" s="14" t="s">
        <v>2539</v>
      </c>
      <c r="D139" s="14" t="s">
        <v>2911</v>
      </c>
      <c r="E139" s="14" t="s">
        <v>3107</v>
      </c>
      <c r="F139" s="13">
        <v>4.75</v>
      </c>
      <c r="G139" s="14" t="s">
        <v>3103</v>
      </c>
      <c r="H139" s="13" t="s">
        <v>3108</v>
      </c>
      <c r="I139" s="14" t="s">
        <v>3126</v>
      </c>
      <c r="J139" s="14" t="s">
        <v>3127</v>
      </c>
      <c r="K139" s="478">
        <f t="shared" si="146"/>
        <v>6.9306930693069313E-2</v>
      </c>
      <c r="L139" s="220">
        <v>0.33</v>
      </c>
      <c r="M139" s="473" t="s">
        <v>3111</v>
      </c>
      <c r="N139" s="14" t="s">
        <v>3128</v>
      </c>
      <c r="O139" s="220" t="s">
        <v>2961</v>
      </c>
      <c r="P139" s="14" t="s">
        <v>330</v>
      </c>
      <c r="Q139" s="486" t="s">
        <v>3113</v>
      </c>
      <c r="R139" s="14">
        <v>3</v>
      </c>
      <c r="S139" s="14"/>
      <c r="T139" s="220">
        <f>SUM(R136:R142)</f>
        <v>101.8</v>
      </c>
      <c r="U139" s="14">
        <f t="shared" si="134"/>
        <v>2.9469548133595285</v>
      </c>
      <c r="V139" s="220">
        <f>U139*100/SUM(U136:U141)</f>
        <v>5.1724137931034484</v>
      </c>
      <c r="W139" s="14" t="s">
        <v>332</v>
      </c>
      <c r="X139" s="14">
        <f t="shared" si="9"/>
        <v>0.35848412427449644</v>
      </c>
      <c r="Y139" s="220" t="s">
        <v>1666</v>
      </c>
      <c r="Z139" s="205" t="str">
        <f t="shared" ref="Z139:AH139" si="149">Y139</f>
        <v>*</v>
      </c>
      <c r="AA139" s="792" t="str">
        <f t="shared" si="149"/>
        <v>*</v>
      </c>
      <c r="AB139" s="497" t="str">
        <f t="shared" si="149"/>
        <v>*</v>
      </c>
      <c r="AC139" s="497" t="str">
        <f t="shared" si="149"/>
        <v>*</v>
      </c>
      <c r="AD139" s="497" t="str">
        <f t="shared" si="149"/>
        <v>*</v>
      </c>
      <c r="AE139" s="454" t="str">
        <f t="shared" si="149"/>
        <v>*</v>
      </c>
      <c r="AF139" s="454" t="str">
        <f t="shared" si="149"/>
        <v>*</v>
      </c>
      <c r="AG139" s="454" t="str">
        <f t="shared" si="149"/>
        <v>*</v>
      </c>
      <c r="AH139" s="454" t="str">
        <f t="shared" si="149"/>
        <v>*</v>
      </c>
    </row>
    <row r="140" spans="1:34" ht="12.75">
      <c r="A140" s="14" t="s">
        <v>3106</v>
      </c>
      <c r="B140" s="24" t="s">
        <v>2508</v>
      </c>
      <c r="C140" s="14" t="s">
        <v>2539</v>
      </c>
      <c r="D140" s="14" t="s">
        <v>2911</v>
      </c>
      <c r="E140" s="14" t="s">
        <v>3107</v>
      </c>
      <c r="F140" s="13">
        <v>4.75</v>
      </c>
      <c r="G140" s="14" t="s">
        <v>3103</v>
      </c>
      <c r="H140" s="13" t="s">
        <v>3108</v>
      </c>
      <c r="I140" s="14" t="s">
        <v>3126</v>
      </c>
      <c r="J140" s="14" t="s">
        <v>3127</v>
      </c>
      <c r="K140" s="478">
        <f t="shared" si="146"/>
        <v>6.9306930693069313E-2</v>
      </c>
      <c r="L140" s="220">
        <v>0.33</v>
      </c>
      <c r="M140" s="473" t="s">
        <v>3111</v>
      </c>
      <c r="N140" s="14" t="s">
        <v>3128</v>
      </c>
      <c r="O140" s="220" t="s">
        <v>2961</v>
      </c>
      <c r="P140" s="14" t="s">
        <v>3124</v>
      </c>
      <c r="Q140" s="486" t="s">
        <v>2968</v>
      </c>
      <c r="R140" s="14">
        <v>3</v>
      </c>
      <c r="S140" s="14"/>
      <c r="T140" s="220">
        <f>SUM(R136:R142)</f>
        <v>101.8</v>
      </c>
      <c r="U140" s="14">
        <f t="shared" si="134"/>
        <v>2.9469548133595285</v>
      </c>
      <c r="V140" s="220">
        <f>U140*100/SUM(U136:U141)</f>
        <v>5.1724137931034484</v>
      </c>
      <c r="W140" s="14" t="s">
        <v>1370</v>
      </c>
      <c r="X140" s="14">
        <f t="shared" si="9"/>
        <v>0.35848412427449644</v>
      </c>
      <c r="Y140" s="220" t="s">
        <v>1666</v>
      </c>
      <c r="Z140" s="205" t="str">
        <f t="shared" ref="Z140:AH140" si="150">Y140</f>
        <v>*</v>
      </c>
      <c r="AA140" s="792" t="str">
        <f t="shared" si="150"/>
        <v>*</v>
      </c>
      <c r="AB140" s="497" t="str">
        <f t="shared" si="150"/>
        <v>*</v>
      </c>
      <c r="AC140" s="497" t="str">
        <f t="shared" si="150"/>
        <v>*</v>
      </c>
      <c r="AD140" s="497" t="str">
        <f t="shared" si="150"/>
        <v>*</v>
      </c>
      <c r="AE140" s="454" t="str">
        <f t="shared" si="150"/>
        <v>*</v>
      </c>
      <c r="AF140" s="454" t="str">
        <f t="shared" si="150"/>
        <v>*</v>
      </c>
      <c r="AG140" s="454" t="str">
        <f t="shared" si="150"/>
        <v>*</v>
      </c>
      <c r="AH140" s="454" t="str">
        <f t="shared" si="150"/>
        <v>*</v>
      </c>
    </row>
    <row r="141" spans="1:34" ht="12.75">
      <c r="A141" s="14" t="s">
        <v>3106</v>
      </c>
      <c r="B141" s="24" t="s">
        <v>2508</v>
      </c>
      <c r="C141" s="14" t="s">
        <v>2539</v>
      </c>
      <c r="D141" s="14" t="s">
        <v>2911</v>
      </c>
      <c r="E141" s="14" t="s">
        <v>3107</v>
      </c>
      <c r="F141" s="13">
        <v>4.75</v>
      </c>
      <c r="G141" s="14" t="s">
        <v>3103</v>
      </c>
      <c r="H141" s="13" t="s">
        <v>3108</v>
      </c>
      <c r="I141" s="14" t="s">
        <v>3126</v>
      </c>
      <c r="J141" s="14" t="s">
        <v>3127</v>
      </c>
      <c r="K141" s="478">
        <f t="shared" si="146"/>
        <v>6.9306930693069313E-2</v>
      </c>
      <c r="L141" s="220">
        <v>0.33</v>
      </c>
      <c r="M141" s="473" t="s">
        <v>3111</v>
      </c>
      <c r="N141" s="14" t="s">
        <v>3128</v>
      </c>
      <c r="O141" s="220" t="s">
        <v>2961</v>
      </c>
      <c r="P141" s="14" t="s">
        <v>3072</v>
      </c>
      <c r="Q141" s="14" t="s">
        <v>3073</v>
      </c>
      <c r="R141" s="14">
        <v>1</v>
      </c>
      <c r="S141" s="14"/>
      <c r="T141" s="220">
        <f>SUM(R136:R142)</f>
        <v>101.8</v>
      </c>
      <c r="U141" s="14">
        <f t="shared" si="134"/>
        <v>0.98231827111984282</v>
      </c>
      <c r="V141" s="220">
        <f>U141*100/SUM(U136:U141)</f>
        <v>1.7241379310344831</v>
      </c>
      <c r="W141" s="17" t="s">
        <v>343</v>
      </c>
      <c r="X141" s="14">
        <f t="shared" si="9"/>
        <v>0.11949470809149884</v>
      </c>
      <c r="Y141" s="220" t="s">
        <v>1666</v>
      </c>
      <c r="Z141" s="205" t="str">
        <f t="shared" ref="Z141:AH141" si="151">Y141</f>
        <v>*</v>
      </c>
      <c r="AA141" s="792" t="str">
        <f t="shared" si="151"/>
        <v>*</v>
      </c>
      <c r="AB141" s="497" t="str">
        <f t="shared" si="151"/>
        <v>*</v>
      </c>
      <c r="AC141" s="497" t="str">
        <f t="shared" si="151"/>
        <v>*</v>
      </c>
      <c r="AD141" s="497" t="str">
        <f t="shared" si="151"/>
        <v>*</v>
      </c>
      <c r="AE141" s="454" t="str">
        <f t="shared" si="151"/>
        <v>*</v>
      </c>
      <c r="AF141" s="454" t="str">
        <f t="shared" si="151"/>
        <v>*</v>
      </c>
      <c r="AG141" s="454" t="str">
        <f t="shared" si="151"/>
        <v>*</v>
      </c>
      <c r="AH141" s="454" t="str">
        <f t="shared" si="151"/>
        <v>*</v>
      </c>
    </row>
    <row r="142" spans="1:34" ht="12.75">
      <c r="A142" s="14" t="s">
        <v>3106</v>
      </c>
      <c r="B142" s="24" t="s">
        <v>2508</v>
      </c>
      <c r="C142" s="14" t="s">
        <v>2539</v>
      </c>
      <c r="D142" s="14" t="s">
        <v>2911</v>
      </c>
      <c r="E142" s="14" t="s">
        <v>3107</v>
      </c>
      <c r="F142" s="13">
        <v>4.75</v>
      </c>
      <c r="G142" s="14" t="s">
        <v>3103</v>
      </c>
      <c r="H142" s="13" t="s">
        <v>3108</v>
      </c>
      <c r="I142" s="135" t="s">
        <v>3126</v>
      </c>
      <c r="J142" s="135" t="s">
        <v>3127</v>
      </c>
      <c r="K142" s="475">
        <f t="shared" si="146"/>
        <v>6.9306930693069313E-2</v>
      </c>
      <c r="L142" s="476">
        <v>0.33</v>
      </c>
      <c r="M142" s="492" t="s">
        <v>3111</v>
      </c>
      <c r="N142" s="135" t="s">
        <v>3131</v>
      </c>
      <c r="O142" s="476" t="s">
        <v>2961</v>
      </c>
      <c r="P142" s="135" t="s">
        <v>72</v>
      </c>
      <c r="Q142" s="135" t="s">
        <v>72</v>
      </c>
      <c r="R142" s="135">
        <v>43.8</v>
      </c>
      <c r="S142" s="135"/>
      <c r="T142" s="476">
        <f>SUM(R136:R142)</f>
        <v>101.8</v>
      </c>
      <c r="U142" s="135">
        <f t="shared" si="134"/>
        <v>43.025540275049117</v>
      </c>
      <c r="V142" s="508">
        <f>U142</f>
        <v>43.025540275049117</v>
      </c>
      <c r="W142" s="509" t="s">
        <v>72</v>
      </c>
      <c r="X142" s="482">
        <f t="shared" si="9"/>
        <v>2.9819681378746914</v>
      </c>
      <c r="Y142" s="220" t="s">
        <v>1666</v>
      </c>
      <c r="Z142" s="205" t="str">
        <f t="shared" ref="Z142:AH142" si="152">Y142</f>
        <v>*</v>
      </c>
      <c r="AA142" s="792" t="str">
        <f t="shared" si="152"/>
        <v>*</v>
      </c>
      <c r="AB142" s="497" t="str">
        <f t="shared" si="152"/>
        <v>*</v>
      </c>
      <c r="AC142" s="497" t="str">
        <f t="shared" si="152"/>
        <v>*</v>
      </c>
      <c r="AD142" s="497" t="str">
        <f t="shared" si="152"/>
        <v>*</v>
      </c>
      <c r="AE142" s="454" t="str">
        <f t="shared" si="152"/>
        <v>*</v>
      </c>
      <c r="AF142" s="454" t="str">
        <f t="shared" si="152"/>
        <v>*</v>
      </c>
      <c r="AG142" s="454" t="str">
        <f t="shared" si="152"/>
        <v>*</v>
      </c>
      <c r="AH142" s="454" t="str">
        <f t="shared" si="152"/>
        <v>*</v>
      </c>
    </row>
    <row r="143" spans="1:34" ht="12.75">
      <c r="A143" s="14" t="s">
        <v>3106</v>
      </c>
      <c r="B143" s="24" t="s">
        <v>2508</v>
      </c>
      <c r="C143" s="14" t="s">
        <v>2539</v>
      </c>
      <c r="D143" s="14" t="s">
        <v>2911</v>
      </c>
      <c r="E143" s="14" t="s">
        <v>3107</v>
      </c>
      <c r="F143" s="13">
        <v>4.75</v>
      </c>
      <c r="G143" s="14" t="s">
        <v>3103</v>
      </c>
      <c r="H143" s="13" t="s">
        <v>3108</v>
      </c>
      <c r="I143" s="14" t="s">
        <v>3132</v>
      </c>
      <c r="J143" s="14" t="s">
        <v>3133</v>
      </c>
      <c r="K143" s="478">
        <f t="shared" si="146"/>
        <v>6.9306930693069313E-2</v>
      </c>
      <c r="L143" s="220">
        <v>0.33</v>
      </c>
      <c r="M143" s="473" t="s">
        <v>3111</v>
      </c>
      <c r="N143" s="14" t="s">
        <v>3134</v>
      </c>
      <c r="O143" s="220" t="s">
        <v>2961</v>
      </c>
      <c r="P143" s="14" t="s">
        <v>1376</v>
      </c>
      <c r="Q143" s="486" t="s">
        <v>3114</v>
      </c>
      <c r="R143" s="14">
        <v>30</v>
      </c>
      <c r="S143" s="14">
        <f>(0.01*R143)*L143</f>
        <v>9.9000000000000005E-2</v>
      </c>
      <c r="T143" s="220">
        <f>SUM(R143:R147)</f>
        <v>95</v>
      </c>
      <c r="U143" s="14">
        <f t="shared" si="134"/>
        <v>31.578947368421051</v>
      </c>
      <c r="V143" s="220">
        <f>U143*100/SUM(U143:U146)</f>
        <v>52.631578947368418</v>
      </c>
      <c r="W143" s="14" t="s">
        <v>340</v>
      </c>
      <c r="X143" s="14">
        <f t="shared" si="9"/>
        <v>3.6477331943720688</v>
      </c>
      <c r="Y143" s="220" t="s">
        <v>1666</v>
      </c>
      <c r="Z143" s="205" t="str">
        <f t="shared" ref="Z143:AH143" si="153">Y143</f>
        <v>*</v>
      </c>
      <c r="AA143" s="792" t="str">
        <f t="shared" si="153"/>
        <v>*</v>
      </c>
      <c r="AB143" s="497" t="str">
        <f t="shared" si="153"/>
        <v>*</v>
      </c>
      <c r="AC143" s="497" t="str">
        <f t="shared" si="153"/>
        <v>*</v>
      </c>
      <c r="AD143" s="497" t="str">
        <f t="shared" si="153"/>
        <v>*</v>
      </c>
      <c r="AE143" s="454" t="str">
        <f t="shared" si="153"/>
        <v>*</v>
      </c>
      <c r="AF143" s="454" t="str">
        <f t="shared" si="153"/>
        <v>*</v>
      </c>
      <c r="AG143" s="454" t="str">
        <f t="shared" si="153"/>
        <v>*</v>
      </c>
      <c r="AH143" s="454" t="str">
        <f t="shared" si="153"/>
        <v>*</v>
      </c>
    </row>
    <row r="144" spans="1:34" ht="12.75">
      <c r="A144" s="14" t="s">
        <v>3106</v>
      </c>
      <c r="B144" s="24" t="s">
        <v>2508</v>
      </c>
      <c r="C144" s="14" t="s">
        <v>2539</v>
      </c>
      <c r="D144" s="14" t="s">
        <v>2911</v>
      </c>
      <c r="E144" s="14" t="s">
        <v>3107</v>
      </c>
      <c r="F144" s="13">
        <v>4.75</v>
      </c>
      <c r="G144" s="14" t="s">
        <v>3103</v>
      </c>
      <c r="H144" s="13" t="s">
        <v>3108</v>
      </c>
      <c r="I144" s="14" t="s">
        <v>3132</v>
      </c>
      <c r="J144" s="14" t="s">
        <v>3133</v>
      </c>
      <c r="K144" s="478">
        <f t="shared" si="146"/>
        <v>6.9306930693069313E-2</v>
      </c>
      <c r="L144" s="220">
        <v>0.33</v>
      </c>
      <c r="M144" s="473" t="s">
        <v>3111</v>
      </c>
      <c r="N144" s="14" t="s">
        <v>3134</v>
      </c>
      <c r="O144" s="220" t="s">
        <v>2961</v>
      </c>
      <c r="P144" s="14" t="s">
        <v>330</v>
      </c>
      <c r="Q144" s="486" t="s">
        <v>3113</v>
      </c>
      <c r="R144" s="14">
        <v>15</v>
      </c>
      <c r="S144" s="14"/>
      <c r="T144" s="220">
        <f>SUM(R143:R147)</f>
        <v>95</v>
      </c>
      <c r="U144" s="14">
        <f t="shared" si="134"/>
        <v>15.789473684210526</v>
      </c>
      <c r="V144" s="220">
        <f>U144*100/SUM(U143:U146)</f>
        <v>26.315789473684209</v>
      </c>
      <c r="W144" s="14" t="s">
        <v>332</v>
      </c>
      <c r="X144" s="14">
        <f t="shared" si="9"/>
        <v>1.8238665971860344</v>
      </c>
      <c r="Y144" s="220" t="s">
        <v>1666</v>
      </c>
      <c r="Z144" s="205" t="str">
        <f t="shared" ref="Z144:AH144" si="154">Y144</f>
        <v>*</v>
      </c>
      <c r="AA144" s="792" t="str">
        <f t="shared" si="154"/>
        <v>*</v>
      </c>
      <c r="AB144" s="497" t="str">
        <f t="shared" si="154"/>
        <v>*</v>
      </c>
      <c r="AC144" s="497" t="str">
        <f t="shared" si="154"/>
        <v>*</v>
      </c>
      <c r="AD144" s="497" t="str">
        <f t="shared" si="154"/>
        <v>*</v>
      </c>
      <c r="AE144" s="454" t="str">
        <f t="shared" si="154"/>
        <v>*</v>
      </c>
      <c r="AF144" s="454" t="str">
        <f t="shared" si="154"/>
        <v>*</v>
      </c>
      <c r="AG144" s="454" t="str">
        <f t="shared" si="154"/>
        <v>*</v>
      </c>
      <c r="AH144" s="454" t="str">
        <f t="shared" si="154"/>
        <v>*</v>
      </c>
    </row>
    <row r="145" spans="1:34" ht="12.75">
      <c r="A145" s="14" t="s">
        <v>3106</v>
      </c>
      <c r="B145" s="24" t="s">
        <v>2508</v>
      </c>
      <c r="C145" s="14" t="s">
        <v>2539</v>
      </c>
      <c r="D145" s="14" t="s">
        <v>2911</v>
      </c>
      <c r="E145" s="14" t="s">
        <v>3107</v>
      </c>
      <c r="F145" s="13">
        <v>4.75</v>
      </c>
      <c r="G145" s="14" t="s">
        <v>3103</v>
      </c>
      <c r="H145" s="13" t="s">
        <v>3108</v>
      </c>
      <c r="I145" s="14" t="s">
        <v>3132</v>
      </c>
      <c r="J145" s="14" t="s">
        <v>3133</v>
      </c>
      <c r="K145" s="478">
        <f t="shared" si="146"/>
        <v>6.9306930693069313E-2</v>
      </c>
      <c r="L145" s="220">
        <v>0.33</v>
      </c>
      <c r="M145" s="473" t="s">
        <v>3111</v>
      </c>
      <c r="N145" s="14" t="s">
        <v>3134</v>
      </c>
      <c r="O145" s="220" t="s">
        <v>2961</v>
      </c>
      <c r="P145" s="14" t="s">
        <v>3117</v>
      </c>
      <c r="Q145" s="14" t="s">
        <v>325</v>
      </c>
      <c r="R145" s="14">
        <v>11</v>
      </c>
      <c r="S145" s="14"/>
      <c r="T145" s="220">
        <f>SUM(R143:R147)</f>
        <v>95</v>
      </c>
      <c r="U145" s="14">
        <f t="shared" si="134"/>
        <v>11.578947368421053</v>
      </c>
      <c r="V145" s="220">
        <f>U145*100/SUM(U143:U146)</f>
        <v>19.298245614035086</v>
      </c>
      <c r="W145" s="14" t="s">
        <v>325</v>
      </c>
      <c r="X145" s="14">
        <f t="shared" si="9"/>
        <v>1.3375021712697586</v>
      </c>
      <c r="Y145" s="220" t="s">
        <v>1666</v>
      </c>
      <c r="Z145" s="205" t="str">
        <f t="shared" ref="Z145:AH145" si="155">Y145</f>
        <v>*</v>
      </c>
      <c r="AA145" s="792" t="str">
        <f t="shared" si="155"/>
        <v>*</v>
      </c>
      <c r="AB145" s="497" t="str">
        <f t="shared" si="155"/>
        <v>*</v>
      </c>
      <c r="AC145" s="497" t="str">
        <f t="shared" si="155"/>
        <v>*</v>
      </c>
      <c r="AD145" s="497" t="str">
        <f t="shared" si="155"/>
        <v>*</v>
      </c>
      <c r="AE145" s="454" t="str">
        <f t="shared" si="155"/>
        <v>*</v>
      </c>
      <c r="AF145" s="454" t="str">
        <f t="shared" si="155"/>
        <v>*</v>
      </c>
      <c r="AG145" s="454" t="str">
        <f t="shared" si="155"/>
        <v>*</v>
      </c>
      <c r="AH145" s="454" t="str">
        <f t="shared" si="155"/>
        <v>*</v>
      </c>
    </row>
    <row r="146" spans="1:34" ht="12.75">
      <c r="A146" s="14" t="s">
        <v>3106</v>
      </c>
      <c r="B146" s="24" t="s">
        <v>2508</v>
      </c>
      <c r="C146" s="14" t="s">
        <v>2539</v>
      </c>
      <c r="D146" s="14" t="s">
        <v>2911</v>
      </c>
      <c r="E146" s="14" t="s">
        <v>3107</v>
      </c>
      <c r="F146" s="13">
        <v>4.75</v>
      </c>
      <c r="G146" s="14" t="s">
        <v>3103</v>
      </c>
      <c r="H146" s="13" t="s">
        <v>3108</v>
      </c>
      <c r="I146" s="14" t="s">
        <v>3132</v>
      </c>
      <c r="J146" s="14" t="s">
        <v>3133</v>
      </c>
      <c r="K146" s="478">
        <f t="shared" si="146"/>
        <v>6.9306930693069313E-2</v>
      </c>
      <c r="L146" s="220">
        <v>0.33</v>
      </c>
      <c r="M146" s="473" t="s">
        <v>3111</v>
      </c>
      <c r="N146" s="14" t="s">
        <v>3134</v>
      </c>
      <c r="O146" s="220" t="s">
        <v>2961</v>
      </c>
      <c r="P146" s="14" t="s">
        <v>3072</v>
      </c>
      <c r="Q146" s="14" t="s">
        <v>3073</v>
      </c>
      <c r="R146" s="14">
        <v>1</v>
      </c>
      <c r="S146" s="14"/>
      <c r="T146" s="220">
        <f>SUM(R143:R147)</f>
        <v>95</v>
      </c>
      <c r="U146" s="14">
        <f t="shared" si="134"/>
        <v>1.0526315789473684</v>
      </c>
      <c r="V146" s="220">
        <f>U146*100/SUM(U143:U146)</f>
        <v>1.7543859649122806</v>
      </c>
      <c r="W146" s="17" t="s">
        <v>343</v>
      </c>
      <c r="X146" s="14">
        <f t="shared" si="9"/>
        <v>0.12159110647906897</v>
      </c>
      <c r="Y146" s="220" t="s">
        <v>1666</v>
      </c>
      <c r="Z146" s="205" t="str">
        <f t="shared" ref="Z146:AH146" si="156">Y146</f>
        <v>*</v>
      </c>
      <c r="AA146" s="792" t="str">
        <f t="shared" si="156"/>
        <v>*</v>
      </c>
      <c r="AB146" s="497" t="str">
        <f t="shared" si="156"/>
        <v>*</v>
      </c>
      <c r="AC146" s="497" t="str">
        <f t="shared" si="156"/>
        <v>*</v>
      </c>
      <c r="AD146" s="497" t="str">
        <f t="shared" si="156"/>
        <v>*</v>
      </c>
      <c r="AE146" s="454" t="str">
        <f t="shared" si="156"/>
        <v>*</v>
      </c>
      <c r="AF146" s="454" t="str">
        <f t="shared" si="156"/>
        <v>*</v>
      </c>
      <c r="AG146" s="454" t="str">
        <f t="shared" si="156"/>
        <v>*</v>
      </c>
      <c r="AH146" s="454" t="str">
        <f t="shared" si="156"/>
        <v>*</v>
      </c>
    </row>
    <row r="147" spans="1:34" ht="12.75">
      <c r="A147" s="14" t="s">
        <v>3106</v>
      </c>
      <c r="B147" s="24" t="s">
        <v>2508</v>
      </c>
      <c r="C147" s="14" t="s">
        <v>2539</v>
      </c>
      <c r="D147" s="14" t="s">
        <v>2911</v>
      </c>
      <c r="E147" s="14" t="s">
        <v>3107</v>
      </c>
      <c r="F147" s="13">
        <v>4.75</v>
      </c>
      <c r="G147" s="14" t="s">
        <v>3103</v>
      </c>
      <c r="H147" s="13" t="s">
        <v>3108</v>
      </c>
      <c r="I147" s="135" t="s">
        <v>3132</v>
      </c>
      <c r="J147" s="135" t="s">
        <v>3133</v>
      </c>
      <c r="K147" s="475">
        <f t="shared" si="146"/>
        <v>6.9306930693069313E-2</v>
      </c>
      <c r="L147" s="476">
        <v>0.33</v>
      </c>
      <c r="M147" s="492" t="s">
        <v>3111</v>
      </c>
      <c r="N147" s="135" t="s">
        <v>3135</v>
      </c>
      <c r="O147" s="476" t="s">
        <v>2961</v>
      </c>
      <c r="P147" s="135" t="s">
        <v>2938</v>
      </c>
      <c r="Q147" s="135" t="s">
        <v>72</v>
      </c>
      <c r="R147" s="135">
        <v>38</v>
      </c>
      <c r="S147" s="135"/>
      <c r="T147" s="476">
        <f>SUM(R143:R147)</f>
        <v>95</v>
      </c>
      <c r="U147" s="135">
        <f t="shared" si="134"/>
        <v>40</v>
      </c>
      <c r="V147" s="508">
        <f>U147</f>
        <v>40</v>
      </c>
      <c r="W147" s="509" t="s">
        <v>72</v>
      </c>
      <c r="X147" s="482">
        <f t="shared" si="9"/>
        <v>2.7722772277227725</v>
      </c>
      <c r="Y147" s="220" t="s">
        <v>1666</v>
      </c>
      <c r="Z147" s="205" t="str">
        <f t="shared" ref="Z147:AH147" si="157">Y147</f>
        <v>*</v>
      </c>
      <c r="AA147" s="792" t="str">
        <f t="shared" si="157"/>
        <v>*</v>
      </c>
      <c r="AB147" s="497" t="str">
        <f t="shared" si="157"/>
        <v>*</v>
      </c>
      <c r="AC147" s="497" t="str">
        <f t="shared" si="157"/>
        <v>*</v>
      </c>
      <c r="AD147" s="497" t="str">
        <f t="shared" si="157"/>
        <v>*</v>
      </c>
      <c r="AE147" s="454" t="str">
        <f t="shared" si="157"/>
        <v>*</v>
      </c>
      <c r="AF147" s="454" t="str">
        <f t="shared" si="157"/>
        <v>*</v>
      </c>
      <c r="AG147" s="454" t="str">
        <f t="shared" si="157"/>
        <v>*</v>
      </c>
      <c r="AH147" s="454" t="str">
        <f t="shared" si="157"/>
        <v>*</v>
      </c>
    </row>
    <row r="148" spans="1:34" ht="12.75">
      <c r="A148" s="14" t="s">
        <v>3106</v>
      </c>
      <c r="B148" s="24" t="s">
        <v>2508</v>
      </c>
      <c r="C148" s="14" t="s">
        <v>2539</v>
      </c>
      <c r="D148" s="14" t="s">
        <v>2911</v>
      </c>
      <c r="E148" s="14" t="s">
        <v>3107</v>
      </c>
      <c r="F148" s="13">
        <v>4.75</v>
      </c>
      <c r="G148" s="14" t="s">
        <v>3103</v>
      </c>
      <c r="H148" s="13" t="s">
        <v>3108</v>
      </c>
      <c r="I148" s="14" t="s">
        <v>3136</v>
      </c>
      <c r="J148" s="14" t="s">
        <v>3137</v>
      </c>
      <c r="K148" s="478">
        <f t="shared" ref="K148:K154" si="158">6/101</f>
        <v>5.9405940594059403E-2</v>
      </c>
      <c r="L148" s="220">
        <v>0.28000000000000003</v>
      </c>
      <c r="M148" s="473" t="s">
        <v>3111</v>
      </c>
      <c r="N148" s="14" t="s">
        <v>3138</v>
      </c>
      <c r="O148" s="220" t="s">
        <v>2961</v>
      </c>
      <c r="P148" s="14" t="s">
        <v>3021</v>
      </c>
      <c r="Q148" s="486" t="s">
        <v>3022</v>
      </c>
      <c r="R148" s="14">
        <v>36</v>
      </c>
      <c r="S148" s="14">
        <f>(0.01*R148)*L148</f>
        <v>0.1008</v>
      </c>
      <c r="T148" s="220">
        <f>SUM(R148:R154)</f>
        <v>101.8</v>
      </c>
      <c r="U148" s="14">
        <f t="shared" si="134"/>
        <v>35.36345776031434</v>
      </c>
      <c r="V148" s="220">
        <f>U148*100/SUM(U148:U153)</f>
        <v>62.068965517241388</v>
      </c>
      <c r="W148" s="14" t="s">
        <v>346</v>
      </c>
      <c r="X148" s="14">
        <f t="shared" si="9"/>
        <v>3.6872652782519633</v>
      </c>
      <c r="Y148" s="220" t="s">
        <v>1666</v>
      </c>
      <c r="Z148" s="205" t="str">
        <f t="shared" ref="Z148:AH148" si="159">Y148</f>
        <v>*</v>
      </c>
      <c r="AA148" s="792" t="str">
        <f t="shared" si="159"/>
        <v>*</v>
      </c>
      <c r="AB148" s="497" t="str">
        <f t="shared" si="159"/>
        <v>*</v>
      </c>
      <c r="AC148" s="497" t="str">
        <f t="shared" si="159"/>
        <v>*</v>
      </c>
      <c r="AD148" s="497" t="str">
        <f t="shared" si="159"/>
        <v>*</v>
      </c>
      <c r="AE148" s="454" t="str">
        <f t="shared" si="159"/>
        <v>*</v>
      </c>
      <c r="AF148" s="454" t="str">
        <f t="shared" si="159"/>
        <v>*</v>
      </c>
      <c r="AG148" s="454" t="str">
        <f t="shared" si="159"/>
        <v>*</v>
      </c>
      <c r="AH148" s="454" t="str">
        <f t="shared" si="159"/>
        <v>*</v>
      </c>
    </row>
    <row r="149" spans="1:34" ht="12.75">
      <c r="A149" s="14" t="s">
        <v>3106</v>
      </c>
      <c r="B149" s="24" t="s">
        <v>2508</v>
      </c>
      <c r="C149" s="14" t="s">
        <v>2539</v>
      </c>
      <c r="D149" s="14" t="s">
        <v>2911</v>
      </c>
      <c r="E149" s="14" t="s">
        <v>3107</v>
      </c>
      <c r="F149" s="13">
        <v>4.75</v>
      </c>
      <c r="G149" s="14" t="s">
        <v>3103</v>
      </c>
      <c r="H149" s="13" t="s">
        <v>3108</v>
      </c>
      <c r="I149" s="14" t="s">
        <v>3136</v>
      </c>
      <c r="J149" s="14" t="s">
        <v>3137</v>
      </c>
      <c r="K149" s="478">
        <f t="shared" si="158"/>
        <v>5.9405940594059403E-2</v>
      </c>
      <c r="L149" s="220">
        <v>0.28000000000000003</v>
      </c>
      <c r="M149" s="473" t="s">
        <v>3111</v>
      </c>
      <c r="N149" s="14" t="s">
        <v>3138</v>
      </c>
      <c r="O149" s="220" t="s">
        <v>2961</v>
      </c>
      <c r="P149" s="14" t="s">
        <v>3117</v>
      </c>
      <c r="Q149" s="14" t="s">
        <v>325</v>
      </c>
      <c r="R149" s="14">
        <v>10</v>
      </c>
      <c r="S149" s="14"/>
      <c r="T149" s="220">
        <f>SUM(R148:R154)</f>
        <v>101.8</v>
      </c>
      <c r="U149" s="14">
        <f t="shared" si="134"/>
        <v>9.8231827111984291</v>
      </c>
      <c r="V149" s="220">
        <f>U149*100/SUM(U148:U153)</f>
        <v>17.241379310344833</v>
      </c>
      <c r="W149" s="14" t="s">
        <v>325</v>
      </c>
      <c r="X149" s="14">
        <f t="shared" si="9"/>
        <v>1.0242403550699901</v>
      </c>
      <c r="Y149" s="220" t="s">
        <v>1666</v>
      </c>
      <c r="Z149" s="205" t="str">
        <f t="shared" ref="Z149:AH149" si="160">Y149</f>
        <v>*</v>
      </c>
      <c r="AA149" s="792" t="str">
        <f t="shared" si="160"/>
        <v>*</v>
      </c>
      <c r="AB149" s="497" t="str">
        <f t="shared" si="160"/>
        <v>*</v>
      </c>
      <c r="AC149" s="497" t="str">
        <f t="shared" si="160"/>
        <v>*</v>
      </c>
      <c r="AD149" s="497" t="str">
        <f t="shared" si="160"/>
        <v>*</v>
      </c>
      <c r="AE149" s="454" t="str">
        <f t="shared" si="160"/>
        <v>*</v>
      </c>
      <c r="AF149" s="454" t="str">
        <f t="shared" si="160"/>
        <v>*</v>
      </c>
      <c r="AG149" s="454" t="str">
        <f t="shared" si="160"/>
        <v>*</v>
      </c>
      <c r="AH149" s="454" t="str">
        <f t="shared" si="160"/>
        <v>*</v>
      </c>
    </row>
    <row r="150" spans="1:34" ht="12.75">
      <c r="A150" s="14" t="s">
        <v>3106</v>
      </c>
      <c r="B150" s="24" t="s">
        <v>2508</v>
      </c>
      <c r="C150" s="14" t="s">
        <v>2539</v>
      </c>
      <c r="D150" s="14" t="s">
        <v>2911</v>
      </c>
      <c r="E150" s="14" t="s">
        <v>3107</v>
      </c>
      <c r="F150" s="13">
        <v>4.75</v>
      </c>
      <c r="G150" s="14" t="s">
        <v>3103</v>
      </c>
      <c r="H150" s="13" t="s">
        <v>3108</v>
      </c>
      <c r="I150" s="14" t="s">
        <v>3136</v>
      </c>
      <c r="J150" s="14" t="s">
        <v>3137</v>
      </c>
      <c r="K150" s="478">
        <f t="shared" si="158"/>
        <v>5.9405940594059403E-2</v>
      </c>
      <c r="L150" s="220">
        <v>0.28000000000000003</v>
      </c>
      <c r="M150" s="473" t="s">
        <v>3111</v>
      </c>
      <c r="N150" s="14" t="s">
        <v>3138</v>
      </c>
      <c r="O150" s="220" t="s">
        <v>2961</v>
      </c>
      <c r="P150" s="655" t="s">
        <v>2987</v>
      </c>
      <c r="Q150" s="486" t="s">
        <v>2981</v>
      </c>
      <c r="R150" s="14">
        <v>5</v>
      </c>
      <c r="S150" s="14"/>
      <c r="T150" s="220">
        <f>SUM(R148:R154)</f>
        <v>101.8</v>
      </c>
      <c r="U150" s="14">
        <f t="shared" si="134"/>
        <v>4.9115913555992146</v>
      </c>
      <c r="V150" s="220">
        <f>U150*100/SUM(U148:U153)</f>
        <v>8.6206896551724164</v>
      </c>
      <c r="W150" s="14" t="s">
        <v>349</v>
      </c>
      <c r="X150" s="14">
        <f t="shared" si="9"/>
        <v>0.51212017753499506</v>
      </c>
      <c r="Y150" s="220" t="s">
        <v>1666</v>
      </c>
      <c r="Z150" s="205" t="str">
        <f t="shared" ref="Z150:AH150" si="161">Y150</f>
        <v>*</v>
      </c>
      <c r="AA150" s="792" t="str">
        <f t="shared" si="161"/>
        <v>*</v>
      </c>
      <c r="AB150" s="497" t="str">
        <f t="shared" si="161"/>
        <v>*</v>
      </c>
      <c r="AC150" s="497" t="str">
        <f t="shared" si="161"/>
        <v>*</v>
      </c>
      <c r="AD150" s="497" t="str">
        <f t="shared" si="161"/>
        <v>*</v>
      </c>
      <c r="AE150" s="454" t="str">
        <f t="shared" si="161"/>
        <v>*</v>
      </c>
      <c r="AF150" s="454" t="str">
        <f t="shared" si="161"/>
        <v>*</v>
      </c>
      <c r="AG150" s="454" t="str">
        <f t="shared" si="161"/>
        <v>*</v>
      </c>
      <c r="AH150" s="454" t="str">
        <f t="shared" si="161"/>
        <v>*</v>
      </c>
    </row>
    <row r="151" spans="1:34" ht="12.75">
      <c r="A151" s="14" t="s">
        <v>3106</v>
      </c>
      <c r="B151" s="24" t="s">
        <v>2508</v>
      </c>
      <c r="C151" s="14" t="s">
        <v>2539</v>
      </c>
      <c r="D151" s="14" t="s">
        <v>2911</v>
      </c>
      <c r="E151" s="14" t="s">
        <v>3107</v>
      </c>
      <c r="F151" s="13">
        <v>4.75</v>
      </c>
      <c r="G151" s="14" t="s">
        <v>3103</v>
      </c>
      <c r="H151" s="13" t="s">
        <v>3108</v>
      </c>
      <c r="I151" s="14" t="s">
        <v>3136</v>
      </c>
      <c r="J151" s="14" t="s">
        <v>3137</v>
      </c>
      <c r="K151" s="478">
        <f t="shared" si="158"/>
        <v>5.9405940594059403E-2</v>
      </c>
      <c r="L151" s="220">
        <v>0.28000000000000003</v>
      </c>
      <c r="M151" s="473" t="s">
        <v>3111</v>
      </c>
      <c r="N151" s="14" t="s">
        <v>3138</v>
      </c>
      <c r="O151" s="220" t="s">
        <v>2961</v>
      </c>
      <c r="P151" s="14" t="s">
        <v>3139</v>
      </c>
      <c r="Q151" s="14" t="s">
        <v>3140</v>
      </c>
      <c r="R151" s="14">
        <v>3</v>
      </c>
      <c r="S151" s="14"/>
      <c r="T151" s="220">
        <f>SUM(R148:R154)</f>
        <v>101.8</v>
      </c>
      <c r="U151" s="14">
        <f t="shared" si="134"/>
        <v>2.9469548133595285</v>
      </c>
      <c r="V151" s="220">
        <f>U151*100/SUM(U148:U153)</f>
        <v>5.1724137931034484</v>
      </c>
      <c r="W151" s="14" t="s">
        <v>347</v>
      </c>
      <c r="X151" s="14">
        <f t="shared" si="9"/>
        <v>0.3072721065209969</v>
      </c>
      <c r="Y151" s="220" t="s">
        <v>1666</v>
      </c>
      <c r="Z151" s="205" t="str">
        <f t="shared" ref="Z151:AH151" si="162">Y151</f>
        <v>*</v>
      </c>
      <c r="AA151" s="792" t="str">
        <f t="shared" si="162"/>
        <v>*</v>
      </c>
      <c r="AB151" s="497" t="str">
        <f t="shared" si="162"/>
        <v>*</v>
      </c>
      <c r="AC151" s="497" t="str">
        <f t="shared" si="162"/>
        <v>*</v>
      </c>
      <c r="AD151" s="497" t="str">
        <f t="shared" si="162"/>
        <v>*</v>
      </c>
      <c r="AE151" s="454" t="str">
        <f t="shared" si="162"/>
        <v>*</v>
      </c>
      <c r="AF151" s="454" t="str">
        <f t="shared" si="162"/>
        <v>*</v>
      </c>
      <c r="AG151" s="454" t="str">
        <f t="shared" si="162"/>
        <v>*</v>
      </c>
      <c r="AH151" s="454" t="str">
        <f t="shared" si="162"/>
        <v>*</v>
      </c>
    </row>
    <row r="152" spans="1:34" ht="12.75">
      <c r="A152" s="14" t="s">
        <v>3106</v>
      </c>
      <c r="B152" s="24" t="s">
        <v>2508</v>
      </c>
      <c r="C152" s="14" t="s">
        <v>2539</v>
      </c>
      <c r="D152" s="14" t="s">
        <v>2911</v>
      </c>
      <c r="E152" s="14" t="s">
        <v>3107</v>
      </c>
      <c r="F152" s="13">
        <v>4.75</v>
      </c>
      <c r="G152" s="14" t="s">
        <v>3103</v>
      </c>
      <c r="H152" s="13" t="s">
        <v>3108</v>
      </c>
      <c r="I152" s="14" t="s">
        <v>3136</v>
      </c>
      <c r="J152" s="14" t="s">
        <v>3137</v>
      </c>
      <c r="K152" s="478">
        <f t="shared" si="158"/>
        <v>5.9405940594059403E-2</v>
      </c>
      <c r="L152" s="220">
        <v>0.28000000000000003</v>
      </c>
      <c r="M152" s="473" t="s">
        <v>3111</v>
      </c>
      <c r="N152" s="14" t="s">
        <v>3138</v>
      </c>
      <c r="O152" s="220" t="s">
        <v>2961</v>
      </c>
      <c r="P152" s="14" t="s">
        <v>3141</v>
      </c>
      <c r="Q152" s="486" t="s">
        <v>3142</v>
      </c>
      <c r="R152" s="14">
        <v>3</v>
      </c>
      <c r="S152" s="14"/>
      <c r="T152" s="220">
        <f>SUM(R148:R154)</f>
        <v>101.8</v>
      </c>
      <c r="U152" s="14">
        <f t="shared" si="134"/>
        <v>2.9469548133595285</v>
      </c>
      <c r="V152" s="220">
        <f>U152*100/SUM(U148:U153)</f>
        <v>5.1724137931034484</v>
      </c>
      <c r="W152" s="14" t="s">
        <v>3143</v>
      </c>
      <c r="X152" s="14">
        <f t="shared" si="9"/>
        <v>0.3072721065209969</v>
      </c>
      <c r="Y152" s="499">
        <f>SUM(X152)</f>
        <v>0.3072721065209969</v>
      </c>
      <c r="Z152" s="220">
        <f>SUM(Y152,Y136)</f>
        <v>4.6090815978149546</v>
      </c>
      <c r="AA152" s="792">
        <f>X152</f>
        <v>0.3072721065209969</v>
      </c>
      <c r="AB152" s="18" t="s">
        <v>324</v>
      </c>
      <c r="AC152" s="13" t="s">
        <v>18</v>
      </c>
      <c r="AD152" s="13" t="s">
        <v>3144</v>
      </c>
      <c r="AE152" s="12">
        <v>1.0652903141570055E-3</v>
      </c>
      <c r="AF152" s="12">
        <v>1.7273631840796021E-2</v>
      </c>
      <c r="AG152" s="12">
        <v>1.3582399999999999E-4</v>
      </c>
      <c r="AH152" s="12">
        <v>2.14E-3</v>
      </c>
    </row>
    <row r="153" spans="1:34" ht="12.75">
      <c r="A153" s="14" t="s">
        <v>3106</v>
      </c>
      <c r="B153" s="24" t="s">
        <v>2508</v>
      </c>
      <c r="C153" s="14" t="s">
        <v>2539</v>
      </c>
      <c r="D153" s="14" t="s">
        <v>2911</v>
      </c>
      <c r="E153" s="14" t="s">
        <v>3107</v>
      </c>
      <c r="F153" s="13">
        <v>4.75</v>
      </c>
      <c r="G153" s="14" t="s">
        <v>3103</v>
      </c>
      <c r="H153" s="13" t="s">
        <v>3108</v>
      </c>
      <c r="I153" s="14" t="s">
        <v>3136</v>
      </c>
      <c r="J153" s="14" t="s">
        <v>3137</v>
      </c>
      <c r="K153" s="478">
        <f t="shared" si="158"/>
        <v>5.9405940594059403E-2</v>
      </c>
      <c r="L153" s="220">
        <v>0.28000000000000003</v>
      </c>
      <c r="M153" s="473" t="s">
        <v>3111</v>
      </c>
      <c r="N153" s="14" t="s">
        <v>3138</v>
      </c>
      <c r="O153" s="220" t="s">
        <v>2961</v>
      </c>
      <c r="P153" s="14" t="s">
        <v>3072</v>
      </c>
      <c r="Q153" s="14" t="s">
        <v>3073</v>
      </c>
      <c r="R153" s="14">
        <v>1</v>
      </c>
      <c r="S153" s="14"/>
      <c r="T153" s="220">
        <f>SUM(R148:R154)</f>
        <v>101.8</v>
      </c>
      <c r="U153" s="14">
        <f t="shared" si="134"/>
        <v>0.98231827111984282</v>
      </c>
      <c r="V153" s="220">
        <f>U153*100/SUM(U148:U153)</f>
        <v>1.7241379310344831</v>
      </c>
      <c r="W153" s="17" t="s">
        <v>343</v>
      </c>
      <c r="X153" s="14">
        <f t="shared" si="9"/>
        <v>0.10242403550699899</v>
      </c>
      <c r="Y153" s="220" t="s">
        <v>1666</v>
      </c>
      <c r="Z153" s="205" t="str">
        <f t="shared" ref="Z153:AH153" si="163">Y153</f>
        <v>*</v>
      </c>
      <c r="AA153" s="792" t="str">
        <f t="shared" si="163"/>
        <v>*</v>
      </c>
      <c r="AB153" s="458" t="str">
        <f t="shared" si="163"/>
        <v>*</v>
      </c>
      <c r="AC153" s="497" t="str">
        <f t="shared" si="163"/>
        <v>*</v>
      </c>
      <c r="AD153" s="497" t="str">
        <f t="shared" si="163"/>
        <v>*</v>
      </c>
      <c r="AE153" s="454" t="str">
        <f t="shared" si="163"/>
        <v>*</v>
      </c>
      <c r="AF153" s="454" t="str">
        <f t="shared" si="163"/>
        <v>*</v>
      </c>
      <c r="AG153" s="454" t="str">
        <f t="shared" si="163"/>
        <v>*</v>
      </c>
      <c r="AH153" s="454" t="str">
        <f t="shared" si="163"/>
        <v>*</v>
      </c>
    </row>
    <row r="154" spans="1:34" ht="12.75">
      <c r="A154" s="14" t="s">
        <v>3106</v>
      </c>
      <c r="B154" s="24" t="s">
        <v>2508</v>
      </c>
      <c r="C154" s="14" t="s">
        <v>2539</v>
      </c>
      <c r="D154" s="14" t="s">
        <v>2911</v>
      </c>
      <c r="E154" s="14" t="s">
        <v>3107</v>
      </c>
      <c r="F154" s="13">
        <v>4.75</v>
      </c>
      <c r="G154" s="14" t="s">
        <v>3103</v>
      </c>
      <c r="H154" s="13" t="s">
        <v>3108</v>
      </c>
      <c r="I154" s="135" t="s">
        <v>3136</v>
      </c>
      <c r="J154" s="135" t="s">
        <v>3137</v>
      </c>
      <c r="K154" s="475">
        <f t="shared" si="158"/>
        <v>5.9405940594059403E-2</v>
      </c>
      <c r="L154" s="476">
        <v>0.28000000000000003</v>
      </c>
      <c r="M154" s="492" t="s">
        <v>3111</v>
      </c>
      <c r="N154" s="135" t="s">
        <v>3145</v>
      </c>
      <c r="O154" s="476" t="s">
        <v>2961</v>
      </c>
      <c r="P154" s="135" t="s">
        <v>2938</v>
      </c>
      <c r="Q154" s="135" t="s">
        <v>72</v>
      </c>
      <c r="R154" s="135">
        <v>43.8</v>
      </c>
      <c r="S154" s="135"/>
      <c r="T154" s="476">
        <f>SUM(R148:R154)</f>
        <v>101.8</v>
      </c>
      <c r="U154" s="135">
        <f t="shared" si="134"/>
        <v>43.025540275049117</v>
      </c>
      <c r="V154" s="508">
        <f>U154</f>
        <v>43.025540275049117</v>
      </c>
      <c r="W154" s="509" t="s">
        <v>72</v>
      </c>
      <c r="X154" s="482">
        <f t="shared" si="9"/>
        <v>2.555972689606878</v>
      </c>
      <c r="Y154" s="220" t="s">
        <v>1666</v>
      </c>
      <c r="Z154" s="205" t="str">
        <f t="shared" ref="Z154:AH154" si="164">Y154</f>
        <v>*</v>
      </c>
      <c r="AA154" s="792" t="str">
        <f t="shared" si="164"/>
        <v>*</v>
      </c>
      <c r="AB154" s="458" t="str">
        <f t="shared" si="164"/>
        <v>*</v>
      </c>
      <c r="AC154" s="497" t="str">
        <f t="shared" si="164"/>
        <v>*</v>
      </c>
      <c r="AD154" s="497" t="str">
        <f t="shared" si="164"/>
        <v>*</v>
      </c>
      <c r="AE154" s="454" t="str">
        <f t="shared" si="164"/>
        <v>*</v>
      </c>
      <c r="AF154" s="454" t="str">
        <f t="shared" si="164"/>
        <v>*</v>
      </c>
      <c r="AG154" s="454" t="str">
        <f t="shared" si="164"/>
        <v>*</v>
      </c>
      <c r="AH154" s="454" t="str">
        <f t="shared" si="164"/>
        <v>*</v>
      </c>
    </row>
    <row r="155" spans="1:34" ht="12.75">
      <c r="A155" s="14" t="s">
        <v>3106</v>
      </c>
      <c r="B155" s="24" t="s">
        <v>2508</v>
      </c>
      <c r="C155" s="14" t="s">
        <v>2539</v>
      </c>
      <c r="D155" s="14" t="s">
        <v>2911</v>
      </c>
      <c r="E155" s="14" t="s">
        <v>3107</v>
      </c>
      <c r="F155" s="13">
        <v>4.75</v>
      </c>
      <c r="G155" s="14" t="s">
        <v>3103</v>
      </c>
      <c r="H155" s="13" t="s">
        <v>3108</v>
      </c>
      <c r="I155" s="14" t="s">
        <v>3146</v>
      </c>
      <c r="J155" s="14" t="s">
        <v>3147</v>
      </c>
      <c r="K155" s="478">
        <f t="shared" ref="K155:K163" si="165">4/101</f>
        <v>3.9603960396039604E-2</v>
      </c>
      <c r="L155" s="220">
        <v>0.19</v>
      </c>
      <c r="M155" s="473" t="s">
        <v>3111</v>
      </c>
      <c r="N155" s="14" t="s">
        <v>3148</v>
      </c>
      <c r="O155" s="220" t="s">
        <v>2961</v>
      </c>
      <c r="P155" s="14" t="s">
        <v>1376</v>
      </c>
      <c r="Q155" s="486" t="s">
        <v>3114</v>
      </c>
      <c r="R155" s="14">
        <v>45</v>
      </c>
      <c r="S155" s="14">
        <f>(0.01*R155)*L155</f>
        <v>8.5500000000000007E-2</v>
      </c>
      <c r="T155" s="220">
        <f>SUM(R155:R159)</f>
        <v>97.5</v>
      </c>
      <c r="U155" s="14">
        <f t="shared" si="134"/>
        <v>46.153846153846153</v>
      </c>
      <c r="V155" s="220">
        <f>U155*100/SUM(U155:U158)</f>
        <v>76.92307692307692</v>
      </c>
      <c r="W155" s="14" t="s">
        <v>340</v>
      </c>
      <c r="X155" s="14">
        <f t="shared" si="9"/>
        <v>3.0464584920030462</v>
      </c>
      <c r="Y155" s="220" t="s">
        <v>1666</v>
      </c>
      <c r="Z155" s="205" t="str">
        <f t="shared" ref="Z155:AH155" si="166">Y155</f>
        <v>*</v>
      </c>
      <c r="AA155" s="792" t="str">
        <f t="shared" si="166"/>
        <v>*</v>
      </c>
      <c r="AB155" s="458" t="str">
        <f t="shared" si="166"/>
        <v>*</v>
      </c>
      <c r="AC155" s="497" t="str">
        <f t="shared" si="166"/>
        <v>*</v>
      </c>
      <c r="AD155" s="497" t="str">
        <f t="shared" si="166"/>
        <v>*</v>
      </c>
      <c r="AE155" s="454" t="str">
        <f t="shared" si="166"/>
        <v>*</v>
      </c>
      <c r="AF155" s="454" t="str">
        <f t="shared" si="166"/>
        <v>*</v>
      </c>
      <c r="AG155" s="454" t="str">
        <f t="shared" si="166"/>
        <v>*</v>
      </c>
      <c r="AH155" s="454" t="str">
        <f t="shared" si="166"/>
        <v>*</v>
      </c>
    </row>
    <row r="156" spans="1:34" ht="12.75">
      <c r="A156" s="14" t="s">
        <v>3106</v>
      </c>
      <c r="B156" s="24" t="s">
        <v>2508</v>
      </c>
      <c r="C156" s="14" t="s">
        <v>2539</v>
      </c>
      <c r="D156" s="14" t="s">
        <v>2911</v>
      </c>
      <c r="E156" s="14" t="s">
        <v>3107</v>
      </c>
      <c r="F156" s="13">
        <v>4.75</v>
      </c>
      <c r="G156" s="14" t="s">
        <v>3103</v>
      </c>
      <c r="H156" s="13" t="s">
        <v>3108</v>
      </c>
      <c r="I156" s="14" t="s">
        <v>3146</v>
      </c>
      <c r="J156" s="14" t="s">
        <v>3147</v>
      </c>
      <c r="K156" s="478">
        <f t="shared" si="165"/>
        <v>3.9603960396039604E-2</v>
      </c>
      <c r="L156" s="220">
        <v>0.19</v>
      </c>
      <c r="M156" s="473" t="s">
        <v>3111</v>
      </c>
      <c r="N156" s="14" t="s">
        <v>3148</v>
      </c>
      <c r="O156" s="220" t="s">
        <v>2961</v>
      </c>
      <c r="P156" s="655" t="s">
        <v>2987</v>
      </c>
      <c r="Q156" s="486" t="s">
        <v>2981</v>
      </c>
      <c r="R156" s="14">
        <v>11.5</v>
      </c>
      <c r="S156" s="14"/>
      <c r="T156" s="220">
        <f>SUM(R155:R159)</f>
        <v>97.5</v>
      </c>
      <c r="U156" s="14">
        <f t="shared" si="134"/>
        <v>11.794871794871796</v>
      </c>
      <c r="V156" s="220">
        <f>U156*100/SUM(U155:U158)</f>
        <v>19.658119658119663</v>
      </c>
      <c r="W156" s="14" t="s">
        <v>3149</v>
      </c>
      <c r="X156" s="14">
        <f t="shared" si="9"/>
        <v>0.77853939240077874</v>
      </c>
      <c r="Y156" s="220" t="s">
        <v>1666</v>
      </c>
      <c r="Z156" s="205" t="str">
        <f t="shared" ref="Z156:AH156" si="167">Y156</f>
        <v>*</v>
      </c>
      <c r="AA156" s="792" t="str">
        <f t="shared" si="167"/>
        <v>*</v>
      </c>
      <c r="AB156" s="458" t="str">
        <f t="shared" si="167"/>
        <v>*</v>
      </c>
      <c r="AC156" s="497" t="str">
        <f t="shared" si="167"/>
        <v>*</v>
      </c>
      <c r="AD156" s="497" t="str">
        <f t="shared" si="167"/>
        <v>*</v>
      </c>
      <c r="AE156" s="454" t="str">
        <f t="shared" si="167"/>
        <v>*</v>
      </c>
      <c r="AF156" s="454" t="str">
        <f t="shared" si="167"/>
        <v>*</v>
      </c>
      <c r="AG156" s="454" t="str">
        <f t="shared" si="167"/>
        <v>*</v>
      </c>
      <c r="AH156" s="454" t="str">
        <f t="shared" si="167"/>
        <v>*</v>
      </c>
    </row>
    <row r="157" spans="1:34" ht="12.75">
      <c r="A157" s="14" t="s">
        <v>3106</v>
      </c>
      <c r="B157" s="24" t="s">
        <v>2508</v>
      </c>
      <c r="C157" s="14" t="s">
        <v>2539</v>
      </c>
      <c r="D157" s="14" t="s">
        <v>2911</v>
      </c>
      <c r="E157" s="14" t="s">
        <v>3107</v>
      </c>
      <c r="F157" s="13">
        <v>4.75</v>
      </c>
      <c r="G157" s="14" t="s">
        <v>3103</v>
      </c>
      <c r="H157" s="13" t="s">
        <v>3108</v>
      </c>
      <c r="I157" s="14" t="s">
        <v>3146</v>
      </c>
      <c r="J157" s="14" t="s">
        <v>3147</v>
      </c>
      <c r="K157" s="478">
        <f t="shared" si="165"/>
        <v>3.9603960396039604E-2</v>
      </c>
      <c r="L157" s="220">
        <v>0.19</v>
      </c>
      <c r="M157" s="473" t="s">
        <v>3111</v>
      </c>
      <c r="N157" s="14" t="s">
        <v>3148</v>
      </c>
      <c r="O157" s="220" t="s">
        <v>2961</v>
      </c>
      <c r="P157" s="14" t="s">
        <v>3072</v>
      </c>
      <c r="Q157" s="14" t="s">
        <v>3073</v>
      </c>
      <c r="R157" s="14">
        <v>1</v>
      </c>
      <c r="S157" s="14"/>
      <c r="T157" s="220">
        <f>SUM(R155:R159)</f>
        <v>97.5</v>
      </c>
      <c r="U157" s="14">
        <f t="shared" si="134"/>
        <v>1.0256410256410255</v>
      </c>
      <c r="V157" s="220">
        <f>U157*100/SUM(U155:U158)</f>
        <v>1.7094017094017093</v>
      </c>
      <c r="W157" s="17" t="s">
        <v>343</v>
      </c>
      <c r="X157" s="14">
        <f t="shared" si="9"/>
        <v>6.76990776000677E-2</v>
      </c>
      <c r="Y157" s="220" t="s">
        <v>1666</v>
      </c>
      <c r="Z157" s="205" t="str">
        <f t="shared" ref="Z157:AH157" si="168">Y157</f>
        <v>*</v>
      </c>
      <c r="AA157" s="792" t="str">
        <f t="shared" si="168"/>
        <v>*</v>
      </c>
      <c r="AB157" s="458" t="str">
        <f t="shared" si="168"/>
        <v>*</v>
      </c>
      <c r="AC157" s="497" t="str">
        <f t="shared" si="168"/>
        <v>*</v>
      </c>
      <c r="AD157" s="497" t="str">
        <f t="shared" si="168"/>
        <v>*</v>
      </c>
      <c r="AE157" s="454" t="str">
        <f t="shared" si="168"/>
        <v>*</v>
      </c>
      <c r="AF157" s="454" t="str">
        <f t="shared" si="168"/>
        <v>*</v>
      </c>
      <c r="AG157" s="454" t="str">
        <f t="shared" si="168"/>
        <v>*</v>
      </c>
      <c r="AH157" s="454" t="str">
        <f t="shared" si="168"/>
        <v>*</v>
      </c>
    </row>
    <row r="158" spans="1:34" ht="12.75">
      <c r="A158" s="14" t="s">
        <v>3106</v>
      </c>
      <c r="B158" s="24" t="s">
        <v>2508</v>
      </c>
      <c r="C158" s="14" t="s">
        <v>2539</v>
      </c>
      <c r="D158" s="14" t="s">
        <v>2911</v>
      </c>
      <c r="E158" s="14" t="s">
        <v>3107</v>
      </c>
      <c r="F158" s="13">
        <v>4.75</v>
      </c>
      <c r="G158" s="14" t="s">
        <v>3103</v>
      </c>
      <c r="H158" s="13" t="s">
        <v>3108</v>
      </c>
      <c r="I158" s="14" t="s">
        <v>3146</v>
      </c>
      <c r="J158" s="14" t="s">
        <v>3147</v>
      </c>
      <c r="K158" s="478">
        <f t="shared" si="165"/>
        <v>3.9603960396039604E-2</v>
      </c>
      <c r="L158" s="220">
        <v>0.19</v>
      </c>
      <c r="M158" s="473" t="s">
        <v>3111</v>
      </c>
      <c r="N158" s="14" t="s">
        <v>3148</v>
      </c>
      <c r="O158" s="220" t="s">
        <v>2961</v>
      </c>
      <c r="P158" s="14" t="s">
        <v>3139</v>
      </c>
      <c r="Q158" s="435" t="s">
        <v>3140</v>
      </c>
      <c r="R158" s="14">
        <v>1</v>
      </c>
      <c r="S158" s="14"/>
      <c r="T158" s="220">
        <f>SUM(R155:R159)</f>
        <v>97.5</v>
      </c>
      <c r="U158" s="14">
        <f t="shared" si="134"/>
        <v>1.0256410256410255</v>
      </c>
      <c r="V158" s="220">
        <f>U158*100/SUM(U155:U158)</f>
        <v>1.7094017094017093</v>
      </c>
      <c r="W158" s="17" t="s">
        <v>347</v>
      </c>
      <c r="X158" s="14">
        <f t="shared" si="9"/>
        <v>6.76990776000677E-2</v>
      </c>
      <c r="Y158" s="220" t="s">
        <v>1666</v>
      </c>
      <c r="Z158" s="205" t="str">
        <f t="shared" ref="Z158:AH158" si="169">Y158</f>
        <v>*</v>
      </c>
      <c r="AA158" s="792" t="str">
        <f t="shared" si="169"/>
        <v>*</v>
      </c>
      <c r="AB158" s="458" t="str">
        <f t="shared" si="169"/>
        <v>*</v>
      </c>
      <c r="AC158" s="497" t="str">
        <f t="shared" si="169"/>
        <v>*</v>
      </c>
      <c r="AD158" s="497" t="str">
        <f t="shared" si="169"/>
        <v>*</v>
      </c>
      <c r="AE158" s="454" t="str">
        <f t="shared" si="169"/>
        <v>*</v>
      </c>
      <c r="AF158" s="454" t="str">
        <f t="shared" si="169"/>
        <v>*</v>
      </c>
      <c r="AG158" s="454" t="str">
        <f t="shared" si="169"/>
        <v>*</v>
      </c>
      <c r="AH158" s="454" t="str">
        <f t="shared" si="169"/>
        <v>*</v>
      </c>
    </row>
    <row r="159" spans="1:34" ht="12.75">
      <c r="A159" s="14" t="s">
        <v>3106</v>
      </c>
      <c r="B159" s="24" t="s">
        <v>2508</v>
      </c>
      <c r="C159" s="14" t="s">
        <v>2539</v>
      </c>
      <c r="D159" s="14" t="s">
        <v>2911</v>
      </c>
      <c r="E159" s="14" t="s">
        <v>3107</v>
      </c>
      <c r="F159" s="13">
        <v>4.75</v>
      </c>
      <c r="G159" s="14" t="s">
        <v>3103</v>
      </c>
      <c r="H159" s="13" t="s">
        <v>3108</v>
      </c>
      <c r="I159" s="135" t="s">
        <v>3146</v>
      </c>
      <c r="J159" s="135" t="s">
        <v>3147</v>
      </c>
      <c r="K159" s="475">
        <f t="shared" si="165"/>
        <v>3.9603960396039604E-2</v>
      </c>
      <c r="L159" s="476">
        <v>0.19</v>
      </c>
      <c r="M159" s="492" t="s">
        <v>3111</v>
      </c>
      <c r="N159" s="135" t="s">
        <v>3150</v>
      </c>
      <c r="O159" s="476" t="s">
        <v>2961</v>
      </c>
      <c r="P159" s="135" t="s">
        <v>2938</v>
      </c>
      <c r="Q159" s="135" t="s">
        <v>72</v>
      </c>
      <c r="R159" s="135">
        <v>39</v>
      </c>
      <c r="S159" s="135"/>
      <c r="T159" s="476">
        <f>SUM(R155:R159)</f>
        <v>97.5</v>
      </c>
      <c r="U159" s="135">
        <f t="shared" si="134"/>
        <v>40</v>
      </c>
      <c r="V159" s="508">
        <f>U159</f>
        <v>40</v>
      </c>
      <c r="W159" s="509" t="s">
        <v>72</v>
      </c>
      <c r="X159" s="482">
        <f t="shared" si="9"/>
        <v>1.5841584158415842</v>
      </c>
      <c r="Y159" s="220" t="s">
        <v>1666</v>
      </c>
      <c r="Z159" s="205" t="str">
        <f t="shared" ref="Z159:AH159" si="170">Y159</f>
        <v>*</v>
      </c>
      <c r="AA159" s="792" t="str">
        <f t="shared" si="170"/>
        <v>*</v>
      </c>
      <c r="AB159" s="458" t="str">
        <f t="shared" si="170"/>
        <v>*</v>
      </c>
      <c r="AC159" s="497" t="str">
        <f t="shared" si="170"/>
        <v>*</v>
      </c>
      <c r="AD159" s="497" t="str">
        <f t="shared" si="170"/>
        <v>*</v>
      </c>
      <c r="AE159" s="454" t="str">
        <f t="shared" si="170"/>
        <v>*</v>
      </c>
      <c r="AF159" s="454" t="str">
        <f t="shared" si="170"/>
        <v>*</v>
      </c>
      <c r="AG159" s="454" t="str">
        <f t="shared" si="170"/>
        <v>*</v>
      </c>
      <c r="AH159" s="454" t="str">
        <f t="shared" si="170"/>
        <v>*</v>
      </c>
    </row>
    <row r="160" spans="1:34" ht="12.75">
      <c r="A160" s="14" t="s">
        <v>3106</v>
      </c>
      <c r="B160" s="24" t="s">
        <v>2508</v>
      </c>
      <c r="C160" s="14" t="s">
        <v>2539</v>
      </c>
      <c r="D160" s="14" t="s">
        <v>2911</v>
      </c>
      <c r="E160" s="14" t="s">
        <v>3107</v>
      </c>
      <c r="F160" s="13">
        <v>4.75</v>
      </c>
      <c r="G160" s="14" t="s">
        <v>3103</v>
      </c>
      <c r="H160" s="13" t="s">
        <v>3108</v>
      </c>
      <c r="I160" s="14" t="s">
        <v>3151</v>
      </c>
      <c r="J160" s="14" t="s">
        <v>3152</v>
      </c>
      <c r="K160" s="478">
        <f t="shared" si="165"/>
        <v>3.9603960396039604E-2</v>
      </c>
      <c r="L160" s="220">
        <v>0.19</v>
      </c>
      <c r="M160" s="473" t="s">
        <v>3111</v>
      </c>
      <c r="N160" s="14" t="s">
        <v>3153</v>
      </c>
      <c r="O160" s="220" t="s">
        <v>2961</v>
      </c>
      <c r="P160" s="14" t="s">
        <v>3021</v>
      </c>
      <c r="Q160" s="486" t="s">
        <v>3022</v>
      </c>
      <c r="R160" s="14">
        <v>60</v>
      </c>
      <c r="S160" s="14">
        <f>(0.01*R160)*L160</f>
        <v>0.11399999999999999</v>
      </c>
      <c r="T160" s="220">
        <f>SUM(R160:R163)</f>
        <v>100.6</v>
      </c>
      <c r="U160" s="14">
        <f t="shared" si="134"/>
        <v>59.642147117296226</v>
      </c>
      <c r="V160" s="220">
        <f>U160*100/SUM(U160:U162)</f>
        <v>76.433121019108285</v>
      </c>
      <c r="W160" s="14" t="s">
        <v>346</v>
      </c>
      <c r="X160" s="14">
        <f t="shared" si="9"/>
        <v>3.0270542977864667</v>
      </c>
      <c r="Y160" s="220" t="s">
        <v>1666</v>
      </c>
      <c r="Z160" s="205" t="str">
        <f t="shared" ref="Z160:AH160" si="171">Y160</f>
        <v>*</v>
      </c>
      <c r="AA160" s="792" t="str">
        <f t="shared" si="171"/>
        <v>*</v>
      </c>
      <c r="AB160" s="458" t="str">
        <f t="shared" si="171"/>
        <v>*</v>
      </c>
      <c r="AC160" s="497" t="str">
        <f t="shared" si="171"/>
        <v>*</v>
      </c>
      <c r="AD160" s="497" t="str">
        <f t="shared" si="171"/>
        <v>*</v>
      </c>
      <c r="AE160" s="454" t="str">
        <f t="shared" si="171"/>
        <v>*</v>
      </c>
      <c r="AF160" s="454" t="str">
        <f t="shared" si="171"/>
        <v>*</v>
      </c>
      <c r="AG160" s="454" t="str">
        <f t="shared" si="171"/>
        <v>*</v>
      </c>
      <c r="AH160" s="454" t="str">
        <f t="shared" si="171"/>
        <v>*</v>
      </c>
    </row>
    <row r="161" spans="1:34" ht="12.75">
      <c r="A161" s="14" t="s">
        <v>3106</v>
      </c>
      <c r="B161" s="24" t="s">
        <v>2508</v>
      </c>
      <c r="C161" s="14" t="s">
        <v>2539</v>
      </c>
      <c r="D161" s="14" t="s">
        <v>2911</v>
      </c>
      <c r="E161" s="14" t="s">
        <v>3107</v>
      </c>
      <c r="F161" s="13">
        <v>4.75</v>
      </c>
      <c r="G161" s="14" t="s">
        <v>3103</v>
      </c>
      <c r="H161" s="13" t="s">
        <v>3108</v>
      </c>
      <c r="I161" s="14" t="s">
        <v>3151</v>
      </c>
      <c r="J161" s="14" t="s">
        <v>3152</v>
      </c>
      <c r="K161" s="478">
        <f t="shared" si="165"/>
        <v>3.9603960396039604E-2</v>
      </c>
      <c r="L161" s="220">
        <v>0.19</v>
      </c>
      <c r="M161" s="473" t="s">
        <v>3111</v>
      </c>
      <c r="N161" s="14" t="s">
        <v>3153</v>
      </c>
      <c r="O161" s="220" t="s">
        <v>2961</v>
      </c>
      <c r="P161" s="655" t="s">
        <v>2987</v>
      </c>
      <c r="Q161" s="486" t="s">
        <v>3154</v>
      </c>
      <c r="R161" s="14">
        <v>17.5</v>
      </c>
      <c r="S161" s="14"/>
      <c r="T161" s="220">
        <f>SUM(R160:R163)</f>
        <v>100.6</v>
      </c>
      <c r="U161" s="14">
        <f t="shared" si="134"/>
        <v>17.395626242544733</v>
      </c>
      <c r="V161" s="220">
        <f>U161*100/SUM(U160:U162)</f>
        <v>22.29299363057325</v>
      </c>
      <c r="W161" s="14" t="s">
        <v>3149</v>
      </c>
      <c r="X161" s="14">
        <f t="shared" si="9"/>
        <v>0.88289083685438619</v>
      </c>
      <c r="Y161" s="220" t="s">
        <v>1666</v>
      </c>
      <c r="Z161" s="205" t="str">
        <f t="shared" ref="Z161:AH161" si="172">Y161</f>
        <v>*</v>
      </c>
      <c r="AA161" s="792" t="str">
        <f t="shared" si="172"/>
        <v>*</v>
      </c>
      <c r="AB161" s="458" t="str">
        <f t="shared" si="172"/>
        <v>*</v>
      </c>
      <c r="AC161" s="497" t="str">
        <f t="shared" si="172"/>
        <v>*</v>
      </c>
      <c r="AD161" s="497" t="str">
        <f t="shared" si="172"/>
        <v>*</v>
      </c>
      <c r="AE161" s="454" t="str">
        <f t="shared" si="172"/>
        <v>*</v>
      </c>
      <c r="AF161" s="454" t="str">
        <f t="shared" si="172"/>
        <v>*</v>
      </c>
      <c r="AG161" s="454" t="str">
        <f t="shared" si="172"/>
        <v>*</v>
      </c>
      <c r="AH161" s="454" t="str">
        <f t="shared" si="172"/>
        <v>*</v>
      </c>
    </row>
    <row r="162" spans="1:34" ht="12.75">
      <c r="A162" s="14" t="s">
        <v>3106</v>
      </c>
      <c r="B162" s="24" t="s">
        <v>2508</v>
      </c>
      <c r="C162" s="14" t="s">
        <v>2539</v>
      </c>
      <c r="D162" s="14" t="s">
        <v>2911</v>
      </c>
      <c r="E162" s="14" t="s">
        <v>3107</v>
      </c>
      <c r="F162" s="13">
        <v>4.75</v>
      </c>
      <c r="G162" s="14" t="s">
        <v>3103</v>
      </c>
      <c r="H162" s="13" t="s">
        <v>3108</v>
      </c>
      <c r="I162" s="14" t="s">
        <v>3151</v>
      </c>
      <c r="J162" s="14" t="s">
        <v>3152</v>
      </c>
      <c r="K162" s="478">
        <f t="shared" si="165"/>
        <v>3.9603960396039604E-2</v>
      </c>
      <c r="L162" s="220">
        <v>0.19</v>
      </c>
      <c r="M162" s="473" t="s">
        <v>3111</v>
      </c>
      <c r="N162" s="14" t="s">
        <v>3153</v>
      </c>
      <c r="O162" s="220" t="s">
        <v>2961</v>
      </c>
      <c r="P162" s="14" t="s">
        <v>3072</v>
      </c>
      <c r="Q162" s="14" t="s">
        <v>3073</v>
      </c>
      <c r="R162" s="14">
        <v>1</v>
      </c>
      <c r="S162" s="14"/>
      <c r="T162" s="220">
        <f>SUM(R160:R163)</f>
        <v>100.6</v>
      </c>
      <c r="U162" s="14">
        <f t="shared" si="134"/>
        <v>0.99403578528827041</v>
      </c>
      <c r="V162" s="220">
        <f>U162*100/SUM(U160:U162)</f>
        <v>1.2738853503184713</v>
      </c>
      <c r="W162" s="17" t="s">
        <v>343</v>
      </c>
      <c r="X162" s="14">
        <f t="shared" si="9"/>
        <v>5.0450904963107772E-2</v>
      </c>
      <c r="Y162" s="220" t="s">
        <v>1666</v>
      </c>
      <c r="Z162" s="205" t="str">
        <f t="shared" ref="Z162:AH162" si="173">Y162</f>
        <v>*</v>
      </c>
      <c r="AA162" s="792" t="str">
        <f t="shared" si="173"/>
        <v>*</v>
      </c>
      <c r="AB162" s="458" t="str">
        <f t="shared" si="173"/>
        <v>*</v>
      </c>
      <c r="AC162" s="497" t="str">
        <f t="shared" si="173"/>
        <v>*</v>
      </c>
      <c r="AD162" s="497" t="str">
        <f t="shared" si="173"/>
        <v>*</v>
      </c>
      <c r="AE162" s="454" t="str">
        <f t="shared" si="173"/>
        <v>*</v>
      </c>
      <c r="AF162" s="454" t="str">
        <f t="shared" si="173"/>
        <v>*</v>
      </c>
      <c r="AG162" s="454" t="str">
        <f t="shared" si="173"/>
        <v>*</v>
      </c>
      <c r="AH162" s="454" t="str">
        <f t="shared" si="173"/>
        <v>*</v>
      </c>
    </row>
    <row r="163" spans="1:34" ht="14.25">
      <c r="A163" s="617" t="s">
        <v>3106</v>
      </c>
      <c r="B163" s="794" t="s">
        <v>2508</v>
      </c>
      <c r="C163" s="617" t="s">
        <v>2539</v>
      </c>
      <c r="D163" s="617" t="s">
        <v>2911</v>
      </c>
      <c r="E163" s="617" t="s">
        <v>3107</v>
      </c>
      <c r="F163" s="799">
        <v>4.75</v>
      </c>
      <c r="G163" s="617" t="s">
        <v>3103</v>
      </c>
      <c r="H163" s="799" t="s">
        <v>3108</v>
      </c>
      <c r="I163" s="617" t="s">
        <v>3151</v>
      </c>
      <c r="J163" s="617" t="s">
        <v>3152</v>
      </c>
      <c r="K163" s="838">
        <f t="shared" si="165"/>
        <v>3.9603960396039604E-2</v>
      </c>
      <c r="L163" s="725">
        <v>0.19</v>
      </c>
      <c r="M163" s="850" t="s">
        <v>3111</v>
      </c>
      <c r="N163" s="841" t="s">
        <v>3155</v>
      </c>
      <c r="O163" s="725" t="s">
        <v>2961</v>
      </c>
      <c r="P163" s="617" t="s">
        <v>2938</v>
      </c>
      <c r="Q163" s="617" t="s">
        <v>72</v>
      </c>
      <c r="R163" s="617">
        <v>22.1</v>
      </c>
      <c r="S163" s="617"/>
      <c r="T163" s="725">
        <f>SUM(R160:R163)</f>
        <v>100.6</v>
      </c>
      <c r="U163" s="617">
        <f t="shared" si="134"/>
        <v>21.968190854870777</v>
      </c>
      <c r="V163" s="858">
        <f>U163</f>
        <v>21.968190854870777</v>
      </c>
      <c r="W163" s="859" t="s">
        <v>72</v>
      </c>
      <c r="X163" s="859">
        <f t="shared" si="9"/>
        <v>0.8700273605889417</v>
      </c>
      <c r="Y163" s="725" t="s">
        <v>1666</v>
      </c>
      <c r="Z163" s="860" t="str">
        <f t="shared" ref="Z163:AH163" si="174">Y163</f>
        <v>*</v>
      </c>
      <c r="AA163" s="455" t="str">
        <f t="shared" si="174"/>
        <v>*</v>
      </c>
      <c r="AB163" s="821" t="str">
        <f t="shared" si="174"/>
        <v>*</v>
      </c>
      <c r="AC163" s="497" t="str">
        <f t="shared" si="174"/>
        <v>*</v>
      </c>
      <c r="AD163" s="497" t="str">
        <f t="shared" si="174"/>
        <v>*</v>
      </c>
      <c r="AE163" s="454" t="str">
        <f t="shared" si="174"/>
        <v>*</v>
      </c>
      <c r="AF163" s="454" t="str">
        <f t="shared" si="174"/>
        <v>*</v>
      </c>
      <c r="AG163" s="454" t="str">
        <f t="shared" si="174"/>
        <v>*</v>
      </c>
      <c r="AH163" s="454" t="str">
        <f t="shared" si="174"/>
        <v>*</v>
      </c>
    </row>
    <row r="164" spans="1:34" ht="12.75">
      <c r="A164" s="14" t="s">
        <v>3156</v>
      </c>
      <c r="B164" s="14" t="s">
        <v>2508</v>
      </c>
      <c r="C164" s="14" t="s">
        <v>2542</v>
      </c>
      <c r="D164" s="14" t="s">
        <v>2911</v>
      </c>
      <c r="E164" s="14" t="s">
        <v>3157</v>
      </c>
      <c r="F164" s="13">
        <v>3.7</v>
      </c>
      <c r="G164" s="14" t="s">
        <v>3103</v>
      </c>
      <c r="H164" s="13" t="s">
        <v>3158</v>
      </c>
      <c r="I164" s="14" t="s">
        <v>3159</v>
      </c>
      <c r="J164" s="14" t="s">
        <v>3160</v>
      </c>
      <c r="K164" s="478">
        <v>1</v>
      </c>
      <c r="L164" s="220">
        <v>3.7</v>
      </c>
      <c r="M164" s="13" t="s">
        <v>3160</v>
      </c>
      <c r="N164" s="14" t="s">
        <v>3161</v>
      </c>
      <c r="O164" s="220" t="s">
        <v>2961</v>
      </c>
      <c r="P164" s="14" t="s">
        <v>3013</v>
      </c>
      <c r="Q164" s="14" t="s">
        <v>88</v>
      </c>
      <c r="R164" s="14">
        <v>50</v>
      </c>
      <c r="S164" s="14"/>
      <c r="T164" s="220">
        <f>SUM(R164:R166)</f>
        <v>112.5</v>
      </c>
      <c r="U164" s="14">
        <f t="shared" si="134"/>
        <v>44.444444444444443</v>
      </c>
      <c r="V164" s="220">
        <f>U164*100/SUM(U164:U165)</f>
        <v>55.555555555555557</v>
      </c>
      <c r="W164" s="14" t="s">
        <v>88</v>
      </c>
      <c r="X164" s="14">
        <f t="shared" si="9"/>
        <v>55.555555555555557</v>
      </c>
      <c r="Y164" s="220">
        <f t="shared" ref="Y164:AA164" si="175">X164</f>
        <v>55.555555555555557</v>
      </c>
      <c r="Z164" s="220">
        <f t="shared" si="175"/>
        <v>55.555555555555557</v>
      </c>
      <c r="AA164" s="792">
        <f t="shared" si="175"/>
        <v>55.555555555555557</v>
      </c>
      <c r="AB164" s="18" t="s">
        <v>88</v>
      </c>
      <c r="AC164" s="840" t="s">
        <v>3015</v>
      </c>
      <c r="AD164" s="840" t="s">
        <v>3016</v>
      </c>
      <c r="AE164" s="800">
        <v>5.5280749052132698E-2</v>
      </c>
      <c r="AF164" s="800">
        <v>0.16253532298578199</v>
      </c>
      <c r="AG164" s="800">
        <v>1.0836239353080568E-3</v>
      </c>
      <c r="AH164" s="800">
        <v>1.0196349526066351E-2</v>
      </c>
    </row>
    <row r="165" spans="1:34" ht="12.75">
      <c r="A165" s="14" t="s">
        <v>3156</v>
      </c>
      <c r="B165" s="14" t="s">
        <v>2508</v>
      </c>
      <c r="C165" s="14" t="s">
        <v>2542</v>
      </c>
      <c r="D165" s="14" t="s">
        <v>2911</v>
      </c>
      <c r="E165" s="14" t="s">
        <v>3157</v>
      </c>
      <c r="F165" s="13">
        <v>3.7</v>
      </c>
      <c r="G165" s="14" t="s">
        <v>3103</v>
      </c>
      <c r="H165" s="13" t="s">
        <v>3158</v>
      </c>
      <c r="I165" s="14" t="s">
        <v>3159</v>
      </c>
      <c r="J165" s="14" t="s">
        <v>3160</v>
      </c>
      <c r="K165" s="478">
        <v>1</v>
      </c>
      <c r="L165" s="220">
        <v>3.7</v>
      </c>
      <c r="M165" s="13" t="s">
        <v>3160</v>
      </c>
      <c r="N165" s="14" t="s">
        <v>3161</v>
      </c>
      <c r="O165" s="220" t="s">
        <v>2961</v>
      </c>
      <c r="P165" s="14" t="s">
        <v>1376</v>
      </c>
      <c r="Q165" s="486" t="s">
        <v>3114</v>
      </c>
      <c r="R165" s="14">
        <v>40</v>
      </c>
      <c r="S165" s="14"/>
      <c r="T165" s="220">
        <f>SUM(R164:R166)</f>
        <v>112.5</v>
      </c>
      <c r="U165" s="14">
        <f t="shared" si="134"/>
        <v>35.555555555555557</v>
      </c>
      <c r="V165" s="220">
        <f>U165*100/SUM(U164:U165)</f>
        <v>44.444444444444443</v>
      </c>
      <c r="W165" s="14" t="s">
        <v>340</v>
      </c>
      <c r="X165" s="14">
        <f t="shared" si="9"/>
        <v>44.444444444444443</v>
      </c>
      <c r="Y165" s="220">
        <f t="shared" ref="Y165:AA165" si="176">X165</f>
        <v>44.444444444444443</v>
      </c>
      <c r="Z165" s="220">
        <f t="shared" si="176"/>
        <v>44.444444444444443</v>
      </c>
      <c r="AA165" s="792">
        <f t="shared" si="176"/>
        <v>44.444444444444443</v>
      </c>
      <c r="AB165" s="18" t="s">
        <v>340</v>
      </c>
      <c r="AC165" s="13" t="s">
        <v>3115</v>
      </c>
      <c r="AD165" s="13" t="s">
        <v>3116</v>
      </c>
      <c r="AE165" s="12">
        <v>2.1708241661196198E-2</v>
      </c>
      <c r="AF165" s="12">
        <v>0.36572952458380198</v>
      </c>
      <c r="AG165" s="12">
        <v>4.6350652173913045E-4</v>
      </c>
      <c r="AH165" s="12">
        <v>1.6975608035415088E-3</v>
      </c>
    </row>
    <row r="166" spans="1:34" ht="14.25">
      <c r="A166" s="617" t="s">
        <v>3156</v>
      </c>
      <c r="B166" s="617" t="s">
        <v>2508</v>
      </c>
      <c r="C166" s="617" t="s">
        <v>2542</v>
      </c>
      <c r="D166" s="617" t="s">
        <v>2911</v>
      </c>
      <c r="E166" s="617" t="s">
        <v>3157</v>
      </c>
      <c r="F166" s="799">
        <v>3.7</v>
      </c>
      <c r="G166" s="617" t="s">
        <v>3103</v>
      </c>
      <c r="H166" s="799" t="s">
        <v>3158</v>
      </c>
      <c r="I166" s="617" t="s">
        <v>3159</v>
      </c>
      <c r="J166" s="617" t="s">
        <v>3160</v>
      </c>
      <c r="K166" s="838">
        <v>1</v>
      </c>
      <c r="L166" s="725">
        <v>3.7</v>
      </c>
      <c r="M166" s="799" t="s">
        <v>3160</v>
      </c>
      <c r="N166" s="841" t="s">
        <v>3162</v>
      </c>
      <c r="O166" s="725" t="s">
        <v>2961</v>
      </c>
      <c r="P166" s="617" t="s">
        <v>2938</v>
      </c>
      <c r="Q166" s="617" t="s">
        <v>72</v>
      </c>
      <c r="R166" s="617">
        <v>22.5</v>
      </c>
      <c r="S166" s="617"/>
      <c r="T166" s="725">
        <f>SUM(R164:R166)</f>
        <v>112.5</v>
      </c>
      <c r="U166" s="617">
        <f t="shared" si="134"/>
        <v>20</v>
      </c>
      <c r="V166" s="858">
        <f t="shared" ref="V166:V174" si="177">U166</f>
        <v>20</v>
      </c>
      <c r="W166" s="859" t="s">
        <v>72</v>
      </c>
      <c r="X166" s="859">
        <f t="shared" si="9"/>
        <v>20</v>
      </c>
      <c r="Y166" s="858">
        <f t="shared" ref="Y166:AA166" si="178">X166</f>
        <v>20</v>
      </c>
      <c r="Z166" s="858">
        <f t="shared" si="178"/>
        <v>20</v>
      </c>
      <c r="AA166" s="459">
        <f t="shared" si="178"/>
        <v>20</v>
      </c>
      <c r="AB166" s="801" t="s">
        <v>72</v>
      </c>
      <c r="AC166" s="861" t="s">
        <v>2938</v>
      </c>
      <c r="AD166" s="861" t="s">
        <v>2940</v>
      </c>
      <c r="AE166" s="802">
        <v>0</v>
      </c>
      <c r="AF166" s="802">
        <v>0</v>
      </c>
      <c r="AG166" s="802">
        <v>0</v>
      </c>
      <c r="AH166" s="802">
        <v>0</v>
      </c>
    </row>
    <row r="167" spans="1:34" ht="12.75">
      <c r="A167" s="617" t="s">
        <v>3163</v>
      </c>
      <c r="B167" s="799" t="s">
        <v>2508</v>
      </c>
      <c r="C167" s="617" t="s">
        <v>2543</v>
      </c>
      <c r="D167" s="617" t="s">
        <v>2911</v>
      </c>
      <c r="E167" s="617" t="s">
        <v>3031</v>
      </c>
      <c r="F167" s="799">
        <v>170</v>
      </c>
      <c r="G167" s="617" t="s">
        <v>3164</v>
      </c>
      <c r="H167" s="799">
        <v>1117</v>
      </c>
      <c r="I167" s="617" t="s">
        <v>3031</v>
      </c>
      <c r="J167" s="617" t="s">
        <v>3165</v>
      </c>
      <c r="K167" s="838">
        <v>1</v>
      </c>
      <c r="L167" s="725">
        <v>170</v>
      </c>
      <c r="M167" s="799">
        <v>1117</v>
      </c>
      <c r="N167" s="799"/>
      <c r="O167" s="725"/>
      <c r="P167" s="617" t="s">
        <v>3031</v>
      </c>
      <c r="Q167" s="617" t="s">
        <v>3166</v>
      </c>
      <c r="R167" s="617">
        <v>100</v>
      </c>
      <c r="S167" s="617">
        <f t="shared" ref="S167:S194" si="179">(0.01*R167)*L167</f>
        <v>170</v>
      </c>
      <c r="T167" s="725">
        <f>SUM(R167)</f>
        <v>100</v>
      </c>
      <c r="U167" s="617">
        <f>R167</f>
        <v>100</v>
      </c>
      <c r="V167" s="725">
        <f t="shared" si="177"/>
        <v>100</v>
      </c>
      <c r="W167" s="617" t="s">
        <v>879</v>
      </c>
      <c r="X167" s="617">
        <f t="shared" si="9"/>
        <v>100</v>
      </c>
      <c r="Y167" s="725">
        <f t="shared" ref="Y167:AA167" si="180">X167</f>
        <v>100</v>
      </c>
      <c r="Z167" s="725">
        <f t="shared" si="180"/>
        <v>100</v>
      </c>
      <c r="AA167" s="455">
        <f t="shared" si="180"/>
        <v>100</v>
      </c>
      <c r="AB167" s="793" t="s">
        <v>879</v>
      </c>
      <c r="AC167" s="799" t="s">
        <v>3033</v>
      </c>
      <c r="AD167" s="799" t="s">
        <v>3034</v>
      </c>
      <c r="AE167" s="635">
        <v>5.688340995260663E-3</v>
      </c>
      <c r="AF167" s="635">
        <v>1.672474336492891E-2</v>
      </c>
      <c r="AG167" s="635">
        <v>1.1150396042654029E-4</v>
      </c>
      <c r="AH167" s="635">
        <v>1.0491954976303319E-3</v>
      </c>
    </row>
    <row r="168" spans="1:34" ht="12.75">
      <c r="A168" s="14" t="s">
        <v>3167</v>
      </c>
      <c r="B168" s="24" t="s">
        <v>2508</v>
      </c>
      <c r="C168" s="14" t="s">
        <v>2544</v>
      </c>
      <c r="D168" s="14" t="s">
        <v>2911</v>
      </c>
      <c r="E168" s="14" t="s">
        <v>3168</v>
      </c>
      <c r="F168" s="13">
        <v>170</v>
      </c>
      <c r="G168" s="14" t="s">
        <v>3164</v>
      </c>
      <c r="H168" s="13">
        <v>1198</v>
      </c>
      <c r="I168" s="14" t="s">
        <v>3168</v>
      </c>
      <c r="J168" s="14" t="s">
        <v>3169</v>
      </c>
      <c r="K168" s="478">
        <v>1</v>
      </c>
      <c r="L168" s="220">
        <v>170</v>
      </c>
      <c r="M168" s="13">
        <v>1198</v>
      </c>
      <c r="N168" s="13"/>
      <c r="O168" s="220"/>
      <c r="P168" s="14" t="s">
        <v>2912</v>
      </c>
      <c r="Q168" s="14" t="s">
        <v>2915</v>
      </c>
      <c r="R168" s="14">
        <v>85</v>
      </c>
      <c r="S168" s="14">
        <f t="shared" si="179"/>
        <v>144.5</v>
      </c>
      <c r="T168" s="220">
        <f>SUM(R168:R174)</f>
        <v>104</v>
      </c>
      <c r="U168" s="14">
        <f t="shared" ref="U168:U174" si="181">R168*100/T168</f>
        <v>81.730769230769226</v>
      </c>
      <c r="V168" s="220">
        <f t="shared" si="177"/>
        <v>81.730769230769226</v>
      </c>
      <c r="W168" s="14" t="s">
        <v>124</v>
      </c>
      <c r="X168" s="14">
        <f t="shared" si="9"/>
        <v>81.730769230769226</v>
      </c>
      <c r="Y168" s="220">
        <f>SUM(X168:X169,X173)</f>
        <v>87.019230769230759</v>
      </c>
      <c r="Z168" s="220">
        <f t="shared" ref="Z168:Z169" si="182">X168</f>
        <v>81.730769230769226</v>
      </c>
      <c r="AA168" s="792">
        <f t="shared" ref="AA168:AA169" si="183">Z168</f>
        <v>81.730769230769226</v>
      </c>
      <c r="AB168" s="18" t="s">
        <v>124</v>
      </c>
      <c r="AC168" s="13" t="s">
        <v>877</v>
      </c>
      <c r="AD168" s="14" t="s">
        <v>2916</v>
      </c>
      <c r="AE168" s="12">
        <v>3.9416473933649287E-3</v>
      </c>
      <c r="AF168" s="12">
        <v>1.1589150710900475E-2</v>
      </c>
      <c r="AG168" s="12">
        <v>7.7264934597156404E-5</v>
      </c>
      <c r="AH168" s="12">
        <v>7.2702369668246447E-4</v>
      </c>
    </row>
    <row r="169" spans="1:34" ht="12.75">
      <c r="A169" s="14" t="s">
        <v>3167</v>
      </c>
      <c r="B169" s="24" t="s">
        <v>2508</v>
      </c>
      <c r="C169" s="14" t="s">
        <v>2544</v>
      </c>
      <c r="D169" s="14" t="s">
        <v>2911</v>
      </c>
      <c r="E169" s="14" t="s">
        <v>3168</v>
      </c>
      <c r="F169" s="13">
        <v>170</v>
      </c>
      <c r="G169" s="14" t="s">
        <v>3164</v>
      </c>
      <c r="H169" s="13">
        <v>1198</v>
      </c>
      <c r="I169" s="14" t="s">
        <v>3168</v>
      </c>
      <c r="J169" s="14" t="s">
        <v>3169</v>
      </c>
      <c r="K169" s="478">
        <v>1</v>
      </c>
      <c r="L169" s="220">
        <v>170</v>
      </c>
      <c r="M169" s="13">
        <v>1198</v>
      </c>
      <c r="N169" s="13"/>
      <c r="O169" s="220"/>
      <c r="P169" s="14" t="s">
        <v>2928</v>
      </c>
      <c r="Q169" s="14" t="s">
        <v>3061</v>
      </c>
      <c r="R169" s="14">
        <v>5</v>
      </c>
      <c r="S169" s="14">
        <f t="shared" si="179"/>
        <v>8.5</v>
      </c>
      <c r="T169" s="220">
        <f>SUM(R168:R174)</f>
        <v>104</v>
      </c>
      <c r="U169" s="14">
        <f t="shared" si="181"/>
        <v>4.8076923076923075</v>
      </c>
      <c r="V169" s="220">
        <f t="shared" si="177"/>
        <v>4.8076923076923075</v>
      </c>
      <c r="W169" s="17" t="s">
        <v>876</v>
      </c>
      <c r="X169" s="14">
        <f t="shared" si="9"/>
        <v>4.8076923076923075</v>
      </c>
      <c r="Y169" s="220" t="s">
        <v>1666</v>
      </c>
      <c r="Z169" s="220">
        <f t="shared" si="182"/>
        <v>4.8076923076923075</v>
      </c>
      <c r="AA169" s="792">
        <f t="shared" si="183"/>
        <v>4.8076923076923075</v>
      </c>
      <c r="AB169" s="18" t="s">
        <v>2545</v>
      </c>
      <c r="AC169" s="13" t="s">
        <v>2930</v>
      </c>
      <c r="AD169" s="13" t="s">
        <v>2931</v>
      </c>
      <c r="AE169" s="12">
        <v>6.0179999999999999E-3</v>
      </c>
      <c r="AF169" s="23">
        <v>1.7694000000000001E-2</v>
      </c>
      <c r="AG169" s="12">
        <v>1.17966E-4</v>
      </c>
      <c r="AH169" s="12">
        <v>1.1100000000000001E-3</v>
      </c>
    </row>
    <row r="170" spans="1:34" ht="12.75">
      <c r="A170" s="14" t="s">
        <v>3167</v>
      </c>
      <c r="B170" s="24" t="s">
        <v>2508</v>
      </c>
      <c r="C170" s="14" t="s">
        <v>2544</v>
      </c>
      <c r="D170" s="14" t="s">
        <v>2911</v>
      </c>
      <c r="E170" s="14" t="s">
        <v>3168</v>
      </c>
      <c r="F170" s="13">
        <v>170</v>
      </c>
      <c r="G170" s="14" t="s">
        <v>3164</v>
      </c>
      <c r="H170" s="13">
        <v>1198</v>
      </c>
      <c r="I170" s="14" t="s">
        <v>3168</v>
      </c>
      <c r="J170" s="14" t="s">
        <v>3169</v>
      </c>
      <c r="K170" s="478">
        <v>1</v>
      </c>
      <c r="L170" s="220">
        <v>170</v>
      </c>
      <c r="M170" s="13">
        <v>1198</v>
      </c>
      <c r="N170" s="13"/>
      <c r="O170" s="220"/>
      <c r="P170" s="14" t="s">
        <v>3097</v>
      </c>
      <c r="Q170" s="14" t="s">
        <v>3098</v>
      </c>
      <c r="R170" s="14">
        <v>10</v>
      </c>
      <c r="S170" s="14">
        <f t="shared" si="179"/>
        <v>17</v>
      </c>
      <c r="T170" s="220">
        <f>SUM(R168:R174)</f>
        <v>104</v>
      </c>
      <c r="U170" s="14">
        <f t="shared" si="181"/>
        <v>9.615384615384615</v>
      </c>
      <c r="V170" s="220">
        <f t="shared" si="177"/>
        <v>9.615384615384615</v>
      </c>
      <c r="W170" s="14" t="s">
        <v>201</v>
      </c>
      <c r="X170" s="14">
        <f t="shared" si="9"/>
        <v>9.615384615384615</v>
      </c>
      <c r="Y170" s="220">
        <f t="shared" ref="Y170:AA170" si="184">X170</f>
        <v>9.615384615384615</v>
      </c>
      <c r="Z170" s="220">
        <f t="shared" si="184"/>
        <v>9.615384615384615</v>
      </c>
      <c r="AA170" s="792">
        <f t="shared" si="184"/>
        <v>9.615384615384615</v>
      </c>
      <c r="AB170" s="18" t="s">
        <v>201</v>
      </c>
      <c r="AC170" s="13" t="s">
        <v>3097</v>
      </c>
      <c r="AD170" s="13" t="s">
        <v>3099</v>
      </c>
      <c r="AE170" s="12">
        <v>4.18475450981867E-4</v>
      </c>
      <c r="AF170" s="12">
        <v>8.6483234472969298E-3</v>
      </c>
      <c r="AG170" s="12">
        <v>1.2528735632183908E-4</v>
      </c>
      <c r="AH170" s="12">
        <v>3.0408612692190031E-4</v>
      </c>
    </row>
    <row r="171" spans="1:34" ht="12.75">
      <c r="A171" s="14" t="s">
        <v>3167</v>
      </c>
      <c r="B171" s="24" t="s">
        <v>2508</v>
      </c>
      <c r="C171" s="14" t="s">
        <v>2544</v>
      </c>
      <c r="D171" s="14" t="s">
        <v>2911</v>
      </c>
      <c r="E171" s="14" t="s">
        <v>3168</v>
      </c>
      <c r="F171" s="13">
        <v>170</v>
      </c>
      <c r="G171" s="14" t="s">
        <v>3164</v>
      </c>
      <c r="H171" s="13">
        <v>1198</v>
      </c>
      <c r="I171" s="14" t="s">
        <v>3168</v>
      </c>
      <c r="J171" s="14" t="s">
        <v>3169</v>
      </c>
      <c r="K171" s="478">
        <v>1</v>
      </c>
      <c r="L171" s="220">
        <v>170</v>
      </c>
      <c r="M171" s="13">
        <v>1198</v>
      </c>
      <c r="N171" s="13"/>
      <c r="O171" s="220"/>
      <c r="P171" s="14" t="s">
        <v>3170</v>
      </c>
      <c r="Q171" s="14" t="s">
        <v>3171</v>
      </c>
      <c r="R171" s="14">
        <v>2</v>
      </c>
      <c r="S171" s="14">
        <f t="shared" si="179"/>
        <v>3.4</v>
      </c>
      <c r="T171" s="220">
        <f>SUM(R168:R174)</f>
        <v>104</v>
      </c>
      <c r="U171" s="14">
        <f t="shared" si="181"/>
        <v>1.9230769230769231</v>
      </c>
      <c r="V171" s="220">
        <f t="shared" si="177"/>
        <v>1.9230769230769231</v>
      </c>
      <c r="W171" s="14" t="s">
        <v>3170</v>
      </c>
      <c r="X171" s="14">
        <f t="shared" si="9"/>
        <v>1.9230769230769231</v>
      </c>
      <c r="Y171" s="499">
        <f t="shared" ref="Y171:Y172" si="185">X171</f>
        <v>1.9230769230769231</v>
      </c>
      <c r="Z171" s="220" t="s">
        <v>1666</v>
      </c>
      <c r="AA171" s="792" t="s">
        <v>1666</v>
      </c>
      <c r="AB171" s="18" t="s">
        <v>1666</v>
      </c>
      <c r="AC171" s="13" t="s">
        <v>1666</v>
      </c>
      <c r="AD171" s="13" t="str">
        <f t="shared" ref="AD171:AH171" si="186">AC171</f>
        <v>*</v>
      </c>
      <c r="AE171" s="454" t="str">
        <f t="shared" si="186"/>
        <v>*</v>
      </c>
      <c r="AF171" s="454" t="str">
        <f t="shared" si="186"/>
        <v>*</v>
      </c>
      <c r="AG171" s="454" t="str">
        <f t="shared" si="186"/>
        <v>*</v>
      </c>
      <c r="AH171" s="454" t="str">
        <f t="shared" si="186"/>
        <v>*</v>
      </c>
    </row>
    <row r="172" spans="1:34" ht="12.75">
      <c r="A172" s="14" t="s">
        <v>3167</v>
      </c>
      <c r="B172" s="24" t="s">
        <v>2508</v>
      </c>
      <c r="C172" s="14" t="s">
        <v>2544</v>
      </c>
      <c r="D172" s="14" t="s">
        <v>2911</v>
      </c>
      <c r="E172" s="14" t="s">
        <v>3168</v>
      </c>
      <c r="F172" s="13">
        <v>170</v>
      </c>
      <c r="G172" s="14" t="s">
        <v>3164</v>
      </c>
      <c r="H172" s="13">
        <v>1198</v>
      </c>
      <c r="I172" s="14" t="s">
        <v>3168</v>
      </c>
      <c r="J172" s="14" t="s">
        <v>3169</v>
      </c>
      <c r="K172" s="478">
        <v>1</v>
      </c>
      <c r="L172" s="220">
        <v>170</v>
      </c>
      <c r="M172" s="13">
        <v>1198</v>
      </c>
      <c r="N172" s="13"/>
      <c r="O172" s="220"/>
      <c r="P172" s="655" t="s">
        <v>2977</v>
      </c>
      <c r="Q172" s="486" t="s">
        <v>2978</v>
      </c>
      <c r="R172" s="14">
        <v>1</v>
      </c>
      <c r="S172" s="14">
        <f t="shared" si="179"/>
        <v>1.7</v>
      </c>
      <c r="T172" s="220">
        <f>SUM(R168:R174)</f>
        <v>104</v>
      </c>
      <c r="U172" s="14">
        <f t="shared" si="181"/>
        <v>0.96153846153846156</v>
      </c>
      <c r="V172" s="220">
        <f t="shared" si="177"/>
        <v>0.96153846153846156</v>
      </c>
      <c r="W172" s="14" t="s">
        <v>227</v>
      </c>
      <c r="X172" s="14">
        <f t="shared" si="9"/>
        <v>0.96153846153846156</v>
      </c>
      <c r="Y172" s="499">
        <f t="shared" si="185"/>
        <v>0.96153846153846156</v>
      </c>
      <c r="Z172" s="220">
        <f>Y172</f>
        <v>0.96153846153846156</v>
      </c>
      <c r="AA172" s="792">
        <f>X172</f>
        <v>0.96153846153846156</v>
      </c>
      <c r="AB172" s="18" t="s">
        <v>227</v>
      </c>
      <c r="AC172" s="13" t="s">
        <v>55</v>
      </c>
      <c r="AD172" s="13" t="s">
        <v>2979</v>
      </c>
      <c r="AE172" s="12">
        <v>2.5055367220000002E-3</v>
      </c>
      <c r="AF172" s="12">
        <v>3.8459841414181101E-2</v>
      </c>
      <c r="AG172" s="12">
        <v>1.1035422343324251E-4</v>
      </c>
      <c r="AH172" s="12">
        <v>8.109653861711444E-4</v>
      </c>
    </row>
    <row r="173" spans="1:34" ht="12.75">
      <c r="A173" s="14" t="s">
        <v>3167</v>
      </c>
      <c r="B173" s="24" t="s">
        <v>2508</v>
      </c>
      <c r="C173" s="14" t="s">
        <v>2544</v>
      </c>
      <c r="D173" s="14" t="s">
        <v>2911</v>
      </c>
      <c r="E173" s="14" t="s">
        <v>3168</v>
      </c>
      <c r="F173" s="13">
        <v>170</v>
      </c>
      <c r="G173" s="14" t="s">
        <v>3164</v>
      </c>
      <c r="H173" s="13">
        <v>1198</v>
      </c>
      <c r="I173" s="14" t="s">
        <v>3168</v>
      </c>
      <c r="J173" s="14" t="s">
        <v>3169</v>
      </c>
      <c r="K173" s="478">
        <v>1</v>
      </c>
      <c r="L173" s="220">
        <v>170</v>
      </c>
      <c r="M173" s="13">
        <v>1198</v>
      </c>
      <c r="N173" s="13"/>
      <c r="O173" s="220"/>
      <c r="P173" s="14" t="s">
        <v>3048</v>
      </c>
      <c r="Q173" s="14" t="s">
        <v>3049</v>
      </c>
      <c r="R173" s="14">
        <v>0.5</v>
      </c>
      <c r="S173" s="14">
        <f t="shared" si="179"/>
        <v>0.85</v>
      </c>
      <c r="T173" s="220">
        <f>SUM(R168:R174)</f>
        <v>104</v>
      </c>
      <c r="U173" s="14">
        <f t="shared" si="181"/>
        <v>0.48076923076923078</v>
      </c>
      <c r="V173" s="220">
        <f t="shared" si="177"/>
        <v>0.48076923076923078</v>
      </c>
      <c r="W173" s="17" t="s">
        <v>131</v>
      </c>
      <c r="X173" s="14">
        <f t="shared" si="9"/>
        <v>0.48076923076923078</v>
      </c>
      <c r="Y173" s="220" t="s">
        <v>1666</v>
      </c>
      <c r="Z173" s="220">
        <f>X173</f>
        <v>0.48076923076923078</v>
      </c>
      <c r="AA173" s="792">
        <f t="shared" ref="AA173:AA177" si="187">Z173</f>
        <v>0.48076923076923078</v>
      </c>
      <c r="AB173" s="18" t="s">
        <v>2532</v>
      </c>
      <c r="AC173" s="13" t="s">
        <v>878</v>
      </c>
      <c r="AD173" s="13" t="s">
        <v>3050</v>
      </c>
      <c r="AE173" s="12">
        <v>4.0401172748815169E-2</v>
      </c>
      <c r="AF173" s="12">
        <v>0.11878669834123222</v>
      </c>
      <c r="AG173" s="12">
        <v>7.919516026066351E-4</v>
      </c>
      <c r="AH173" s="12">
        <v>7.4518613744075819E-3</v>
      </c>
    </row>
    <row r="174" spans="1:34" ht="12.75">
      <c r="A174" s="617" t="s">
        <v>3167</v>
      </c>
      <c r="B174" s="794" t="s">
        <v>2508</v>
      </c>
      <c r="C174" s="617" t="s">
        <v>2544</v>
      </c>
      <c r="D174" s="617" t="s">
        <v>2911</v>
      </c>
      <c r="E174" s="617" t="s">
        <v>3168</v>
      </c>
      <c r="F174" s="799">
        <v>170</v>
      </c>
      <c r="G174" s="617" t="s">
        <v>3164</v>
      </c>
      <c r="H174" s="799">
        <v>1198</v>
      </c>
      <c r="I174" s="617" t="s">
        <v>3168</v>
      </c>
      <c r="J174" s="617" t="s">
        <v>3169</v>
      </c>
      <c r="K174" s="838">
        <v>1</v>
      </c>
      <c r="L174" s="725">
        <v>170</v>
      </c>
      <c r="M174" s="799">
        <v>1198</v>
      </c>
      <c r="N174" s="799"/>
      <c r="O174" s="725"/>
      <c r="P174" s="617" t="s">
        <v>3172</v>
      </c>
      <c r="Q174" s="856" t="s">
        <v>3173</v>
      </c>
      <c r="R174" s="617">
        <v>0.5</v>
      </c>
      <c r="S174" s="617">
        <f t="shared" si="179"/>
        <v>0.85</v>
      </c>
      <c r="T174" s="857">
        <f>SUM(R168:R174)</f>
        <v>104</v>
      </c>
      <c r="U174" s="617">
        <f t="shared" si="181"/>
        <v>0.48076923076923078</v>
      </c>
      <c r="V174" s="725">
        <f t="shared" si="177"/>
        <v>0.48076923076923078</v>
      </c>
      <c r="W174" s="617" t="s">
        <v>3172</v>
      </c>
      <c r="X174" s="617">
        <f t="shared" si="9"/>
        <v>0.48076923076923078</v>
      </c>
      <c r="Y174" s="862">
        <f>X174</f>
        <v>0.48076923076923078</v>
      </c>
      <c r="Z174" s="725">
        <f>SUM(X171,X174)</f>
        <v>2.4038461538461537</v>
      </c>
      <c r="AA174" s="455">
        <f t="shared" si="187"/>
        <v>2.4038461538461537</v>
      </c>
      <c r="AB174" s="797" t="s">
        <v>2546</v>
      </c>
      <c r="AC174" s="511" t="s">
        <v>3174</v>
      </c>
      <c r="AD174" s="511" t="s">
        <v>3174</v>
      </c>
      <c r="AE174" s="803">
        <v>2.2073766211046637E-2</v>
      </c>
      <c r="AF174" s="803">
        <v>8.7246004352723297E-2</v>
      </c>
      <c r="AG174" s="803">
        <v>5.8202330775582959E-4</v>
      </c>
      <c r="AH174" s="803">
        <v>2.670351142205461E-3</v>
      </c>
    </row>
    <row r="175" spans="1:34" ht="12.75">
      <c r="A175" s="14" t="s">
        <v>3175</v>
      </c>
      <c r="B175" s="24" t="s">
        <v>2508</v>
      </c>
      <c r="C175" s="14" t="s">
        <v>2547</v>
      </c>
      <c r="D175" s="14" t="s">
        <v>2911</v>
      </c>
      <c r="E175" s="14" t="s">
        <v>3176</v>
      </c>
      <c r="F175" s="13">
        <v>170</v>
      </c>
      <c r="G175" s="14" t="s">
        <v>3164</v>
      </c>
      <c r="H175" s="13">
        <v>1121</v>
      </c>
      <c r="I175" s="14" t="s">
        <v>3176</v>
      </c>
      <c r="J175" s="14" t="s">
        <v>3177</v>
      </c>
      <c r="K175" s="478">
        <v>0.87</v>
      </c>
      <c r="L175" s="220">
        <v>147.9</v>
      </c>
      <c r="M175" s="13">
        <v>1121</v>
      </c>
      <c r="N175" s="13"/>
      <c r="O175" s="220"/>
      <c r="P175" s="14" t="s">
        <v>3031</v>
      </c>
      <c r="Q175" s="14" t="s">
        <v>3032</v>
      </c>
      <c r="R175" s="14">
        <v>80</v>
      </c>
      <c r="S175" s="14">
        <f t="shared" si="179"/>
        <v>118.32000000000001</v>
      </c>
      <c r="T175" s="220"/>
      <c r="U175" s="14">
        <f t="shared" ref="U175:U179" si="188">R175</f>
        <v>80</v>
      </c>
      <c r="V175" s="220"/>
      <c r="W175" s="14" t="s">
        <v>879</v>
      </c>
      <c r="X175" s="500">
        <f t="shared" ref="X175:X194" si="189">U175*K175</f>
        <v>69.599999999999994</v>
      </c>
      <c r="Y175" s="501">
        <f>SUM(X175,X180,X181,X186,X187,X194)</f>
        <v>82.294596069868987</v>
      </c>
      <c r="Z175" s="501">
        <f>X175</f>
        <v>69.599999999999994</v>
      </c>
      <c r="AA175" s="792">
        <f t="shared" si="187"/>
        <v>69.599999999999994</v>
      </c>
      <c r="AB175" s="18" t="s">
        <v>879</v>
      </c>
      <c r="AC175" s="840" t="s">
        <v>3033</v>
      </c>
      <c r="AD175" s="840" t="s">
        <v>3034</v>
      </c>
      <c r="AE175" s="12">
        <v>5.688340995260663E-3</v>
      </c>
      <c r="AF175" s="12">
        <v>1.672474336492891E-2</v>
      </c>
      <c r="AG175" s="12">
        <v>1.1150396042654029E-4</v>
      </c>
      <c r="AH175" s="12">
        <v>1.0491954976303319E-3</v>
      </c>
    </row>
    <row r="176" spans="1:34" ht="12.75">
      <c r="A176" s="14" t="s">
        <v>3175</v>
      </c>
      <c r="B176" s="24" t="s">
        <v>2508</v>
      </c>
      <c r="C176" s="14" t="s">
        <v>2547</v>
      </c>
      <c r="D176" s="14" t="s">
        <v>2911</v>
      </c>
      <c r="E176" s="14" t="s">
        <v>3176</v>
      </c>
      <c r="F176" s="13">
        <v>170</v>
      </c>
      <c r="G176" s="14" t="s">
        <v>3164</v>
      </c>
      <c r="H176" s="13">
        <v>1121</v>
      </c>
      <c r="I176" s="14" t="s">
        <v>3176</v>
      </c>
      <c r="J176" s="14" t="s">
        <v>3177</v>
      </c>
      <c r="K176" s="478">
        <v>0.87</v>
      </c>
      <c r="L176" s="220">
        <v>147.9</v>
      </c>
      <c r="M176" s="13">
        <v>1121</v>
      </c>
      <c r="N176" s="13"/>
      <c r="O176" s="220"/>
      <c r="P176" s="14" t="s">
        <v>3097</v>
      </c>
      <c r="Q176" s="14" t="s">
        <v>3098</v>
      </c>
      <c r="R176" s="14">
        <v>2.5</v>
      </c>
      <c r="S176" s="14">
        <f t="shared" si="179"/>
        <v>3.6975000000000002</v>
      </c>
      <c r="T176" s="220"/>
      <c r="U176" s="14">
        <f t="shared" si="188"/>
        <v>2.5</v>
      </c>
      <c r="V176" s="220"/>
      <c r="W176" s="14" t="s">
        <v>201</v>
      </c>
      <c r="X176" s="500">
        <f t="shared" si="189"/>
        <v>2.1749999999999998</v>
      </c>
      <c r="Y176" s="504">
        <f>SUM(X176:X177,X190,X191,X192,X185,X184,X182)</f>
        <v>4.4821740486587647</v>
      </c>
      <c r="Z176" s="501">
        <f>SUM(X176,X192,X184)</f>
        <v>2.2059575795383655</v>
      </c>
      <c r="AA176" s="792">
        <f t="shared" si="187"/>
        <v>2.2059575795383655</v>
      </c>
      <c r="AB176" s="18" t="s">
        <v>201</v>
      </c>
      <c r="AC176" s="13" t="s">
        <v>3097</v>
      </c>
      <c r="AD176" s="13" t="s">
        <v>3099</v>
      </c>
      <c r="AE176" s="12">
        <v>4.18475450981867E-4</v>
      </c>
      <c r="AF176" s="12">
        <v>8.6483234472969298E-3</v>
      </c>
      <c r="AG176" s="12">
        <v>1.2528735632183908E-4</v>
      </c>
      <c r="AH176" s="12">
        <v>3.0408612692190031E-4</v>
      </c>
    </row>
    <row r="177" spans="1:34" ht="12.75">
      <c r="A177" s="14" t="s">
        <v>3175</v>
      </c>
      <c r="B177" s="24" t="s">
        <v>2508</v>
      </c>
      <c r="C177" s="14" t="s">
        <v>2547</v>
      </c>
      <c r="D177" s="14" t="s">
        <v>2911</v>
      </c>
      <c r="E177" s="14" t="s">
        <v>3176</v>
      </c>
      <c r="F177" s="13">
        <v>170</v>
      </c>
      <c r="G177" s="14" t="s">
        <v>3164</v>
      </c>
      <c r="H177" s="13">
        <v>1121</v>
      </c>
      <c r="I177" s="14" t="s">
        <v>3176</v>
      </c>
      <c r="J177" s="14" t="s">
        <v>3177</v>
      </c>
      <c r="K177" s="478">
        <v>0.87</v>
      </c>
      <c r="L177" s="220">
        <v>147.9</v>
      </c>
      <c r="M177" s="13">
        <v>1121</v>
      </c>
      <c r="N177" s="13"/>
      <c r="O177" s="220"/>
      <c r="P177" s="14" t="s">
        <v>3178</v>
      </c>
      <c r="Q177" s="14" t="s">
        <v>3179</v>
      </c>
      <c r="R177" s="14">
        <v>2.5</v>
      </c>
      <c r="S177" s="14">
        <f t="shared" si="179"/>
        <v>3.6975000000000002</v>
      </c>
      <c r="T177" s="220"/>
      <c r="U177" s="14">
        <f t="shared" si="188"/>
        <v>2.5</v>
      </c>
      <c r="V177" s="220"/>
      <c r="W177" s="14" t="s">
        <v>160</v>
      </c>
      <c r="X177" s="500">
        <f t="shared" si="189"/>
        <v>2.1749999999999998</v>
      </c>
      <c r="Y177" s="499" t="s">
        <v>1624</v>
      </c>
      <c r="Z177" s="501">
        <f>SUM(X177,X185)</f>
        <v>2.1881004366812227</v>
      </c>
      <c r="AA177" s="792">
        <f t="shared" si="187"/>
        <v>2.1881004366812227</v>
      </c>
      <c r="AB177" s="18" t="s">
        <v>160</v>
      </c>
      <c r="AC177" s="13" t="s">
        <v>3178</v>
      </c>
      <c r="AD177" s="13" t="s">
        <v>3180</v>
      </c>
      <c r="AE177" s="12">
        <v>6.0223214285714296E-4</v>
      </c>
      <c r="AF177" s="12">
        <v>6.2001687102860702E-3</v>
      </c>
      <c r="AG177" s="12">
        <v>1.4264705882352941E-4</v>
      </c>
      <c r="AH177" s="12">
        <v>3.8905136826772536E-4</v>
      </c>
    </row>
    <row r="178" spans="1:34" ht="12.75">
      <c r="A178" s="14" t="s">
        <v>3175</v>
      </c>
      <c r="B178" s="24" t="s">
        <v>2508</v>
      </c>
      <c r="C178" s="14" t="s">
        <v>2547</v>
      </c>
      <c r="D178" s="14" t="s">
        <v>2911</v>
      </c>
      <c r="E178" s="14" t="s">
        <v>3176</v>
      </c>
      <c r="F178" s="13">
        <v>170</v>
      </c>
      <c r="G178" s="14" t="s">
        <v>3164</v>
      </c>
      <c r="H178" s="13">
        <v>1121</v>
      </c>
      <c r="I178" s="14" t="s">
        <v>3176</v>
      </c>
      <c r="J178" s="14" t="s">
        <v>3177</v>
      </c>
      <c r="K178" s="478">
        <v>0.87</v>
      </c>
      <c r="L178" s="220">
        <v>147.9</v>
      </c>
      <c r="M178" s="13">
        <v>1121</v>
      </c>
      <c r="N178" s="13"/>
      <c r="O178" s="220"/>
      <c r="P178" s="14" t="s">
        <v>2945</v>
      </c>
      <c r="Q178" s="14" t="s">
        <v>2946</v>
      </c>
      <c r="R178" s="14">
        <v>7.5</v>
      </c>
      <c r="S178" s="14">
        <f t="shared" si="179"/>
        <v>11.092499999999999</v>
      </c>
      <c r="T178" s="220"/>
      <c r="U178" s="14">
        <f t="shared" si="188"/>
        <v>7.5</v>
      </c>
      <c r="V178" s="220"/>
      <c r="W178" s="14" t="s">
        <v>433</v>
      </c>
      <c r="X178" s="500">
        <f t="shared" si="189"/>
        <v>6.5250000000000004</v>
      </c>
      <c r="Y178" s="501">
        <f>SUM(X178,X183,X188)</f>
        <v>6.6268013100436685</v>
      </c>
      <c r="Z178" s="501">
        <f t="shared" ref="Z178:AA178" si="190">Y178</f>
        <v>6.6268013100436685</v>
      </c>
      <c r="AA178" s="792">
        <f t="shared" si="190"/>
        <v>6.6268013100436685</v>
      </c>
      <c r="AB178" s="18" t="s">
        <v>433</v>
      </c>
      <c r="AC178" s="13" t="s">
        <v>433</v>
      </c>
      <c r="AD178" s="13" t="s">
        <v>2947</v>
      </c>
      <c r="AE178" s="12">
        <v>3.0104466724907065E-4</v>
      </c>
      <c r="AF178" s="12">
        <v>1.2500000000000001E-2</v>
      </c>
      <c r="AG178" s="12">
        <v>5.1818181818181835E-4</v>
      </c>
      <c r="AH178" s="12">
        <v>4.0084080366977777E-4</v>
      </c>
    </row>
    <row r="179" spans="1:34" ht="12.75">
      <c r="A179" s="14" t="s">
        <v>3175</v>
      </c>
      <c r="B179" s="24" t="s">
        <v>2508</v>
      </c>
      <c r="C179" s="14" t="s">
        <v>2547</v>
      </c>
      <c r="D179" s="14" t="s">
        <v>2911</v>
      </c>
      <c r="E179" s="14" t="s">
        <v>3176</v>
      </c>
      <c r="F179" s="13">
        <v>170</v>
      </c>
      <c r="G179" s="14" t="s">
        <v>3164</v>
      </c>
      <c r="H179" s="13">
        <v>1121</v>
      </c>
      <c r="I179" s="135" t="s">
        <v>3176</v>
      </c>
      <c r="J179" s="135" t="s">
        <v>3177</v>
      </c>
      <c r="K179" s="475">
        <v>0.87</v>
      </c>
      <c r="L179" s="476">
        <v>147.9</v>
      </c>
      <c r="M179" s="477">
        <v>1121</v>
      </c>
      <c r="N179" s="477"/>
      <c r="O179" s="476"/>
      <c r="P179" s="135" t="s">
        <v>2962</v>
      </c>
      <c r="Q179" s="435" t="s">
        <v>2963</v>
      </c>
      <c r="R179" s="135">
        <v>7.5</v>
      </c>
      <c r="S179" s="135">
        <f t="shared" si="179"/>
        <v>11.092499999999999</v>
      </c>
      <c r="T179" s="476">
        <f>SUM(R175:R179)</f>
        <v>100</v>
      </c>
      <c r="U179" s="135">
        <f t="shared" si="188"/>
        <v>7.5</v>
      </c>
      <c r="V179" s="476"/>
      <c r="W179" s="135" t="s">
        <v>425</v>
      </c>
      <c r="X179" s="500">
        <f t="shared" si="189"/>
        <v>6.5250000000000004</v>
      </c>
      <c r="Y179" s="501">
        <f>SUM(X179,X189,X193)</f>
        <v>6.5964285714285715</v>
      </c>
      <c r="Z179" s="501">
        <f>Y179-X193</f>
        <v>6.5875000000000004</v>
      </c>
      <c r="AA179" s="792">
        <f t="shared" ref="AA179:AA182" si="191">Z179</f>
        <v>6.5875000000000004</v>
      </c>
      <c r="AB179" s="18" t="s">
        <v>425</v>
      </c>
      <c r="AC179" s="13" t="s">
        <v>2964</v>
      </c>
      <c r="AD179" s="13" t="s">
        <v>2965</v>
      </c>
      <c r="AE179" s="12">
        <v>3.8102374934982654E-3</v>
      </c>
      <c r="AF179" s="12">
        <v>0.20470422547079484</v>
      </c>
      <c r="AG179" s="12">
        <v>1.210810810810811E-4</v>
      </c>
      <c r="AH179" s="12">
        <v>1.0002400855855065E-3</v>
      </c>
    </row>
    <row r="180" spans="1:34" ht="14.25">
      <c r="A180" s="14" t="s">
        <v>3175</v>
      </c>
      <c r="B180" s="24" t="s">
        <v>2508</v>
      </c>
      <c r="C180" s="14" t="s">
        <v>2547</v>
      </c>
      <c r="D180" s="14" t="s">
        <v>2911</v>
      </c>
      <c r="E180" s="14" t="s">
        <v>3176</v>
      </c>
      <c r="F180" s="13">
        <v>170</v>
      </c>
      <c r="G180" s="14" t="s">
        <v>3164</v>
      </c>
      <c r="H180" s="13">
        <v>1121</v>
      </c>
      <c r="I180" s="14" t="s">
        <v>3181</v>
      </c>
      <c r="J180" s="14" t="s">
        <v>3182</v>
      </c>
      <c r="K180" s="478">
        <v>0.12</v>
      </c>
      <c r="L180" s="220">
        <v>20.399999999999999</v>
      </c>
      <c r="M180" s="13" t="s">
        <v>3183</v>
      </c>
      <c r="N180" s="479" t="s">
        <v>2937</v>
      </c>
      <c r="O180" s="480" t="s">
        <v>2976</v>
      </c>
      <c r="P180" s="14" t="s">
        <v>2912</v>
      </c>
      <c r="Q180" s="162" t="s">
        <v>2915</v>
      </c>
      <c r="R180" s="512">
        <v>225</v>
      </c>
      <c r="S180" s="14">
        <f t="shared" si="179"/>
        <v>45.9</v>
      </c>
      <c r="T180" s="220">
        <f>SUM(R180:R185)</f>
        <v>229</v>
      </c>
      <c r="U180" s="14">
        <f t="shared" ref="U180:U194" si="192">R180*100/T180</f>
        <v>98.253275109170303</v>
      </c>
      <c r="V180" s="220"/>
      <c r="W180" s="14" t="s">
        <v>124</v>
      </c>
      <c r="X180" s="500">
        <f t="shared" si="189"/>
        <v>11.790393013100436</v>
      </c>
      <c r="Y180" s="220" t="s">
        <v>1666</v>
      </c>
      <c r="Z180" s="501">
        <f>SUM(X180,X186)</f>
        <v>12.19217872738615</v>
      </c>
      <c r="AA180" s="792">
        <f t="shared" si="191"/>
        <v>12.19217872738615</v>
      </c>
      <c r="AB180" s="18" t="s">
        <v>124</v>
      </c>
      <c r="AC180" s="13" t="s">
        <v>877</v>
      </c>
      <c r="AD180" s="14" t="s">
        <v>2916</v>
      </c>
      <c r="AE180" s="12">
        <v>3.9416473933649287E-3</v>
      </c>
      <c r="AF180" s="12">
        <v>1.1589150710900475E-2</v>
      </c>
      <c r="AG180" s="12">
        <v>7.7264934597156404E-5</v>
      </c>
      <c r="AH180" s="12">
        <v>7.2702369668246447E-4</v>
      </c>
    </row>
    <row r="181" spans="1:34" ht="14.25">
      <c r="A181" s="14" t="s">
        <v>3175</v>
      </c>
      <c r="B181" s="24" t="s">
        <v>2508</v>
      </c>
      <c r="C181" s="14" t="s">
        <v>2547</v>
      </c>
      <c r="D181" s="14" t="s">
        <v>2911</v>
      </c>
      <c r="E181" s="14" t="s">
        <v>3176</v>
      </c>
      <c r="F181" s="13">
        <v>170</v>
      </c>
      <c r="G181" s="14" t="s">
        <v>3164</v>
      </c>
      <c r="H181" s="13">
        <v>1121</v>
      </c>
      <c r="I181" s="14" t="s">
        <v>3181</v>
      </c>
      <c r="J181" s="14" t="s">
        <v>3182</v>
      </c>
      <c r="K181" s="478">
        <v>0.12</v>
      </c>
      <c r="L181" s="220">
        <v>20.399999999999999</v>
      </c>
      <c r="M181" s="13" t="s">
        <v>3183</v>
      </c>
      <c r="N181" s="479" t="s">
        <v>2937</v>
      </c>
      <c r="O181" s="480" t="s">
        <v>2976</v>
      </c>
      <c r="P181" s="14" t="s">
        <v>2776</v>
      </c>
      <c r="Q181" s="14" t="s">
        <v>3040</v>
      </c>
      <c r="R181" s="14">
        <v>1.75</v>
      </c>
      <c r="S181" s="14">
        <f t="shared" si="179"/>
        <v>0.35699999999999998</v>
      </c>
      <c r="T181" s="487">
        <f>SUM(R180:R185)</f>
        <v>229</v>
      </c>
      <c r="U181" s="14">
        <f t="shared" si="192"/>
        <v>0.76419213973799127</v>
      </c>
      <c r="V181" s="220"/>
      <c r="W181" s="17" t="s">
        <v>2776</v>
      </c>
      <c r="X181" s="500">
        <f t="shared" si="189"/>
        <v>9.1703056768558944E-2</v>
      </c>
      <c r="Y181" s="220" t="s">
        <v>1666</v>
      </c>
      <c r="Z181" s="501">
        <f>X181</f>
        <v>9.1703056768558944E-2</v>
      </c>
      <c r="AA181" s="792">
        <f t="shared" si="191"/>
        <v>9.1703056768558944E-2</v>
      </c>
      <c r="AB181" s="18" t="s">
        <v>2548</v>
      </c>
      <c r="AC181" s="13" t="s">
        <v>2776</v>
      </c>
      <c r="AD181" s="13" t="s">
        <v>3011</v>
      </c>
      <c r="AE181" s="12">
        <v>1.5483515402843602E-2</v>
      </c>
      <c r="AF181" s="12">
        <v>4.5524313981042654E-2</v>
      </c>
      <c r="AG181" s="12">
        <v>3.0351086374407588E-4</v>
      </c>
      <c r="AH181" s="12">
        <v>2.8558827014218014E-3</v>
      </c>
    </row>
    <row r="182" spans="1:34" ht="14.25">
      <c r="A182" s="14" t="s">
        <v>3175</v>
      </c>
      <c r="B182" s="24" t="s">
        <v>2508</v>
      </c>
      <c r="C182" s="14" t="s">
        <v>2547</v>
      </c>
      <c r="D182" s="14" t="s">
        <v>2911</v>
      </c>
      <c r="E182" s="14" t="s">
        <v>3176</v>
      </c>
      <c r="F182" s="13">
        <v>170</v>
      </c>
      <c r="G182" s="14" t="s">
        <v>3164</v>
      </c>
      <c r="H182" s="13">
        <v>1121</v>
      </c>
      <c r="I182" s="14" t="s">
        <v>3181</v>
      </c>
      <c r="J182" s="14" t="s">
        <v>3182</v>
      </c>
      <c r="K182" s="478">
        <v>0.12</v>
      </c>
      <c r="L182" s="220">
        <v>20.399999999999999</v>
      </c>
      <c r="M182" s="13" t="s">
        <v>3183</v>
      </c>
      <c r="N182" s="479" t="s">
        <v>2937</v>
      </c>
      <c r="O182" s="480" t="s">
        <v>2976</v>
      </c>
      <c r="P182" s="14" t="s">
        <v>3184</v>
      </c>
      <c r="Q182" s="14" t="s">
        <v>3185</v>
      </c>
      <c r="R182" s="14">
        <v>1</v>
      </c>
      <c r="S182" s="14">
        <f t="shared" si="179"/>
        <v>0.20399999999999999</v>
      </c>
      <c r="T182" s="220">
        <f>SUM(R180:R185)</f>
        <v>229</v>
      </c>
      <c r="U182" s="14">
        <f t="shared" si="192"/>
        <v>0.4366812227074236</v>
      </c>
      <c r="V182" s="220"/>
      <c r="W182" s="14" t="s">
        <v>162</v>
      </c>
      <c r="X182" s="500">
        <f t="shared" si="189"/>
        <v>5.2401746724890827E-2</v>
      </c>
      <c r="Y182" s="499" t="s">
        <v>1624</v>
      </c>
      <c r="Z182" s="501">
        <f>SUM(X182,X190)</f>
        <v>7.025888958203369E-2</v>
      </c>
      <c r="AA182" s="792">
        <f t="shared" si="191"/>
        <v>7.025888958203369E-2</v>
      </c>
      <c r="AB182" s="18" t="s">
        <v>162</v>
      </c>
      <c r="AC182" s="13" t="s">
        <v>3186</v>
      </c>
      <c r="AD182" s="13" t="s">
        <v>3187</v>
      </c>
      <c r="AE182" s="12">
        <v>2.0907198096371199E-3</v>
      </c>
      <c r="AF182" s="12">
        <v>1.7024640721375099E-2</v>
      </c>
      <c r="AG182" s="12">
        <v>3.6304347826086956E-4</v>
      </c>
      <c r="AH182" s="12">
        <v>9.106057387715603E-4</v>
      </c>
    </row>
    <row r="183" spans="1:34" ht="14.25">
      <c r="A183" s="14" t="s">
        <v>3175</v>
      </c>
      <c r="B183" s="24" t="s">
        <v>2508</v>
      </c>
      <c r="C183" s="14" t="s">
        <v>2547</v>
      </c>
      <c r="D183" s="14" t="s">
        <v>2911</v>
      </c>
      <c r="E183" s="14" t="s">
        <v>3176</v>
      </c>
      <c r="F183" s="13">
        <v>170</v>
      </c>
      <c r="G183" s="14" t="s">
        <v>3164</v>
      </c>
      <c r="H183" s="13">
        <v>1121</v>
      </c>
      <c r="I183" s="14" t="s">
        <v>3181</v>
      </c>
      <c r="J183" s="14" t="s">
        <v>3182</v>
      </c>
      <c r="K183" s="478">
        <v>0.12</v>
      </c>
      <c r="L183" s="220">
        <v>20.399999999999999</v>
      </c>
      <c r="M183" s="13" t="s">
        <v>3183</v>
      </c>
      <c r="N183" s="479" t="s">
        <v>2937</v>
      </c>
      <c r="O183" s="480" t="s">
        <v>2976</v>
      </c>
      <c r="P183" s="14" t="s">
        <v>2945</v>
      </c>
      <c r="Q183" s="14" t="s">
        <v>2946</v>
      </c>
      <c r="R183" s="14">
        <v>0.75</v>
      </c>
      <c r="S183" s="14">
        <f t="shared" si="179"/>
        <v>0.153</v>
      </c>
      <c r="T183" s="220">
        <f>SUM(R180:R185)</f>
        <v>229</v>
      </c>
      <c r="U183" s="14">
        <f t="shared" si="192"/>
        <v>0.32751091703056767</v>
      </c>
      <c r="V183" s="220"/>
      <c r="W183" s="17" t="s">
        <v>433</v>
      </c>
      <c r="X183" s="500">
        <f t="shared" si="189"/>
        <v>3.9301310043668117E-2</v>
      </c>
      <c r="Y183" s="220" t="s">
        <v>1666</v>
      </c>
      <c r="Z183" s="220" t="str">
        <f t="shared" ref="Z183:AH183" si="193">Y183</f>
        <v>*</v>
      </c>
      <c r="AA183" s="792" t="str">
        <f t="shared" si="193"/>
        <v>*</v>
      </c>
      <c r="AB183" s="458" t="str">
        <f t="shared" si="193"/>
        <v>*</v>
      </c>
      <c r="AC183" s="497" t="str">
        <f t="shared" si="193"/>
        <v>*</v>
      </c>
      <c r="AD183" s="497" t="str">
        <f t="shared" si="193"/>
        <v>*</v>
      </c>
      <c r="AE183" s="454" t="str">
        <f t="shared" si="193"/>
        <v>*</v>
      </c>
      <c r="AF183" s="454" t="str">
        <f t="shared" si="193"/>
        <v>*</v>
      </c>
      <c r="AG183" s="454" t="str">
        <f t="shared" si="193"/>
        <v>*</v>
      </c>
      <c r="AH183" s="454" t="str">
        <f t="shared" si="193"/>
        <v>*</v>
      </c>
    </row>
    <row r="184" spans="1:34" ht="14.25">
      <c r="A184" s="14" t="s">
        <v>3175</v>
      </c>
      <c r="B184" s="24" t="s">
        <v>2508</v>
      </c>
      <c r="C184" s="14" t="s">
        <v>2547</v>
      </c>
      <c r="D184" s="14" t="s">
        <v>2911</v>
      </c>
      <c r="E184" s="14" t="s">
        <v>3176</v>
      </c>
      <c r="F184" s="13">
        <v>170</v>
      </c>
      <c r="G184" s="14" t="s">
        <v>3164</v>
      </c>
      <c r="H184" s="13">
        <v>1121</v>
      </c>
      <c r="I184" s="14" t="s">
        <v>3181</v>
      </c>
      <c r="J184" s="14" t="s">
        <v>3182</v>
      </c>
      <c r="K184" s="478">
        <v>0.12</v>
      </c>
      <c r="L184" s="220">
        <v>20.399999999999999</v>
      </c>
      <c r="M184" s="13" t="s">
        <v>3183</v>
      </c>
      <c r="N184" s="479" t="s">
        <v>2937</v>
      </c>
      <c r="O184" s="480" t="s">
        <v>2976</v>
      </c>
      <c r="P184" s="14" t="s">
        <v>3097</v>
      </c>
      <c r="Q184" s="14" t="s">
        <v>3098</v>
      </c>
      <c r="R184" s="14">
        <v>0.25</v>
      </c>
      <c r="S184" s="14">
        <f t="shared" si="179"/>
        <v>5.0999999999999997E-2</v>
      </c>
      <c r="T184" s="220">
        <f>SUM(R180:R185)</f>
        <v>229</v>
      </c>
      <c r="U184" s="14">
        <f t="shared" si="192"/>
        <v>0.1091703056768559</v>
      </c>
      <c r="V184" s="220"/>
      <c r="W184" s="14" t="s">
        <v>201</v>
      </c>
      <c r="X184" s="500">
        <f t="shared" si="189"/>
        <v>1.3100436681222707E-2</v>
      </c>
      <c r="Y184" s="220" t="s">
        <v>1624</v>
      </c>
      <c r="Z184" s="220" t="s">
        <v>1666</v>
      </c>
      <c r="AA184" s="792" t="str">
        <f t="shared" ref="AA184:AH184" si="194">Z184</f>
        <v>*</v>
      </c>
      <c r="AB184" s="458" t="str">
        <f t="shared" si="194"/>
        <v>*</v>
      </c>
      <c r="AC184" s="497" t="str">
        <f t="shared" si="194"/>
        <v>*</v>
      </c>
      <c r="AD184" s="497" t="str">
        <f t="shared" si="194"/>
        <v>*</v>
      </c>
      <c r="AE184" s="454" t="str">
        <f t="shared" si="194"/>
        <v>*</v>
      </c>
      <c r="AF184" s="454" t="str">
        <f t="shared" si="194"/>
        <v>*</v>
      </c>
      <c r="AG184" s="454" t="str">
        <f t="shared" si="194"/>
        <v>*</v>
      </c>
      <c r="AH184" s="454" t="str">
        <f t="shared" si="194"/>
        <v>*</v>
      </c>
    </row>
    <row r="185" spans="1:34" ht="14.25">
      <c r="A185" s="14" t="s">
        <v>3175</v>
      </c>
      <c r="B185" s="24" t="s">
        <v>2508</v>
      </c>
      <c r="C185" s="14" t="s">
        <v>2547</v>
      </c>
      <c r="D185" s="14" t="s">
        <v>2911</v>
      </c>
      <c r="E185" s="14" t="s">
        <v>3176</v>
      </c>
      <c r="F185" s="13">
        <v>170</v>
      </c>
      <c r="G185" s="14" t="s">
        <v>3164</v>
      </c>
      <c r="H185" s="13">
        <v>1121</v>
      </c>
      <c r="I185" s="135" t="s">
        <v>3181</v>
      </c>
      <c r="J185" s="135" t="s">
        <v>3182</v>
      </c>
      <c r="K185" s="475">
        <v>0.12</v>
      </c>
      <c r="L185" s="476">
        <v>20.399999999999999</v>
      </c>
      <c r="M185" s="477" t="s">
        <v>3183</v>
      </c>
      <c r="N185" s="493" t="s">
        <v>2937</v>
      </c>
      <c r="O185" s="494" t="s">
        <v>2976</v>
      </c>
      <c r="P185" s="135" t="s">
        <v>3178</v>
      </c>
      <c r="Q185" s="14" t="s">
        <v>3179</v>
      </c>
      <c r="R185" s="135">
        <v>0.25</v>
      </c>
      <c r="S185" s="135">
        <f t="shared" si="179"/>
        <v>5.0999999999999997E-2</v>
      </c>
      <c r="T185" s="853">
        <f>SUM(R180:R185)</f>
        <v>229</v>
      </c>
      <c r="U185" s="135">
        <f t="shared" si="192"/>
        <v>0.1091703056768559</v>
      </c>
      <c r="V185" s="476"/>
      <c r="W185" s="135" t="s">
        <v>160</v>
      </c>
      <c r="X185" s="500">
        <f t="shared" si="189"/>
        <v>1.3100436681222707E-2</v>
      </c>
      <c r="Y185" s="220" t="s">
        <v>1624</v>
      </c>
      <c r="Z185" s="220" t="s">
        <v>1666</v>
      </c>
      <c r="AA185" s="792" t="str">
        <f t="shared" ref="AA185:AH185" si="195">Z185</f>
        <v>*</v>
      </c>
      <c r="AB185" s="458" t="str">
        <f t="shared" si="195"/>
        <v>*</v>
      </c>
      <c r="AC185" s="497" t="str">
        <f t="shared" si="195"/>
        <v>*</v>
      </c>
      <c r="AD185" s="497" t="str">
        <f t="shared" si="195"/>
        <v>*</v>
      </c>
      <c r="AE185" s="454" t="str">
        <f t="shared" si="195"/>
        <v>*</v>
      </c>
      <c r="AF185" s="454" t="str">
        <f t="shared" si="195"/>
        <v>*</v>
      </c>
      <c r="AG185" s="454" t="str">
        <f t="shared" si="195"/>
        <v>*</v>
      </c>
      <c r="AH185" s="454" t="str">
        <f t="shared" si="195"/>
        <v>*</v>
      </c>
    </row>
    <row r="186" spans="1:34" ht="12.75">
      <c r="A186" s="14" t="s">
        <v>3175</v>
      </c>
      <c r="B186" s="24" t="s">
        <v>2508</v>
      </c>
      <c r="C186" s="14" t="s">
        <v>2547</v>
      </c>
      <c r="D186" s="14" t="s">
        <v>2911</v>
      </c>
      <c r="E186" s="14" t="s">
        <v>3176</v>
      </c>
      <c r="F186" s="13">
        <v>170</v>
      </c>
      <c r="G186" s="14" t="s">
        <v>3164</v>
      </c>
      <c r="H186" s="13">
        <v>1121</v>
      </c>
      <c r="I186" s="14" t="s">
        <v>3188</v>
      </c>
      <c r="J186" s="14" t="s">
        <v>3189</v>
      </c>
      <c r="K186" s="478">
        <v>0.01</v>
      </c>
      <c r="L186" s="220">
        <v>1.7</v>
      </c>
      <c r="M186" s="13">
        <v>43261</v>
      </c>
      <c r="N186" s="13"/>
      <c r="O186" s="220"/>
      <c r="P186" s="14" t="s">
        <v>2912</v>
      </c>
      <c r="Q186" s="162" t="s">
        <v>2915</v>
      </c>
      <c r="R186" s="14">
        <v>45</v>
      </c>
      <c r="S186" s="14">
        <f t="shared" si="179"/>
        <v>0.76500000000000001</v>
      </c>
      <c r="T186" s="220">
        <f>SUM(R186:R194)</f>
        <v>112</v>
      </c>
      <c r="U186" s="14">
        <f t="shared" si="192"/>
        <v>40.178571428571431</v>
      </c>
      <c r="V186" s="220"/>
      <c r="W186" s="14" t="s">
        <v>124</v>
      </c>
      <c r="X186" s="500">
        <f t="shared" si="189"/>
        <v>0.4017857142857143</v>
      </c>
      <c r="Y186" s="220" t="s">
        <v>1666</v>
      </c>
      <c r="Z186" s="220" t="str">
        <f t="shared" ref="Z186:AH186" si="196">Y186</f>
        <v>*</v>
      </c>
      <c r="AA186" s="792" t="str">
        <f t="shared" si="196"/>
        <v>*</v>
      </c>
      <c r="AB186" s="458" t="str">
        <f t="shared" si="196"/>
        <v>*</v>
      </c>
      <c r="AC186" s="497" t="str">
        <f t="shared" si="196"/>
        <v>*</v>
      </c>
      <c r="AD186" s="497" t="str">
        <f t="shared" si="196"/>
        <v>*</v>
      </c>
      <c r="AE186" s="454" t="str">
        <f t="shared" si="196"/>
        <v>*</v>
      </c>
      <c r="AF186" s="454" t="str">
        <f t="shared" si="196"/>
        <v>*</v>
      </c>
      <c r="AG186" s="454" t="str">
        <f t="shared" si="196"/>
        <v>*</v>
      </c>
      <c r="AH186" s="454" t="str">
        <f t="shared" si="196"/>
        <v>*</v>
      </c>
    </row>
    <row r="187" spans="1:34" ht="12.75">
      <c r="A187" s="14" t="s">
        <v>3175</v>
      </c>
      <c r="B187" s="24" t="s">
        <v>2508</v>
      </c>
      <c r="C187" s="14" t="s">
        <v>2547</v>
      </c>
      <c r="D187" s="14" t="s">
        <v>2911</v>
      </c>
      <c r="E187" s="14" t="s">
        <v>3176</v>
      </c>
      <c r="F187" s="13">
        <v>170</v>
      </c>
      <c r="G187" s="14" t="s">
        <v>3164</v>
      </c>
      <c r="H187" s="13">
        <v>1121</v>
      </c>
      <c r="I187" s="14" t="s">
        <v>3188</v>
      </c>
      <c r="J187" s="14" t="s">
        <v>3189</v>
      </c>
      <c r="K187" s="478">
        <v>0.01</v>
      </c>
      <c r="L187" s="220">
        <v>1.7</v>
      </c>
      <c r="M187" s="13">
        <v>43261</v>
      </c>
      <c r="N187" s="13"/>
      <c r="O187" s="220"/>
      <c r="P187" s="14" t="s">
        <v>2919</v>
      </c>
      <c r="Q187" s="14" t="s">
        <v>3190</v>
      </c>
      <c r="R187" s="14">
        <v>45</v>
      </c>
      <c r="S187" s="14">
        <f t="shared" si="179"/>
        <v>0.76500000000000001</v>
      </c>
      <c r="T187" s="220">
        <f>SUM(R186:R194)</f>
        <v>112</v>
      </c>
      <c r="U187" s="14">
        <f t="shared" si="192"/>
        <v>40.178571428571431</v>
      </c>
      <c r="V187" s="220"/>
      <c r="W187" s="14" t="s">
        <v>115</v>
      </c>
      <c r="X187" s="500">
        <f t="shared" si="189"/>
        <v>0.4017857142857143</v>
      </c>
      <c r="Y187" s="220" t="s">
        <v>1666</v>
      </c>
      <c r="Z187" s="501">
        <f>X187</f>
        <v>0.4017857142857143</v>
      </c>
      <c r="AA187" s="792">
        <f>Z187</f>
        <v>0.4017857142857143</v>
      </c>
      <c r="AB187" s="18" t="s">
        <v>115</v>
      </c>
      <c r="AC187" s="13" t="s">
        <v>2922</v>
      </c>
      <c r="AD187" s="13" t="s">
        <v>2923</v>
      </c>
      <c r="AE187" s="12">
        <v>4.9087580568720375E-3</v>
      </c>
      <c r="AF187" s="12">
        <v>1.4432629620853081E-2</v>
      </c>
      <c r="AG187" s="12">
        <v>9.6222424881516595E-5</v>
      </c>
      <c r="AH187" s="12">
        <v>9.0540402843601901E-4</v>
      </c>
    </row>
    <row r="188" spans="1:34" ht="12.75">
      <c r="A188" s="14" t="s">
        <v>3175</v>
      </c>
      <c r="B188" s="24" t="s">
        <v>2508</v>
      </c>
      <c r="C188" s="14" t="s">
        <v>2547</v>
      </c>
      <c r="D188" s="14" t="s">
        <v>2911</v>
      </c>
      <c r="E188" s="14" t="s">
        <v>3176</v>
      </c>
      <c r="F188" s="13">
        <v>170</v>
      </c>
      <c r="G188" s="14" t="s">
        <v>3164</v>
      </c>
      <c r="H188" s="13">
        <v>1121</v>
      </c>
      <c r="I188" s="14" t="s">
        <v>3188</v>
      </c>
      <c r="J188" s="14" t="s">
        <v>3189</v>
      </c>
      <c r="K188" s="478">
        <v>0.01</v>
      </c>
      <c r="L188" s="220">
        <v>1.7</v>
      </c>
      <c r="M188" s="13">
        <v>43261</v>
      </c>
      <c r="N188" s="13"/>
      <c r="O188" s="220"/>
      <c r="P188" s="14" t="s">
        <v>2945</v>
      </c>
      <c r="Q188" s="14" t="s">
        <v>2946</v>
      </c>
      <c r="R188" s="14">
        <v>7</v>
      </c>
      <c r="S188" s="14">
        <f t="shared" si="179"/>
        <v>0.11900000000000001</v>
      </c>
      <c r="T188" s="220">
        <f>SUM(R186:R194)</f>
        <v>112</v>
      </c>
      <c r="U188" s="14">
        <f t="shared" si="192"/>
        <v>6.25</v>
      </c>
      <c r="V188" s="220"/>
      <c r="W188" s="14" t="s">
        <v>433</v>
      </c>
      <c r="X188" s="500">
        <f t="shared" si="189"/>
        <v>6.25E-2</v>
      </c>
      <c r="Y188" s="220" t="s">
        <v>1666</v>
      </c>
      <c r="Z188" s="220" t="str">
        <f t="shared" ref="Z188:AH188" si="197">Y188</f>
        <v>*</v>
      </c>
      <c r="AA188" s="792" t="str">
        <f t="shared" si="197"/>
        <v>*</v>
      </c>
      <c r="AB188" s="458" t="str">
        <f t="shared" si="197"/>
        <v>*</v>
      </c>
      <c r="AC188" s="497" t="str">
        <f t="shared" si="197"/>
        <v>*</v>
      </c>
      <c r="AD188" s="497" t="str">
        <f t="shared" si="197"/>
        <v>*</v>
      </c>
      <c r="AE188" s="454" t="str">
        <f t="shared" si="197"/>
        <v>*</v>
      </c>
      <c r="AF188" s="454" t="str">
        <f t="shared" si="197"/>
        <v>*</v>
      </c>
      <c r="AG188" s="454" t="str">
        <f t="shared" si="197"/>
        <v>*</v>
      </c>
      <c r="AH188" s="454" t="str">
        <f t="shared" si="197"/>
        <v>*</v>
      </c>
    </row>
    <row r="189" spans="1:34" ht="12.75">
      <c r="A189" s="14" t="s">
        <v>3175</v>
      </c>
      <c r="B189" s="24" t="s">
        <v>2508</v>
      </c>
      <c r="C189" s="14" t="s">
        <v>2547</v>
      </c>
      <c r="D189" s="14" t="s">
        <v>2911</v>
      </c>
      <c r="E189" s="14" t="s">
        <v>3176</v>
      </c>
      <c r="F189" s="13">
        <v>170</v>
      </c>
      <c r="G189" s="14" t="s">
        <v>3164</v>
      </c>
      <c r="H189" s="13">
        <v>1121</v>
      </c>
      <c r="I189" s="14" t="s">
        <v>3188</v>
      </c>
      <c r="J189" s="14" t="s">
        <v>3189</v>
      </c>
      <c r="K189" s="478">
        <v>0.01</v>
      </c>
      <c r="L189" s="220">
        <v>1.7</v>
      </c>
      <c r="M189" s="13">
        <v>43261</v>
      </c>
      <c r="N189" s="13"/>
      <c r="O189" s="220"/>
      <c r="P189" s="14" t="s">
        <v>2962</v>
      </c>
      <c r="Q189" s="435" t="s">
        <v>2963</v>
      </c>
      <c r="R189" s="14">
        <v>7</v>
      </c>
      <c r="S189" s="14">
        <f t="shared" si="179"/>
        <v>0.11900000000000001</v>
      </c>
      <c r="T189" s="220">
        <f>SUM(R186:R194)</f>
        <v>112</v>
      </c>
      <c r="U189" s="14">
        <f t="shared" si="192"/>
        <v>6.25</v>
      </c>
      <c r="V189" s="220"/>
      <c r="W189" s="14" t="s">
        <v>425</v>
      </c>
      <c r="X189" s="500">
        <f t="shared" si="189"/>
        <v>6.25E-2</v>
      </c>
      <c r="Y189" s="220" t="s">
        <v>1666</v>
      </c>
      <c r="Z189" s="220" t="str">
        <f t="shared" ref="Z189:AH189" si="198">Y189</f>
        <v>*</v>
      </c>
      <c r="AA189" s="792" t="str">
        <f t="shared" si="198"/>
        <v>*</v>
      </c>
      <c r="AB189" s="458" t="str">
        <f t="shared" si="198"/>
        <v>*</v>
      </c>
      <c r="AC189" s="497" t="str">
        <f t="shared" si="198"/>
        <v>*</v>
      </c>
      <c r="AD189" s="497" t="str">
        <f t="shared" si="198"/>
        <v>*</v>
      </c>
      <c r="AE189" s="454" t="str">
        <f t="shared" si="198"/>
        <v>*</v>
      </c>
      <c r="AF189" s="454" t="str">
        <f t="shared" si="198"/>
        <v>*</v>
      </c>
      <c r="AG189" s="454" t="str">
        <f t="shared" si="198"/>
        <v>*</v>
      </c>
      <c r="AH189" s="454" t="str">
        <f t="shared" si="198"/>
        <v>*</v>
      </c>
    </row>
    <row r="190" spans="1:34" ht="12.75">
      <c r="A190" s="14" t="s">
        <v>3175</v>
      </c>
      <c r="B190" s="24" t="s">
        <v>2508</v>
      </c>
      <c r="C190" s="14" t="s">
        <v>2547</v>
      </c>
      <c r="D190" s="14" t="s">
        <v>2911</v>
      </c>
      <c r="E190" s="14" t="s">
        <v>3176</v>
      </c>
      <c r="F190" s="13">
        <v>170</v>
      </c>
      <c r="G190" s="14" t="s">
        <v>3164</v>
      </c>
      <c r="H190" s="13">
        <v>1121</v>
      </c>
      <c r="I190" s="14" t="s">
        <v>3188</v>
      </c>
      <c r="J190" s="14" t="s">
        <v>3189</v>
      </c>
      <c r="K190" s="478">
        <v>0.01</v>
      </c>
      <c r="L190" s="220">
        <v>1.7</v>
      </c>
      <c r="M190" s="13">
        <v>43261</v>
      </c>
      <c r="N190" s="13"/>
      <c r="O190" s="220"/>
      <c r="P190" s="14" t="s">
        <v>3184</v>
      </c>
      <c r="Q190" s="14" t="s">
        <v>3185</v>
      </c>
      <c r="R190" s="14">
        <v>2</v>
      </c>
      <c r="S190" s="14">
        <f t="shared" si="179"/>
        <v>3.4000000000000002E-2</v>
      </c>
      <c r="T190" s="220">
        <f>SUM(R186:R194)</f>
        <v>112</v>
      </c>
      <c r="U190" s="14">
        <f t="shared" si="192"/>
        <v>1.7857142857142858</v>
      </c>
      <c r="V190" s="220"/>
      <c r="W190" s="14" t="s">
        <v>162</v>
      </c>
      <c r="X190" s="500">
        <f t="shared" si="189"/>
        <v>1.785714285714286E-2</v>
      </c>
      <c r="Y190" s="220" t="s">
        <v>1624</v>
      </c>
      <c r="Z190" s="220" t="s">
        <v>1666</v>
      </c>
      <c r="AA190" s="792" t="str">
        <f t="shared" ref="AA190:AH190" si="199">Z190</f>
        <v>*</v>
      </c>
      <c r="AB190" s="458" t="str">
        <f t="shared" si="199"/>
        <v>*</v>
      </c>
      <c r="AC190" s="497" t="str">
        <f t="shared" si="199"/>
        <v>*</v>
      </c>
      <c r="AD190" s="497" t="str">
        <f t="shared" si="199"/>
        <v>*</v>
      </c>
      <c r="AE190" s="454" t="str">
        <f t="shared" si="199"/>
        <v>*</v>
      </c>
      <c r="AF190" s="454" t="str">
        <f t="shared" si="199"/>
        <v>*</v>
      </c>
      <c r="AG190" s="454" t="str">
        <f t="shared" si="199"/>
        <v>*</v>
      </c>
      <c r="AH190" s="454" t="str">
        <f t="shared" si="199"/>
        <v>*</v>
      </c>
    </row>
    <row r="191" spans="1:34" ht="12.75">
      <c r="A191" s="14" t="s">
        <v>3175</v>
      </c>
      <c r="B191" s="24" t="s">
        <v>2508</v>
      </c>
      <c r="C191" s="14" t="s">
        <v>2547</v>
      </c>
      <c r="D191" s="14" t="s">
        <v>2911</v>
      </c>
      <c r="E191" s="14" t="s">
        <v>3176</v>
      </c>
      <c r="F191" s="13">
        <v>170</v>
      </c>
      <c r="G191" s="14" t="s">
        <v>3164</v>
      </c>
      <c r="H191" s="13">
        <v>1121</v>
      </c>
      <c r="I191" s="14" t="s">
        <v>3188</v>
      </c>
      <c r="J191" s="14" t="s">
        <v>3189</v>
      </c>
      <c r="K191" s="478">
        <v>0.01</v>
      </c>
      <c r="L191" s="220">
        <v>1.7</v>
      </c>
      <c r="M191" s="13">
        <v>43261</v>
      </c>
      <c r="N191" s="13"/>
      <c r="O191" s="220"/>
      <c r="P191" s="14" t="s">
        <v>3191</v>
      </c>
      <c r="Q191" s="486" t="s">
        <v>3192</v>
      </c>
      <c r="R191" s="14">
        <v>2</v>
      </c>
      <c r="S191" s="14">
        <f t="shared" si="179"/>
        <v>3.4000000000000002E-2</v>
      </c>
      <c r="T191" s="220">
        <f>SUM(R186:R194)</f>
        <v>112</v>
      </c>
      <c r="U191" s="14">
        <f t="shared" si="192"/>
        <v>1.7857142857142858</v>
      </c>
      <c r="V191" s="220"/>
      <c r="W191" s="14" t="s">
        <v>200</v>
      </c>
      <c r="X191" s="500">
        <f t="shared" si="189"/>
        <v>1.785714285714286E-2</v>
      </c>
      <c r="Y191" s="499" t="s">
        <v>1624</v>
      </c>
      <c r="Z191" s="501">
        <f>X191</f>
        <v>1.785714285714286E-2</v>
      </c>
      <c r="AA191" s="792">
        <f>Z191</f>
        <v>1.785714285714286E-2</v>
      </c>
      <c r="AB191" s="18" t="s">
        <v>200</v>
      </c>
      <c r="AC191" s="13" t="s">
        <v>18</v>
      </c>
      <c r="AD191" s="13" t="s">
        <v>2967</v>
      </c>
      <c r="AE191" s="22">
        <v>2.4663841103631703E-3</v>
      </c>
      <c r="AF191" s="12">
        <v>2.0360674810936601E-2</v>
      </c>
      <c r="AG191" s="12">
        <v>5.4639175257731962E-5</v>
      </c>
      <c r="AH191" s="12">
        <v>2.7273704167221988E-4</v>
      </c>
    </row>
    <row r="192" spans="1:34" ht="12.75">
      <c r="A192" s="14" t="s">
        <v>3175</v>
      </c>
      <c r="B192" s="24" t="s">
        <v>2508</v>
      </c>
      <c r="C192" s="14" t="s">
        <v>2547</v>
      </c>
      <c r="D192" s="14" t="s">
        <v>2911</v>
      </c>
      <c r="E192" s="14" t="s">
        <v>3176</v>
      </c>
      <c r="F192" s="13">
        <v>170</v>
      </c>
      <c r="G192" s="14" t="s">
        <v>3164</v>
      </c>
      <c r="H192" s="13">
        <v>1121</v>
      </c>
      <c r="I192" s="14" t="s">
        <v>3188</v>
      </c>
      <c r="J192" s="14" t="s">
        <v>3189</v>
      </c>
      <c r="K192" s="478">
        <v>0.01</v>
      </c>
      <c r="L192" s="220">
        <v>1.7</v>
      </c>
      <c r="M192" s="13">
        <v>43261</v>
      </c>
      <c r="N192" s="13"/>
      <c r="O192" s="220"/>
      <c r="P192" s="14" t="s">
        <v>3097</v>
      </c>
      <c r="Q192" s="14" t="s">
        <v>3098</v>
      </c>
      <c r="R192" s="14">
        <v>2</v>
      </c>
      <c r="S192" s="14">
        <f t="shared" si="179"/>
        <v>3.4000000000000002E-2</v>
      </c>
      <c r="T192" s="220">
        <f>SUM(R186:R194)</f>
        <v>112</v>
      </c>
      <c r="U192" s="14">
        <f t="shared" si="192"/>
        <v>1.7857142857142858</v>
      </c>
      <c r="V192" s="220"/>
      <c r="W192" s="14" t="s">
        <v>201</v>
      </c>
      <c r="X192" s="500">
        <f t="shared" si="189"/>
        <v>1.785714285714286E-2</v>
      </c>
      <c r="Y192" s="220" t="s">
        <v>1624</v>
      </c>
      <c r="Z192" s="220" t="s">
        <v>1666</v>
      </c>
      <c r="AA192" s="792" t="s">
        <v>1666</v>
      </c>
      <c r="AB192" s="148" t="s">
        <v>1666</v>
      </c>
      <c r="AC192" s="14" t="s">
        <v>1666</v>
      </c>
      <c r="AD192" s="14" t="s">
        <v>1666</v>
      </c>
      <c r="AE192" s="220" t="str">
        <f t="shared" ref="AE192:AH192" si="200">AD192</f>
        <v>*</v>
      </c>
      <c r="AF192" s="220" t="str">
        <f t="shared" si="200"/>
        <v>*</v>
      </c>
      <c r="AG192" s="220" t="str">
        <f t="shared" si="200"/>
        <v>*</v>
      </c>
      <c r="AH192" s="220" t="str">
        <f t="shared" si="200"/>
        <v>*</v>
      </c>
    </row>
    <row r="193" spans="1:34" ht="12.75">
      <c r="A193" s="14" t="s">
        <v>3175</v>
      </c>
      <c r="B193" s="24" t="s">
        <v>2508</v>
      </c>
      <c r="C193" s="14" t="s">
        <v>2547</v>
      </c>
      <c r="D193" s="14" t="s">
        <v>2911</v>
      </c>
      <c r="E193" s="14" t="s">
        <v>3176</v>
      </c>
      <c r="F193" s="13">
        <v>170</v>
      </c>
      <c r="G193" s="14" t="s">
        <v>3164</v>
      </c>
      <c r="H193" s="13">
        <v>1121</v>
      </c>
      <c r="I193" s="14" t="s">
        <v>3188</v>
      </c>
      <c r="J193" s="14" t="s">
        <v>3189</v>
      </c>
      <c r="K193" s="478">
        <v>0.01</v>
      </c>
      <c r="L193" s="220">
        <v>1.7</v>
      </c>
      <c r="M193" s="13">
        <v>43261</v>
      </c>
      <c r="N193" s="13"/>
      <c r="O193" s="220"/>
      <c r="P193" s="655" t="s">
        <v>2977</v>
      </c>
      <c r="Q193" s="14" t="s">
        <v>2978</v>
      </c>
      <c r="R193" s="14">
        <v>1</v>
      </c>
      <c r="S193" s="14">
        <f t="shared" si="179"/>
        <v>1.7000000000000001E-2</v>
      </c>
      <c r="T193" s="220">
        <f>SUM(R186:R194)</f>
        <v>112</v>
      </c>
      <c r="U193" s="14">
        <f t="shared" si="192"/>
        <v>0.8928571428571429</v>
      </c>
      <c r="V193" s="220"/>
      <c r="W193" s="17" t="s">
        <v>227</v>
      </c>
      <c r="X193" s="500">
        <f t="shared" si="189"/>
        <v>8.9285714285714298E-3</v>
      </c>
      <c r="Y193" s="220" t="s">
        <v>1666</v>
      </c>
      <c r="Z193" s="501">
        <f t="shared" ref="Z193:Z194" si="201">X193</f>
        <v>8.9285714285714298E-3</v>
      </c>
      <c r="AA193" s="792">
        <f t="shared" ref="AA193:AA194" si="202">Z193</f>
        <v>8.9285714285714298E-3</v>
      </c>
      <c r="AB193" s="18" t="s">
        <v>227</v>
      </c>
      <c r="AC193" s="13" t="s">
        <v>55</v>
      </c>
      <c r="AD193" s="13" t="s">
        <v>2979</v>
      </c>
      <c r="AE193" s="12">
        <v>2.5055367220000002E-3</v>
      </c>
      <c r="AF193" s="12">
        <v>3.8459841414181101E-2</v>
      </c>
      <c r="AG193" s="12">
        <v>1.1035422343324251E-4</v>
      </c>
      <c r="AH193" s="12">
        <v>8.109653861711444E-4</v>
      </c>
    </row>
    <row r="194" spans="1:34" ht="12.75">
      <c r="A194" s="617" t="s">
        <v>3175</v>
      </c>
      <c r="B194" s="794" t="s">
        <v>2508</v>
      </c>
      <c r="C194" s="617" t="s">
        <v>2547</v>
      </c>
      <c r="D194" s="617" t="s">
        <v>2911</v>
      </c>
      <c r="E194" s="617" t="s">
        <v>3176</v>
      </c>
      <c r="F194" s="799">
        <v>170</v>
      </c>
      <c r="G194" s="617" t="s">
        <v>3164</v>
      </c>
      <c r="H194" s="799">
        <v>1121</v>
      </c>
      <c r="I194" s="617" t="s">
        <v>3188</v>
      </c>
      <c r="J194" s="617" t="s">
        <v>3189</v>
      </c>
      <c r="K194" s="838">
        <v>0.01</v>
      </c>
      <c r="L194" s="725">
        <v>1.7</v>
      </c>
      <c r="M194" s="799">
        <v>43261</v>
      </c>
      <c r="N194" s="799"/>
      <c r="O194" s="725"/>
      <c r="P194" s="617" t="s">
        <v>3048</v>
      </c>
      <c r="Q194" s="617" t="s">
        <v>3049</v>
      </c>
      <c r="R194" s="617">
        <v>1</v>
      </c>
      <c r="S194" s="617">
        <f t="shared" si="179"/>
        <v>1.7000000000000001E-2</v>
      </c>
      <c r="T194" s="857">
        <f>SUM(R186:R194)</f>
        <v>112</v>
      </c>
      <c r="U194" s="617">
        <f t="shared" si="192"/>
        <v>0.8928571428571429</v>
      </c>
      <c r="V194" s="725"/>
      <c r="W194" s="634" t="s">
        <v>131</v>
      </c>
      <c r="X194" s="855">
        <f t="shared" si="189"/>
        <v>8.9285714285714298E-3</v>
      </c>
      <c r="Y194" s="725" t="s">
        <v>1666</v>
      </c>
      <c r="Z194" s="863">
        <f t="shared" si="201"/>
        <v>8.9285714285714298E-3</v>
      </c>
      <c r="AA194" s="455">
        <f t="shared" si="202"/>
        <v>8.9285714285714298E-3</v>
      </c>
      <c r="AB194" s="793" t="s">
        <v>131</v>
      </c>
      <c r="AC194" s="799" t="s">
        <v>878</v>
      </c>
      <c r="AD194" s="799" t="s">
        <v>3050</v>
      </c>
      <c r="AE194" s="635">
        <v>4.0401172748815169E-2</v>
      </c>
      <c r="AF194" s="635">
        <v>0.11878669834123222</v>
      </c>
      <c r="AG194" s="635">
        <v>7.919516026066351E-4</v>
      </c>
      <c r="AH194" s="635">
        <v>7.4518613744075819E-3</v>
      </c>
    </row>
    <row r="195" spans="1:34" ht="12.75">
      <c r="A195" s="617" t="s">
        <v>3193</v>
      </c>
      <c r="B195" s="799" t="s">
        <v>2508</v>
      </c>
      <c r="C195" s="617" t="s">
        <v>2549</v>
      </c>
      <c r="D195" s="617" t="s">
        <v>2911</v>
      </c>
      <c r="E195" s="617" t="s">
        <v>3194</v>
      </c>
      <c r="F195" s="799">
        <v>113</v>
      </c>
      <c r="G195" s="617" t="s">
        <v>3195</v>
      </c>
      <c r="H195" s="799">
        <v>1012</v>
      </c>
      <c r="I195" s="617" t="s">
        <v>3196</v>
      </c>
      <c r="J195" s="617" t="s">
        <v>3197</v>
      </c>
      <c r="K195" s="838">
        <v>1</v>
      </c>
      <c r="L195" s="799" t="s">
        <v>3198</v>
      </c>
      <c r="M195" s="799">
        <v>1016</v>
      </c>
      <c r="N195" s="799"/>
      <c r="O195" s="725"/>
      <c r="P195" s="617" t="s">
        <v>3199</v>
      </c>
      <c r="Q195" s="617" t="s">
        <v>3200</v>
      </c>
      <c r="R195" s="617">
        <v>100</v>
      </c>
      <c r="S195" s="617">
        <v>113</v>
      </c>
      <c r="T195" s="725">
        <f t="shared" ref="T195:T212" si="203">R195</f>
        <v>100</v>
      </c>
      <c r="U195" s="617">
        <f t="shared" ref="U195:U212" si="204">R195</f>
        <v>100</v>
      </c>
      <c r="V195" s="725">
        <f t="shared" ref="V195:V213" si="205">U195</f>
        <v>100</v>
      </c>
      <c r="W195" s="617" t="s">
        <v>2550</v>
      </c>
      <c r="X195" s="617">
        <f t="shared" ref="X195:X219" si="206">V195*K195</f>
        <v>100</v>
      </c>
      <c r="Y195" s="725">
        <f t="shared" ref="Y195:AA195" si="207">X195</f>
        <v>100</v>
      </c>
      <c r="Z195" s="725">
        <f t="shared" si="207"/>
        <v>100</v>
      </c>
      <c r="AA195" s="455">
        <f t="shared" si="207"/>
        <v>100</v>
      </c>
      <c r="AB195" s="793" t="s">
        <v>2550</v>
      </c>
      <c r="AC195" s="799" t="s">
        <v>3201</v>
      </c>
      <c r="AD195" s="799" t="s">
        <v>3053</v>
      </c>
      <c r="AE195" s="635">
        <v>9.8563298630136974E-3</v>
      </c>
      <c r="AF195" s="635">
        <v>2.8979378630136984E-2</v>
      </c>
      <c r="AG195" s="635">
        <v>1.9320568438356163E-4</v>
      </c>
      <c r="AH195" s="635">
        <v>1.8179671232876713E-3</v>
      </c>
    </row>
    <row r="196" spans="1:34" ht="12.75">
      <c r="A196" s="617" t="s">
        <v>3202</v>
      </c>
      <c r="B196" s="799" t="s">
        <v>2508</v>
      </c>
      <c r="C196" s="617" t="s">
        <v>2551</v>
      </c>
      <c r="D196" s="617" t="s">
        <v>2911</v>
      </c>
      <c r="E196" s="617" t="s">
        <v>3203</v>
      </c>
      <c r="F196" s="799">
        <v>28</v>
      </c>
      <c r="G196" s="617" t="s">
        <v>3204</v>
      </c>
      <c r="H196" s="799">
        <v>1017</v>
      </c>
      <c r="I196" s="617" t="s">
        <v>3205</v>
      </c>
      <c r="J196" s="617" t="s">
        <v>3206</v>
      </c>
      <c r="K196" s="838">
        <v>1</v>
      </c>
      <c r="L196" s="725">
        <v>28</v>
      </c>
      <c r="M196" s="799">
        <v>1017</v>
      </c>
      <c r="N196" s="799"/>
      <c r="O196" s="725"/>
      <c r="P196" s="849" t="s">
        <v>3203</v>
      </c>
      <c r="Q196" s="617" t="s">
        <v>3207</v>
      </c>
      <c r="R196" s="617">
        <v>100</v>
      </c>
      <c r="S196" s="617">
        <f>(0.01*R196)*L196</f>
        <v>28</v>
      </c>
      <c r="T196" s="725">
        <f t="shared" si="203"/>
        <v>100</v>
      </c>
      <c r="U196" s="617">
        <f t="shared" si="204"/>
        <v>100</v>
      </c>
      <c r="V196" s="725">
        <f t="shared" si="205"/>
        <v>100</v>
      </c>
      <c r="W196" s="617" t="s">
        <v>3208</v>
      </c>
      <c r="X196" s="617">
        <f t="shared" si="206"/>
        <v>100</v>
      </c>
      <c r="Y196" s="725">
        <f t="shared" ref="Y196:AA196" si="208">X196</f>
        <v>100</v>
      </c>
      <c r="Z196" s="725">
        <f t="shared" si="208"/>
        <v>100</v>
      </c>
      <c r="AA196" s="455">
        <f t="shared" si="208"/>
        <v>100</v>
      </c>
      <c r="AB196" s="793" t="s">
        <v>103</v>
      </c>
      <c r="AC196" s="799" t="s">
        <v>3209</v>
      </c>
      <c r="AD196" s="799" t="s">
        <v>3210</v>
      </c>
      <c r="AE196" s="635">
        <v>2.9198708530805688E-2</v>
      </c>
      <c r="AF196" s="635">
        <v>8.5849443127962083E-2</v>
      </c>
      <c r="AG196" s="635">
        <v>5.7235873222748809E-4</v>
      </c>
      <c r="AH196" s="635">
        <v>5.3856042654028434E-3</v>
      </c>
    </row>
    <row r="197" spans="1:34" ht="12.75">
      <c r="A197" s="617" t="s">
        <v>3211</v>
      </c>
      <c r="B197" s="617" t="s">
        <v>2552</v>
      </c>
      <c r="C197" s="617" t="s">
        <v>2553</v>
      </c>
      <c r="D197" s="617" t="s">
        <v>2911</v>
      </c>
      <c r="E197" s="617" t="s">
        <v>3212</v>
      </c>
      <c r="F197" s="799">
        <v>28</v>
      </c>
      <c r="G197" s="617" t="s">
        <v>3204</v>
      </c>
      <c r="H197" s="799">
        <v>1009</v>
      </c>
      <c r="I197" s="617" t="s">
        <v>3213</v>
      </c>
      <c r="J197" s="617" t="s">
        <v>3214</v>
      </c>
      <c r="K197" s="838">
        <v>1</v>
      </c>
      <c r="L197" s="799" t="s">
        <v>3215</v>
      </c>
      <c r="M197" s="799">
        <v>1009</v>
      </c>
      <c r="N197" s="799"/>
      <c r="O197" s="725"/>
      <c r="P197" s="849" t="s">
        <v>3212</v>
      </c>
      <c r="Q197" s="617" t="s">
        <v>3216</v>
      </c>
      <c r="R197" s="617">
        <v>100</v>
      </c>
      <c r="S197" s="617">
        <v>28</v>
      </c>
      <c r="T197" s="725">
        <f t="shared" si="203"/>
        <v>100</v>
      </c>
      <c r="U197" s="617">
        <f t="shared" si="204"/>
        <v>100</v>
      </c>
      <c r="V197" s="725">
        <f t="shared" si="205"/>
        <v>100</v>
      </c>
      <c r="W197" s="617" t="s">
        <v>3217</v>
      </c>
      <c r="X197" s="14">
        <f t="shared" si="206"/>
        <v>100</v>
      </c>
      <c r="Y197" s="725">
        <f t="shared" ref="Y197:AA197" si="209">X197</f>
        <v>100</v>
      </c>
      <c r="Z197" s="725">
        <f t="shared" si="209"/>
        <v>100</v>
      </c>
      <c r="AA197" s="455">
        <f t="shared" si="209"/>
        <v>100</v>
      </c>
      <c r="AB197" s="793" t="s">
        <v>2554</v>
      </c>
      <c r="AC197" s="799" t="s">
        <v>3218</v>
      </c>
      <c r="AD197" s="799" t="s">
        <v>3219</v>
      </c>
      <c r="AE197" s="635">
        <v>4.8143999999999999E-2</v>
      </c>
      <c r="AF197" s="635">
        <v>0.14155200000000001</v>
      </c>
      <c r="AG197" s="635">
        <v>9.4372800000000001E-4</v>
      </c>
      <c r="AH197" s="635">
        <v>8.8800000000000007E-3</v>
      </c>
    </row>
    <row r="198" spans="1:34" ht="12.75">
      <c r="A198" s="14" t="s">
        <v>3220</v>
      </c>
      <c r="B198" s="13" t="s">
        <v>2555</v>
      </c>
      <c r="C198" s="14" t="s">
        <v>2556</v>
      </c>
      <c r="D198" s="14" t="s">
        <v>2911</v>
      </c>
      <c r="E198" s="14" t="s">
        <v>3221</v>
      </c>
      <c r="F198" s="13">
        <v>57.76</v>
      </c>
      <c r="G198" s="14" t="s">
        <v>3222</v>
      </c>
      <c r="H198" s="13" t="s">
        <v>2973</v>
      </c>
      <c r="I198" s="135" t="s">
        <v>3223</v>
      </c>
      <c r="J198" s="135" t="s">
        <v>3224</v>
      </c>
      <c r="K198" s="475">
        <v>0.38</v>
      </c>
      <c r="L198" s="476">
        <v>10.64</v>
      </c>
      <c r="M198" s="492" t="s">
        <v>3225</v>
      </c>
      <c r="N198" s="492"/>
      <c r="O198" s="494"/>
      <c r="P198" s="135" t="s">
        <v>3223</v>
      </c>
      <c r="Q198" s="135" t="s">
        <v>3226</v>
      </c>
      <c r="R198" s="135">
        <v>100</v>
      </c>
      <c r="S198" s="135">
        <f t="shared" ref="S198:S431" si="210">(0.01*R198)*L198</f>
        <v>10.64</v>
      </c>
      <c r="T198" s="476">
        <f t="shared" si="203"/>
        <v>100</v>
      </c>
      <c r="U198" s="135">
        <f t="shared" si="204"/>
        <v>100</v>
      </c>
      <c r="V198" s="476">
        <f t="shared" si="205"/>
        <v>100</v>
      </c>
      <c r="W198" s="135" t="s">
        <v>990</v>
      </c>
      <c r="X198" s="615">
        <f t="shared" si="206"/>
        <v>38</v>
      </c>
      <c r="Y198" s="220">
        <f t="shared" ref="Y198:AA198" si="211">X198</f>
        <v>38</v>
      </c>
      <c r="Z198" s="220">
        <f t="shared" si="211"/>
        <v>38</v>
      </c>
      <c r="AA198" s="792">
        <f t="shared" si="211"/>
        <v>38</v>
      </c>
      <c r="AB198" s="18" t="s">
        <v>990</v>
      </c>
      <c r="AC198" s="13" t="s">
        <v>3223</v>
      </c>
      <c r="AD198" s="13" t="s">
        <v>3227</v>
      </c>
      <c r="AE198" s="12">
        <v>4.8065157443333336E-3</v>
      </c>
      <c r="AF198" s="12">
        <v>2.3753475394999998E-2</v>
      </c>
      <c r="AG198" s="12">
        <v>4.4716312056737589E-4</v>
      </c>
      <c r="AH198" s="12">
        <v>1.378834501718213E-3</v>
      </c>
    </row>
    <row r="199" spans="1:34" ht="12.75">
      <c r="A199" s="617" t="s">
        <v>3220</v>
      </c>
      <c r="B199" s="799" t="s">
        <v>2555</v>
      </c>
      <c r="C199" s="617" t="s">
        <v>2556</v>
      </c>
      <c r="D199" s="617" t="s">
        <v>2911</v>
      </c>
      <c r="E199" s="617" t="s">
        <v>3221</v>
      </c>
      <c r="F199" s="799">
        <v>57.76</v>
      </c>
      <c r="G199" s="617" t="s">
        <v>3222</v>
      </c>
      <c r="H199" s="799" t="s">
        <v>2973</v>
      </c>
      <c r="I199" s="617" t="s">
        <v>989</v>
      </c>
      <c r="J199" s="617" t="s">
        <v>3228</v>
      </c>
      <c r="K199" s="838">
        <v>0.62</v>
      </c>
      <c r="L199" s="725">
        <v>47.12</v>
      </c>
      <c r="M199" s="850" t="s">
        <v>3229</v>
      </c>
      <c r="N199" s="850"/>
      <c r="O199" s="842"/>
      <c r="P199" s="617" t="s">
        <v>989</v>
      </c>
      <c r="Q199" s="617" t="s">
        <v>3230</v>
      </c>
      <c r="R199" s="617">
        <v>100</v>
      </c>
      <c r="S199" s="617">
        <f t="shared" si="210"/>
        <v>47.12</v>
      </c>
      <c r="T199" s="725">
        <f t="shared" si="203"/>
        <v>100</v>
      </c>
      <c r="U199" s="617">
        <f t="shared" si="204"/>
        <v>100</v>
      </c>
      <c r="V199" s="725">
        <f t="shared" si="205"/>
        <v>100</v>
      </c>
      <c r="W199" s="617" t="s">
        <v>2557</v>
      </c>
      <c r="X199" s="14">
        <f t="shared" si="206"/>
        <v>62</v>
      </c>
      <c r="Y199" s="725">
        <f t="shared" ref="Y199:AA199" si="212">X199</f>
        <v>62</v>
      </c>
      <c r="Z199" s="725">
        <f t="shared" si="212"/>
        <v>62</v>
      </c>
      <c r="AA199" s="455">
        <f t="shared" si="212"/>
        <v>62</v>
      </c>
      <c r="AB199" s="793" t="s">
        <v>2557</v>
      </c>
      <c r="AC199" s="799" t="s">
        <v>651</v>
      </c>
      <c r="AD199" s="799" t="s">
        <v>3231</v>
      </c>
      <c r="AE199" s="635">
        <v>1.109195941E-3</v>
      </c>
      <c r="AF199" s="635">
        <v>5.4815712449999996E-3</v>
      </c>
      <c r="AG199" s="635">
        <v>1.0319148936170213E-4</v>
      </c>
      <c r="AH199" s="635">
        <v>5.0229370000000003E-4</v>
      </c>
    </row>
    <row r="200" spans="1:34" ht="12.75">
      <c r="A200" s="14" t="s">
        <v>3232</v>
      </c>
      <c r="B200" s="13" t="s">
        <v>2555</v>
      </c>
      <c r="C200" s="14" t="s">
        <v>2558</v>
      </c>
      <c r="D200" s="14" t="s">
        <v>2911</v>
      </c>
      <c r="E200" s="14" t="s">
        <v>3233</v>
      </c>
      <c r="F200" s="13">
        <v>59.28</v>
      </c>
      <c r="G200" s="14" t="s">
        <v>3234</v>
      </c>
      <c r="H200" s="13">
        <v>9288</v>
      </c>
      <c r="I200" s="135" t="s">
        <v>3235</v>
      </c>
      <c r="J200" s="135" t="s">
        <v>3236</v>
      </c>
      <c r="K200" s="475">
        <v>0.78</v>
      </c>
      <c r="L200" s="476">
        <v>33.54</v>
      </c>
      <c r="M200" s="492" t="s">
        <v>3237</v>
      </c>
      <c r="N200" s="492"/>
      <c r="O200" s="494"/>
      <c r="P200" s="135" t="s">
        <v>3235</v>
      </c>
      <c r="Q200" s="135" t="s">
        <v>3238</v>
      </c>
      <c r="R200" s="135">
        <v>100</v>
      </c>
      <c r="S200" s="135">
        <f t="shared" si="210"/>
        <v>33.54</v>
      </c>
      <c r="T200" s="476">
        <f t="shared" si="203"/>
        <v>100</v>
      </c>
      <c r="U200" s="135">
        <f t="shared" si="204"/>
        <v>100</v>
      </c>
      <c r="V200" s="476">
        <f t="shared" si="205"/>
        <v>100</v>
      </c>
      <c r="W200" s="135" t="s">
        <v>3239</v>
      </c>
      <c r="X200" s="615">
        <f t="shared" si="206"/>
        <v>78</v>
      </c>
      <c r="Y200" s="220">
        <f t="shared" ref="Y200:AA200" si="213">X200</f>
        <v>78</v>
      </c>
      <c r="Z200" s="220">
        <f t="shared" si="213"/>
        <v>78</v>
      </c>
      <c r="AA200" s="792">
        <f t="shared" si="213"/>
        <v>78</v>
      </c>
      <c r="AB200" s="18" t="s">
        <v>2559</v>
      </c>
      <c r="AC200" s="13" t="s">
        <v>3240</v>
      </c>
      <c r="AD200" s="13" t="s">
        <v>3241</v>
      </c>
      <c r="AE200" s="12">
        <v>2.6431432150407948E-3</v>
      </c>
      <c r="AF200" s="12">
        <v>3.578569890523918E-2</v>
      </c>
      <c r="AG200" s="12">
        <v>1.1539641943734014E-3</v>
      </c>
      <c r="AH200" s="12">
        <v>5.0706361664226891E-4</v>
      </c>
    </row>
    <row r="201" spans="1:34" ht="12.75">
      <c r="A201" s="617" t="s">
        <v>3232</v>
      </c>
      <c r="B201" s="799" t="s">
        <v>2555</v>
      </c>
      <c r="C201" s="617" t="s">
        <v>2558</v>
      </c>
      <c r="D201" s="617" t="s">
        <v>2911</v>
      </c>
      <c r="E201" s="617" t="s">
        <v>3233</v>
      </c>
      <c r="F201" s="799">
        <v>59.28</v>
      </c>
      <c r="G201" s="617" t="s">
        <v>3234</v>
      </c>
      <c r="H201" s="799">
        <v>9288</v>
      </c>
      <c r="I201" s="617" t="s">
        <v>3233</v>
      </c>
      <c r="J201" s="617" t="s">
        <v>3242</v>
      </c>
      <c r="K201" s="838">
        <v>0.22</v>
      </c>
      <c r="L201" s="725">
        <v>25.74</v>
      </c>
      <c r="M201" s="850" t="s">
        <v>3243</v>
      </c>
      <c r="N201" s="850"/>
      <c r="O201" s="842"/>
      <c r="P201" s="617" t="s">
        <v>3233</v>
      </c>
      <c r="Q201" s="617" t="s">
        <v>3244</v>
      </c>
      <c r="R201" s="617">
        <v>100</v>
      </c>
      <c r="S201" s="617">
        <f t="shared" si="210"/>
        <v>25.74</v>
      </c>
      <c r="T201" s="725">
        <f t="shared" si="203"/>
        <v>100</v>
      </c>
      <c r="U201" s="617">
        <f t="shared" si="204"/>
        <v>100</v>
      </c>
      <c r="V201" s="725">
        <f t="shared" si="205"/>
        <v>100</v>
      </c>
      <c r="W201" s="617" t="s">
        <v>3245</v>
      </c>
      <c r="X201" s="617">
        <f t="shared" si="206"/>
        <v>22</v>
      </c>
      <c r="Y201" s="725">
        <f t="shared" ref="Y201:AA201" si="214">X201</f>
        <v>22</v>
      </c>
      <c r="Z201" s="725">
        <f t="shared" si="214"/>
        <v>22</v>
      </c>
      <c r="AA201" s="455">
        <f t="shared" si="214"/>
        <v>22</v>
      </c>
      <c r="AB201" s="793" t="s">
        <v>192</v>
      </c>
      <c r="AC201" s="799" t="s">
        <v>3240</v>
      </c>
      <c r="AD201" s="799" t="s">
        <v>3241</v>
      </c>
      <c r="AE201" s="635">
        <v>1.1563751565803477E-3</v>
      </c>
      <c r="AF201" s="635">
        <v>1.5656243271042144E-2</v>
      </c>
      <c r="AG201" s="635">
        <v>5.0485933503836313E-4</v>
      </c>
      <c r="AH201" s="635">
        <v>5.9203469084219082E-4</v>
      </c>
    </row>
    <row r="202" spans="1:34" ht="12.75">
      <c r="A202" s="617" t="s">
        <v>3246</v>
      </c>
      <c r="B202" s="799" t="s">
        <v>2555</v>
      </c>
      <c r="C202" s="617" t="s">
        <v>2560</v>
      </c>
      <c r="D202" s="617" t="s">
        <v>2911</v>
      </c>
      <c r="E202" s="617" t="s">
        <v>3247</v>
      </c>
      <c r="F202" s="799">
        <v>128</v>
      </c>
      <c r="G202" s="617" t="s">
        <v>3195</v>
      </c>
      <c r="H202" s="799">
        <v>9294</v>
      </c>
      <c r="I202" s="617" t="s">
        <v>3247</v>
      </c>
      <c r="J202" s="617" t="s">
        <v>3248</v>
      </c>
      <c r="K202" s="838">
        <v>1</v>
      </c>
      <c r="L202" s="725">
        <v>128</v>
      </c>
      <c r="M202" s="850" t="s">
        <v>3249</v>
      </c>
      <c r="N202" s="850"/>
      <c r="O202" s="842"/>
      <c r="P202" s="617" t="s">
        <v>3247</v>
      </c>
      <c r="Q202" s="617" t="s">
        <v>3250</v>
      </c>
      <c r="R202" s="617">
        <v>100</v>
      </c>
      <c r="S202" s="617">
        <f t="shared" si="210"/>
        <v>128</v>
      </c>
      <c r="T202" s="725">
        <f t="shared" si="203"/>
        <v>100</v>
      </c>
      <c r="U202" s="617">
        <f t="shared" si="204"/>
        <v>100</v>
      </c>
      <c r="V202" s="725">
        <f t="shared" si="205"/>
        <v>100</v>
      </c>
      <c r="W202" s="617" t="s">
        <v>3251</v>
      </c>
      <c r="X202" s="617">
        <f t="shared" si="206"/>
        <v>100</v>
      </c>
      <c r="Y202" s="725">
        <f t="shared" ref="Y202:AA202" si="215">X202</f>
        <v>100</v>
      </c>
      <c r="Z202" s="725">
        <f t="shared" si="215"/>
        <v>100</v>
      </c>
      <c r="AA202" s="455">
        <f t="shared" si="215"/>
        <v>100</v>
      </c>
      <c r="AB202" s="793" t="s">
        <v>51</v>
      </c>
      <c r="AC202" s="799" t="s">
        <v>3252</v>
      </c>
      <c r="AD202" s="799" t="s">
        <v>3253</v>
      </c>
      <c r="AE202" s="12">
        <v>7.8192986778290174E-4</v>
      </c>
      <c r="AF202" s="12">
        <v>1.0586602592799924E-2</v>
      </c>
      <c r="AG202" s="12">
        <v>3.4138107416879792E-4</v>
      </c>
      <c r="AH202" s="12">
        <v>1.6500695191567171E-4</v>
      </c>
    </row>
    <row r="203" spans="1:34" ht="12.75">
      <c r="A203" s="617" t="s">
        <v>3254</v>
      </c>
      <c r="B203" s="799" t="s">
        <v>2555</v>
      </c>
      <c r="C203" s="617" t="s">
        <v>2561</v>
      </c>
      <c r="D203" s="617" t="s">
        <v>2911</v>
      </c>
      <c r="E203" s="617" t="s">
        <v>3178</v>
      </c>
      <c r="F203" s="799">
        <v>118</v>
      </c>
      <c r="G203" s="617" t="s">
        <v>3255</v>
      </c>
      <c r="H203" s="799">
        <v>9040</v>
      </c>
      <c r="I203" s="617" t="s">
        <v>3178</v>
      </c>
      <c r="J203" s="617" t="s">
        <v>3256</v>
      </c>
      <c r="K203" s="838">
        <v>1</v>
      </c>
      <c r="L203" s="725">
        <v>118</v>
      </c>
      <c r="M203" s="850" t="s">
        <v>3257</v>
      </c>
      <c r="N203" s="850"/>
      <c r="O203" s="842"/>
      <c r="P203" s="617" t="s">
        <v>3178</v>
      </c>
      <c r="Q203" s="617" t="s">
        <v>3179</v>
      </c>
      <c r="R203" s="617">
        <v>100</v>
      </c>
      <c r="S203" s="617">
        <f t="shared" si="210"/>
        <v>118</v>
      </c>
      <c r="T203" s="725">
        <f t="shared" si="203"/>
        <v>100</v>
      </c>
      <c r="U203" s="617">
        <f t="shared" si="204"/>
        <v>100</v>
      </c>
      <c r="V203" s="725">
        <f t="shared" si="205"/>
        <v>100</v>
      </c>
      <c r="W203" s="617" t="s">
        <v>3258</v>
      </c>
      <c r="X203" s="617">
        <f t="shared" si="206"/>
        <v>100</v>
      </c>
      <c r="Y203" s="725">
        <f t="shared" ref="Y203:AA203" si="216">X203</f>
        <v>100</v>
      </c>
      <c r="Z203" s="725">
        <f t="shared" si="216"/>
        <v>100</v>
      </c>
      <c r="AA203" s="455">
        <f t="shared" si="216"/>
        <v>100</v>
      </c>
      <c r="AB203" s="793" t="s">
        <v>160</v>
      </c>
      <c r="AC203" s="799" t="s">
        <v>3178</v>
      </c>
      <c r="AD203" s="799" t="s">
        <v>3180</v>
      </c>
      <c r="AE203" s="804">
        <v>6.0223214285714296E-4</v>
      </c>
      <c r="AF203" s="804">
        <v>6.2001687102860702E-3</v>
      </c>
      <c r="AG203" s="804">
        <v>1.4264705882352941E-4</v>
      </c>
      <c r="AH203" s="804">
        <v>3.8905136826772536E-4</v>
      </c>
    </row>
    <row r="204" spans="1:34" ht="12.75">
      <c r="A204" s="617" t="s">
        <v>3259</v>
      </c>
      <c r="B204" s="799" t="s">
        <v>2555</v>
      </c>
      <c r="C204" s="617" t="s">
        <v>2562</v>
      </c>
      <c r="D204" s="617" t="s">
        <v>2911</v>
      </c>
      <c r="E204" s="617" t="s">
        <v>3260</v>
      </c>
      <c r="F204" s="799">
        <v>138</v>
      </c>
      <c r="G204" s="617" t="s">
        <v>3261</v>
      </c>
      <c r="H204" s="799">
        <v>9181</v>
      </c>
      <c r="I204" s="617" t="s">
        <v>3260</v>
      </c>
      <c r="J204" s="617" t="s">
        <v>3262</v>
      </c>
      <c r="K204" s="838">
        <v>1</v>
      </c>
      <c r="L204" s="725">
        <v>138</v>
      </c>
      <c r="M204" s="850" t="s">
        <v>3263</v>
      </c>
      <c r="N204" s="850"/>
      <c r="O204" s="842"/>
      <c r="P204" s="617" t="s">
        <v>3260</v>
      </c>
      <c r="Q204" s="617" t="s">
        <v>3264</v>
      </c>
      <c r="R204" s="617">
        <v>100</v>
      </c>
      <c r="S204" s="617">
        <f t="shared" si="210"/>
        <v>138</v>
      </c>
      <c r="T204" s="725">
        <f t="shared" si="203"/>
        <v>100</v>
      </c>
      <c r="U204" s="617">
        <f t="shared" si="204"/>
        <v>100</v>
      </c>
      <c r="V204" s="725">
        <f t="shared" si="205"/>
        <v>100</v>
      </c>
      <c r="W204" s="617" t="s">
        <v>3265</v>
      </c>
      <c r="X204" s="617">
        <f t="shared" si="206"/>
        <v>100</v>
      </c>
      <c r="Y204" s="725">
        <f t="shared" ref="Y204:AA204" si="217">X204</f>
        <v>100</v>
      </c>
      <c r="Z204" s="725">
        <f t="shared" si="217"/>
        <v>100</v>
      </c>
      <c r="AA204" s="455">
        <f t="shared" si="217"/>
        <v>100</v>
      </c>
      <c r="AB204" s="793" t="s">
        <v>164</v>
      </c>
      <c r="AC204" s="799" t="s">
        <v>3260</v>
      </c>
      <c r="AD204" s="799" t="s">
        <v>3266</v>
      </c>
      <c r="AE204" s="635">
        <v>5.8970014450866999E-3</v>
      </c>
      <c r="AF204" s="635">
        <v>9.2947174052665296E-2</v>
      </c>
      <c r="AG204" s="635">
        <v>5.3866776803454815E-5</v>
      </c>
      <c r="AH204" s="635">
        <v>2.6455493042205327E-4</v>
      </c>
    </row>
    <row r="205" spans="1:34" ht="12.75">
      <c r="A205" s="617" t="s">
        <v>3267</v>
      </c>
      <c r="B205" s="799" t="s">
        <v>2555</v>
      </c>
      <c r="C205" s="617" t="s">
        <v>2563</v>
      </c>
      <c r="D205" s="617" t="s">
        <v>2911</v>
      </c>
      <c r="E205" s="617" t="s">
        <v>158</v>
      </c>
      <c r="F205" s="799">
        <v>100</v>
      </c>
      <c r="G205" s="617" t="s">
        <v>3268</v>
      </c>
      <c r="H205" s="799">
        <v>9037</v>
      </c>
      <c r="I205" s="617" t="s">
        <v>158</v>
      </c>
      <c r="J205" s="617" t="s">
        <v>933</v>
      </c>
      <c r="K205" s="838">
        <v>1</v>
      </c>
      <c r="L205" s="725">
        <v>100</v>
      </c>
      <c r="M205" s="850" t="s">
        <v>3269</v>
      </c>
      <c r="N205" s="850"/>
      <c r="O205" s="842"/>
      <c r="P205" s="617" t="s">
        <v>158</v>
      </c>
      <c r="Q205" s="617" t="s">
        <v>3270</v>
      </c>
      <c r="R205" s="617">
        <v>100</v>
      </c>
      <c r="S205" s="617">
        <f t="shared" si="210"/>
        <v>100</v>
      </c>
      <c r="T205" s="725">
        <f t="shared" si="203"/>
        <v>100</v>
      </c>
      <c r="U205" s="617">
        <f t="shared" si="204"/>
        <v>100</v>
      </c>
      <c r="V205" s="725">
        <f t="shared" si="205"/>
        <v>100</v>
      </c>
      <c r="W205" s="617" t="s">
        <v>3271</v>
      </c>
      <c r="X205" s="14">
        <f t="shared" si="206"/>
        <v>100</v>
      </c>
      <c r="Y205" s="725">
        <f t="shared" ref="Y205:AA205" si="218">X205</f>
        <v>100</v>
      </c>
      <c r="Z205" s="725">
        <f t="shared" si="218"/>
        <v>100</v>
      </c>
      <c r="AA205" s="455">
        <f t="shared" si="218"/>
        <v>100</v>
      </c>
      <c r="AB205" s="793" t="s">
        <v>158</v>
      </c>
      <c r="AC205" s="799" t="s">
        <v>3272</v>
      </c>
      <c r="AD205" s="799" t="s">
        <v>3273</v>
      </c>
      <c r="AE205" s="635">
        <v>4.2641079069014702E-3</v>
      </c>
      <c r="AF205" s="635">
        <v>3.0172608007591802E-2</v>
      </c>
      <c r="AG205" s="635">
        <v>3.7733333333333331E-4</v>
      </c>
      <c r="AH205" s="635">
        <v>1.0254471294296212E-3</v>
      </c>
    </row>
    <row r="206" spans="1:34" ht="12.75">
      <c r="A206" s="14" t="s">
        <v>3274</v>
      </c>
      <c r="B206" s="13" t="s">
        <v>2555</v>
      </c>
      <c r="C206" s="14" t="s">
        <v>2564</v>
      </c>
      <c r="D206" s="14" t="s">
        <v>2911</v>
      </c>
      <c r="E206" s="14" t="s">
        <v>147</v>
      </c>
      <c r="F206" s="13">
        <v>180.96</v>
      </c>
      <c r="G206" s="14" t="s">
        <v>3255</v>
      </c>
      <c r="H206" s="13">
        <v>9003</v>
      </c>
      <c r="I206" s="135" t="s">
        <v>147</v>
      </c>
      <c r="J206" s="135" t="s">
        <v>3275</v>
      </c>
      <c r="K206" s="475">
        <v>0.74</v>
      </c>
      <c r="L206" s="476">
        <v>134.68</v>
      </c>
      <c r="M206" s="492" t="s">
        <v>3276</v>
      </c>
      <c r="N206" s="492"/>
      <c r="O206" s="494"/>
      <c r="P206" s="135" t="s">
        <v>147</v>
      </c>
      <c r="Q206" s="135" t="s">
        <v>3277</v>
      </c>
      <c r="R206" s="135">
        <v>100</v>
      </c>
      <c r="S206" s="135">
        <f t="shared" si="210"/>
        <v>134.68</v>
      </c>
      <c r="T206" s="476">
        <f t="shared" si="203"/>
        <v>100</v>
      </c>
      <c r="U206" s="135">
        <f t="shared" si="204"/>
        <v>100</v>
      </c>
      <c r="V206" s="476">
        <f t="shared" si="205"/>
        <v>100</v>
      </c>
      <c r="W206" s="135" t="s">
        <v>3278</v>
      </c>
      <c r="X206" s="615">
        <f t="shared" si="206"/>
        <v>74</v>
      </c>
      <c r="Y206" s="220">
        <f t="shared" ref="Y206:AA206" si="219">X206</f>
        <v>74</v>
      </c>
      <c r="Z206" s="220">
        <f t="shared" si="219"/>
        <v>74</v>
      </c>
      <c r="AA206" s="792">
        <f t="shared" si="219"/>
        <v>74</v>
      </c>
      <c r="AB206" s="18" t="s">
        <v>147</v>
      </c>
      <c r="AC206" s="13" t="s">
        <v>3279</v>
      </c>
      <c r="AD206" s="13" t="s">
        <v>3280</v>
      </c>
      <c r="AE206" s="12">
        <v>5.3660800389999995E-4</v>
      </c>
      <c r="AF206" s="12">
        <v>2.8929604629999999E-3</v>
      </c>
      <c r="AG206" s="12">
        <v>1.75E-4</v>
      </c>
      <c r="AH206" s="12">
        <v>2.6107342105263152E-4</v>
      </c>
    </row>
    <row r="207" spans="1:34" ht="12.75">
      <c r="A207" s="617" t="s">
        <v>3274</v>
      </c>
      <c r="B207" s="799" t="s">
        <v>2555</v>
      </c>
      <c r="C207" s="617" t="s">
        <v>2564</v>
      </c>
      <c r="D207" s="617" t="s">
        <v>2911</v>
      </c>
      <c r="E207" s="617" t="s">
        <v>147</v>
      </c>
      <c r="F207" s="799">
        <v>180.96</v>
      </c>
      <c r="G207" s="617" t="s">
        <v>3255</v>
      </c>
      <c r="H207" s="799">
        <v>9003</v>
      </c>
      <c r="I207" s="617" t="s">
        <v>186</v>
      </c>
      <c r="J207" s="617" t="s">
        <v>3281</v>
      </c>
      <c r="K207" s="838">
        <v>0.26</v>
      </c>
      <c r="L207" s="725">
        <v>46.28</v>
      </c>
      <c r="M207" s="850" t="s">
        <v>3282</v>
      </c>
      <c r="N207" s="850"/>
      <c r="O207" s="842"/>
      <c r="P207" s="617" t="s">
        <v>186</v>
      </c>
      <c r="Q207" s="617" t="s">
        <v>3283</v>
      </c>
      <c r="R207" s="617">
        <v>100</v>
      </c>
      <c r="S207" s="617">
        <f t="shared" si="210"/>
        <v>46.28</v>
      </c>
      <c r="T207" s="725">
        <f t="shared" si="203"/>
        <v>100</v>
      </c>
      <c r="U207" s="617">
        <f t="shared" si="204"/>
        <v>100</v>
      </c>
      <c r="V207" s="725">
        <f t="shared" si="205"/>
        <v>100</v>
      </c>
      <c r="W207" s="617" t="s">
        <v>3284</v>
      </c>
      <c r="X207" s="617">
        <f t="shared" si="206"/>
        <v>26</v>
      </c>
      <c r="Y207" s="725">
        <f t="shared" ref="Y207:AA207" si="220">X207</f>
        <v>26</v>
      </c>
      <c r="Z207" s="725">
        <f t="shared" si="220"/>
        <v>26</v>
      </c>
      <c r="AA207" s="455">
        <f t="shared" si="220"/>
        <v>26</v>
      </c>
      <c r="AB207" s="793" t="s">
        <v>186</v>
      </c>
      <c r="AC207" s="799" t="s">
        <v>186</v>
      </c>
      <c r="AD207" s="799" t="s">
        <v>3285</v>
      </c>
      <c r="AE207" s="635">
        <v>5.2339736232043406E-4</v>
      </c>
      <c r="AF207" s="635">
        <v>4.8498643654599103E-3</v>
      </c>
      <c r="AG207" s="635">
        <v>1.205128205128205E-4</v>
      </c>
      <c r="AH207" s="635">
        <v>4.2396623465072643E-4</v>
      </c>
    </row>
    <row r="208" spans="1:34" ht="12.75">
      <c r="A208" s="617" t="s">
        <v>3286</v>
      </c>
      <c r="B208" s="799" t="s">
        <v>2555</v>
      </c>
      <c r="C208" s="617" t="s">
        <v>2565</v>
      </c>
      <c r="D208" s="617" t="s">
        <v>2911</v>
      </c>
      <c r="E208" s="617" t="s">
        <v>3287</v>
      </c>
      <c r="F208" s="799">
        <v>217</v>
      </c>
      <c r="G208" s="617" t="s">
        <v>3288</v>
      </c>
      <c r="H208" s="799">
        <v>9016</v>
      </c>
      <c r="I208" s="617" t="s">
        <v>3287</v>
      </c>
      <c r="J208" s="617" t="s">
        <v>3289</v>
      </c>
      <c r="K208" s="838">
        <v>1</v>
      </c>
      <c r="L208" s="725">
        <v>217</v>
      </c>
      <c r="M208" s="850" t="s">
        <v>3290</v>
      </c>
      <c r="N208" s="850"/>
      <c r="O208" s="842"/>
      <c r="P208" s="617" t="s">
        <v>3287</v>
      </c>
      <c r="Q208" s="617" t="s">
        <v>3291</v>
      </c>
      <c r="R208" s="617">
        <v>100</v>
      </c>
      <c r="S208" s="617">
        <f t="shared" si="210"/>
        <v>217</v>
      </c>
      <c r="T208" s="725">
        <f t="shared" si="203"/>
        <v>100</v>
      </c>
      <c r="U208" s="617">
        <f t="shared" si="204"/>
        <v>100</v>
      </c>
      <c r="V208" s="725">
        <f t="shared" si="205"/>
        <v>100</v>
      </c>
      <c r="W208" s="617" t="s">
        <v>3292</v>
      </c>
      <c r="X208" s="617">
        <f t="shared" si="206"/>
        <v>100</v>
      </c>
      <c r="Y208" s="725">
        <f t="shared" ref="Y208:AA208" si="221">X208</f>
        <v>100</v>
      </c>
      <c r="Z208" s="725">
        <f t="shared" si="221"/>
        <v>100</v>
      </c>
      <c r="AA208" s="455">
        <f t="shared" si="221"/>
        <v>100</v>
      </c>
      <c r="AB208" s="793" t="s">
        <v>13</v>
      </c>
      <c r="AC208" s="799" t="s">
        <v>3293</v>
      </c>
      <c r="AD208" s="799" t="s">
        <v>3294</v>
      </c>
      <c r="AE208" s="635">
        <v>7.4013793103448278E-4</v>
      </c>
      <c r="AF208" s="635">
        <v>3.9903448275862069E-3</v>
      </c>
      <c r="AG208" s="635">
        <v>2.4137931034482759E-4</v>
      </c>
      <c r="AH208" s="635">
        <v>3.6010127048275863E-4</v>
      </c>
    </row>
    <row r="209" spans="1:34" ht="12.75">
      <c r="A209" s="617" t="s">
        <v>3295</v>
      </c>
      <c r="B209" s="799" t="s">
        <v>2555</v>
      </c>
      <c r="C209" s="617" t="s">
        <v>2566</v>
      </c>
      <c r="D209" s="617" t="s">
        <v>2911</v>
      </c>
      <c r="E209" s="617" t="s">
        <v>3296</v>
      </c>
      <c r="F209" s="799">
        <v>131</v>
      </c>
      <c r="G209" s="617" t="s">
        <v>3255</v>
      </c>
      <c r="H209" s="799">
        <v>9200</v>
      </c>
      <c r="I209" s="617" t="s">
        <v>3296</v>
      </c>
      <c r="J209" s="617" t="s">
        <v>3297</v>
      </c>
      <c r="K209" s="838">
        <v>1</v>
      </c>
      <c r="L209" s="725">
        <v>131</v>
      </c>
      <c r="M209" s="850" t="s">
        <v>3298</v>
      </c>
      <c r="N209" s="850"/>
      <c r="O209" s="842"/>
      <c r="P209" s="617" t="s">
        <v>3296</v>
      </c>
      <c r="Q209" s="617" t="s">
        <v>3299</v>
      </c>
      <c r="R209" s="617">
        <v>100</v>
      </c>
      <c r="S209" s="617">
        <f t="shared" si="210"/>
        <v>131</v>
      </c>
      <c r="T209" s="725">
        <f t="shared" si="203"/>
        <v>100</v>
      </c>
      <c r="U209" s="617">
        <f t="shared" si="204"/>
        <v>100</v>
      </c>
      <c r="V209" s="725">
        <f t="shared" si="205"/>
        <v>100</v>
      </c>
      <c r="W209" s="617" t="s">
        <v>182</v>
      </c>
      <c r="X209" s="617">
        <f t="shared" si="206"/>
        <v>100</v>
      </c>
      <c r="Y209" s="725">
        <f t="shared" ref="Y209:AA209" si="222">X209</f>
        <v>100</v>
      </c>
      <c r="Z209" s="725">
        <f t="shared" si="222"/>
        <v>100</v>
      </c>
      <c r="AA209" s="455">
        <f t="shared" si="222"/>
        <v>100</v>
      </c>
      <c r="AB209" s="793" t="s">
        <v>689</v>
      </c>
      <c r="AC209" s="799" t="s">
        <v>3300</v>
      </c>
      <c r="AD209" s="799" t="s">
        <v>3301</v>
      </c>
      <c r="AE209" s="635">
        <v>9.6530647293316797E-4</v>
      </c>
      <c r="AF209" s="635">
        <v>1.9624016847597899E-2</v>
      </c>
      <c r="AG209" s="635">
        <v>1.5714285714285716E-4</v>
      </c>
      <c r="AH209" s="635">
        <v>6.7713464334216039E-4</v>
      </c>
    </row>
    <row r="210" spans="1:34" ht="12.75">
      <c r="A210" s="753" t="s">
        <v>3302</v>
      </c>
      <c r="B210" s="805" t="s">
        <v>2555</v>
      </c>
      <c r="C210" s="753" t="s">
        <v>2567</v>
      </c>
      <c r="D210" s="753" t="s">
        <v>2911</v>
      </c>
      <c r="E210" s="753" t="s">
        <v>3303</v>
      </c>
      <c r="F210" s="805">
        <v>186</v>
      </c>
      <c r="G210" s="753" t="s">
        <v>3164</v>
      </c>
      <c r="H210" s="805">
        <v>9210</v>
      </c>
      <c r="I210" s="753" t="s">
        <v>3304</v>
      </c>
      <c r="J210" s="753" t="s">
        <v>3305</v>
      </c>
      <c r="K210" s="864">
        <v>1</v>
      </c>
      <c r="L210" s="865">
        <v>186</v>
      </c>
      <c r="M210" s="866" t="s">
        <v>3306</v>
      </c>
      <c r="N210" s="866"/>
      <c r="O210" s="867"/>
      <c r="P210" s="753" t="s">
        <v>3303</v>
      </c>
      <c r="Q210" s="753" t="s">
        <v>3307</v>
      </c>
      <c r="R210" s="753">
        <v>100</v>
      </c>
      <c r="S210" s="753">
        <f t="shared" si="210"/>
        <v>186</v>
      </c>
      <c r="T210" s="725">
        <f t="shared" si="203"/>
        <v>100</v>
      </c>
      <c r="U210" s="617">
        <f t="shared" si="204"/>
        <v>100</v>
      </c>
      <c r="V210" s="725">
        <f t="shared" si="205"/>
        <v>100</v>
      </c>
      <c r="W210" s="753" t="s">
        <v>3308</v>
      </c>
      <c r="X210" s="617">
        <f t="shared" si="206"/>
        <v>100</v>
      </c>
      <c r="Y210" s="725">
        <f t="shared" ref="Y210:AA210" si="223">X210</f>
        <v>100</v>
      </c>
      <c r="Z210" s="725">
        <f t="shared" si="223"/>
        <v>100</v>
      </c>
      <c r="AA210" s="455">
        <f t="shared" si="223"/>
        <v>100</v>
      </c>
      <c r="AB210" s="806" t="s">
        <v>43</v>
      </c>
      <c r="AC210" s="805" t="s">
        <v>3087</v>
      </c>
      <c r="AD210" s="805" t="s">
        <v>3088</v>
      </c>
      <c r="AE210" s="635">
        <v>1.9306129458663359E-3</v>
      </c>
      <c r="AF210" s="635">
        <v>3.9248033695195798E-2</v>
      </c>
      <c r="AG210" s="635">
        <v>2.2000000000000001E-4</v>
      </c>
      <c r="AH210" s="635">
        <v>2.1384856875782642E-3</v>
      </c>
    </row>
    <row r="211" spans="1:34" ht="12.75">
      <c r="A211" s="753" t="s">
        <v>3309</v>
      </c>
      <c r="B211" s="805" t="s">
        <v>2555</v>
      </c>
      <c r="C211" s="753" t="s">
        <v>2568</v>
      </c>
      <c r="D211" s="753" t="s">
        <v>2911</v>
      </c>
      <c r="E211" s="753" t="s">
        <v>3085</v>
      </c>
      <c r="F211" s="805">
        <v>186</v>
      </c>
      <c r="G211" s="753" t="s">
        <v>3164</v>
      </c>
      <c r="H211" s="805">
        <v>9215</v>
      </c>
      <c r="I211" s="753" t="s">
        <v>3085</v>
      </c>
      <c r="J211" s="753" t="s">
        <v>3310</v>
      </c>
      <c r="K211" s="864">
        <v>1</v>
      </c>
      <c r="L211" s="865">
        <v>186</v>
      </c>
      <c r="M211" s="866" t="s">
        <v>3311</v>
      </c>
      <c r="N211" s="866"/>
      <c r="O211" s="867"/>
      <c r="P211" s="753" t="s">
        <v>3312</v>
      </c>
      <c r="Q211" s="753" t="s">
        <v>3313</v>
      </c>
      <c r="R211" s="753">
        <v>100</v>
      </c>
      <c r="S211" s="753">
        <f t="shared" si="210"/>
        <v>186</v>
      </c>
      <c r="T211" s="725">
        <f t="shared" si="203"/>
        <v>100</v>
      </c>
      <c r="U211" s="617">
        <f t="shared" si="204"/>
        <v>100</v>
      </c>
      <c r="V211" s="725">
        <f t="shared" si="205"/>
        <v>100</v>
      </c>
      <c r="W211" s="753" t="s">
        <v>3314</v>
      </c>
      <c r="X211" s="617">
        <f t="shared" si="206"/>
        <v>100</v>
      </c>
      <c r="Y211" s="725">
        <f t="shared" ref="Y211:AA211" si="224">X211</f>
        <v>100</v>
      </c>
      <c r="Z211" s="725">
        <f t="shared" si="224"/>
        <v>100</v>
      </c>
      <c r="AA211" s="455">
        <f t="shared" si="224"/>
        <v>100</v>
      </c>
      <c r="AB211" s="806" t="s">
        <v>2569</v>
      </c>
      <c r="AC211" s="805" t="s">
        <v>3315</v>
      </c>
      <c r="AD211" s="805" t="s">
        <v>3088</v>
      </c>
      <c r="AE211" s="635">
        <v>1.9306129458663359E-3</v>
      </c>
      <c r="AF211" s="635">
        <v>3.9248033695195798E-2</v>
      </c>
      <c r="AG211" s="635">
        <v>2.2000000000000001E-4</v>
      </c>
      <c r="AH211" s="635">
        <v>2.1384856875782642E-3</v>
      </c>
    </row>
    <row r="212" spans="1:34" ht="12.75">
      <c r="A212" s="753" t="s">
        <v>3316</v>
      </c>
      <c r="B212" s="805" t="s">
        <v>2555</v>
      </c>
      <c r="C212" s="753" t="s">
        <v>2570</v>
      </c>
      <c r="D212" s="753" t="s">
        <v>2911</v>
      </c>
      <c r="E212" s="753" t="s">
        <v>3317</v>
      </c>
      <c r="F212" s="805">
        <v>128</v>
      </c>
      <c r="G212" s="753" t="s">
        <v>3318</v>
      </c>
      <c r="H212" s="805">
        <v>9111</v>
      </c>
      <c r="I212" s="753" t="s">
        <v>3317</v>
      </c>
      <c r="J212" s="753" t="s">
        <v>3319</v>
      </c>
      <c r="K212" s="864">
        <v>1</v>
      </c>
      <c r="L212" s="865">
        <v>128</v>
      </c>
      <c r="M212" s="866" t="s">
        <v>3320</v>
      </c>
      <c r="N212" s="866"/>
      <c r="O212" s="867"/>
      <c r="P212" s="753" t="s">
        <v>3317</v>
      </c>
      <c r="Q212" s="753" t="s">
        <v>3321</v>
      </c>
      <c r="R212" s="753">
        <v>100</v>
      </c>
      <c r="S212" s="753">
        <f t="shared" si="210"/>
        <v>128</v>
      </c>
      <c r="T212" s="725">
        <f t="shared" si="203"/>
        <v>100</v>
      </c>
      <c r="U212" s="617">
        <f t="shared" si="204"/>
        <v>100</v>
      </c>
      <c r="V212" s="725">
        <f t="shared" si="205"/>
        <v>100</v>
      </c>
      <c r="W212" s="753" t="s">
        <v>3322</v>
      </c>
      <c r="X212" s="617">
        <f t="shared" si="206"/>
        <v>100</v>
      </c>
      <c r="Y212" s="725">
        <f t="shared" ref="Y212:AA212" si="225">X212</f>
        <v>100</v>
      </c>
      <c r="Z212" s="725">
        <f t="shared" si="225"/>
        <v>100</v>
      </c>
      <c r="AA212" s="455">
        <f t="shared" si="225"/>
        <v>100</v>
      </c>
      <c r="AB212" s="806" t="s">
        <v>172</v>
      </c>
      <c r="AC212" s="805" t="s">
        <v>3323</v>
      </c>
      <c r="AD212" s="805" t="s">
        <v>3324</v>
      </c>
      <c r="AE212" s="635">
        <v>1.08830216354969E-3</v>
      </c>
      <c r="AF212" s="635">
        <v>1.5829360713849203E-2</v>
      </c>
      <c r="AG212" s="635">
        <v>1.8085106382978726E-4</v>
      </c>
      <c r="AH212" s="635">
        <v>8.1696188617021279E-4</v>
      </c>
    </row>
    <row r="213" spans="1:34" ht="12.75">
      <c r="A213" s="14" t="s">
        <v>3325</v>
      </c>
      <c r="B213" s="13" t="s">
        <v>2555</v>
      </c>
      <c r="C213" s="14" t="s">
        <v>2571</v>
      </c>
      <c r="D213" s="14" t="s">
        <v>2911</v>
      </c>
      <c r="E213" s="14" t="s">
        <v>3326</v>
      </c>
      <c r="F213" s="13">
        <v>188.66</v>
      </c>
      <c r="G213" s="14" t="s">
        <v>3164</v>
      </c>
      <c r="H213" s="13">
        <v>14242</v>
      </c>
      <c r="I213" s="14" t="s">
        <v>3327</v>
      </c>
      <c r="J213" s="14" t="s">
        <v>3328</v>
      </c>
      <c r="K213" s="478">
        <v>0.52</v>
      </c>
      <c r="L213" s="220">
        <v>98.8</v>
      </c>
      <c r="M213" s="473" t="s">
        <v>3329</v>
      </c>
      <c r="N213" s="473" t="s">
        <v>3330</v>
      </c>
      <c r="O213" s="473" t="s">
        <v>3331</v>
      </c>
      <c r="P213" s="14" t="s">
        <v>2938</v>
      </c>
      <c r="Q213" s="435" t="s">
        <v>2939</v>
      </c>
      <c r="R213" s="14">
        <v>63</v>
      </c>
      <c r="S213" s="14">
        <f t="shared" si="210"/>
        <v>62.244</v>
      </c>
      <c r="T213" s="220">
        <f>SUM(R213:R216)</f>
        <v>100</v>
      </c>
      <c r="U213" s="14">
        <f t="shared" ref="U213:U216" si="226">R213*100/T213</f>
        <v>63</v>
      </c>
      <c r="V213" s="481">
        <f t="shared" si="205"/>
        <v>63</v>
      </c>
      <c r="W213" s="482" t="s">
        <v>72</v>
      </c>
      <c r="X213" s="482">
        <f t="shared" si="206"/>
        <v>32.76</v>
      </c>
      <c r="Y213" s="481">
        <f t="shared" ref="Y213:AA213" si="227">X213</f>
        <v>32.76</v>
      </c>
      <c r="Z213" s="481">
        <f t="shared" si="227"/>
        <v>32.76</v>
      </c>
      <c r="AA213" s="796">
        <f t="shared" si="227"/>
        <v>32.76</v>
      </c>
      <c r="AB213" s="456" t="s">
        <v>72</v>
      </c>
      <c r="AC213" s="469" t="s">
        <v>2938</v>
      </c>
      <c r="AD213" s="469" t="s">
        <v>2940</v>
      </c>
      <c r="AE213" s="457">
        <v>0</v>
      </c>
      <c r="AF213" s="457">
        <v>0</v>
      </c>
      <c r="AG213" s="457">
        <v>0</v>
      </c>
      <c r="AH213" s="457">
        <v>0</v>
      </c>
    </row>
    <row r="214" spans="1:34" ht="12.75">
      <c r="A214" s="14" t="s">
        <v>3325</v>
      </c>
      <c r="B214" s="13" t="s">
        <v>2555</v>
      </c>
      <c r="C214" s="14" t="s">
        <v>2571</v>
      </c>
      <c r="D214" s="14" t="s">
        <v>2911</v>
      </c>
      <c r="E214" s="14" t="s">
        <v>3326</v>
      </c>
      <c r="F214" s="13">
        <v>188.66</v>
      </c>
      <c r="G214" s="14" t="s">
        <v>3164</v>
      </c>
      <c r="H214" s="13">
        <v>14242</v>
      </c>
      <c r="I214" s="14" t="s">
        <v>3327</v>
      </c>
      <c r="J214" s="14" t="s">
        <v>3328</v>
      </c>
      <c r="K214" s="478">
        <v>0.52</v>
      </c>
      <c r="L214" s="220">
        <v>98.8</v>
      </c>
      <c r="M214" s="473" t="s">
        <v>3329</v>
      </c>
      <c r="N214" s="473" t="s">
        <v>3330</v>
      </c>
      <c r="O214" s="473" t="s">
        <v>3331</v>
      </c>
      <c r="P214" s="14" t="s">
        <v>3332</v>
      </c>
      <c r="Q214" s="14" t="s">
        <v>3333</v>
      </c>
      <c r="R214" s="14">
        <v>27</v>
      </c>
      <c r="S214" s="14">
        <f t="shared" si="210"/>
        <v>26.676000000000002</v>
      </c>
      <c r="T214" s="487">
        <f>SUM(R213:R216)</f>
        <v>100</v>
      </c>
      <c r="U214" s="14">
        <f t="shared" si="226"/>
        <v>27</v>
      </c>
      <c r="V214" s="220">
        <f>U214*100/SUM(U214:U216)</f>
        <v>72.972972972972968</v>
      </c>
      <c r="W214" s="14" t="s">
        <v>3334</v>
      </c>
      <c r="X214" s="14">
        <f t="shared" si="206"/>
        <v>37.945945945945944</v>
      </c>
      <c r="Y214" s="220">
        <f>SUM(X214,X217,X218,X219)</f>
        <v>85.945945945945937</v>
      </c>
      <c r="Z214" s="220">
        <f>X214</f>
        <v>37.945945945945944</v>
      </c>
      <c r="AA214" s="792">
        <f>Z214</f>
        <v>37.945945945945944</v>
      </c>
      <c r="AB214" s="18" t="s">
        <v>32</v>
      </c>
      <c r="AC214" s="13" t="s">
        <v>18</v>
      </c>
      <c r="AD214" s="513" t="s">
        <v>18</v>
      </c>
      <c r="AE214" s="12">
        <v>3.8146972123113249E-3</v>
      </c>
      <c r="AF214" s="12">
        <v>1.710282858599476E-2</v>
      </c>
      <c r="AG214" s="12">
        <v>5.0222393723691188E-4</v>
      </c>
      <c r="AH214" s="12">
        <v>6.5940142870550104E-3</v>
      </c>
    </row>
    <row r="215" spans="1:34" ht="12.75">
      <c r="A215" s="14" t="s">
        <v>3325</v>
      </c>
      <c r="B215" s="13" t="s">
        <v>2555</v>
      </c>
      <c r="C215" s="14" t="s">
        <v>2571</v>
      </c>
      <c r="D215" s="14" t="s">
        <v>2911</v>
      </c>
      <c r="E215" s="14" t="s">
        <v>3326</v>
      </c>
      <c r="F215" s="13">
        <v>188.66</v>
      </c>
      <c r="G215" s="14" t="s">
        <v>3164</v>
      </c>
      <c r="H215" s="13">
        <v>14242</v>
      </c>
      <c r="I215" s="14" t="s">
        <v>3327</v>
      </c>
      <c r="J215" s="14" t="s">
        <v>3328</v>
      </c>
      <c r="K215" s="478">
        <v>0.52</v>
      </c>
      <c r="L215" s="220">
        <v>98.8</v>
      </c>
      <c r="M215" s="473" t="s">
        <v>3329</v>
      </c>
      <c r="N215" s="473" t="s">
        <v>3330</v>
      </c>
      <c r="O215" s="473" t="s">
        <v>3331</v>
      </c>
      <c r="P215" s="14" t="s">
        <v>2945</v>
      </c>
      <c r="Q215" s="14" t="s">
        <v>2946</v>
      </c>
      <c r="R215" s="14">
        <v>7</v>
      </c>
      <c r="S215" s="14">
        <f t="shared" si="210"/>
        <v>6.9160000000000004</v>
      </c>
      <c r="T215" s="220">
        <f>SUM(R213:R216)</f>
        <v>100</v>
      </c>
      <c r="U215" s="14">
        <f t="shared" si="226"/>
        <v>7</v>
      </c>
      <c r="V215" s="220">
        <f>U215*100/SUM(U214:U216)</f>
        <v>18.918918918918919</v>
      </c>
      <c r="W215" s="14" t="s">
        <v>433</v>
      </c>
      <c r="X215" s="14">
        <f t="shared" si="206"/>
        <v>9.8378378378378386</v>
      </c>
      <c r="Y215" s="220">
        <f t="shared" ref="Y215:AA215" si="228">X215</f>
        <v>9.8378378378378386</v>
      </c>
      <c r="Z215" s="220">
        <f t="shared" si="228"/>
        <v>9.8378378378378386</v>
      </c>
      <c r="AA215" s="792">
        <f t="shared" si="228"/>
        <v>9.8378378378378386</v>
      </c>
      <c r="AB215" s="18" t="s">
        <v>433</v>
      </c>
      <c r="AC215" s="13" t="s">
        <v>433</v>
      </c>
      <c r="AD215" s="13" t="s">
        <v>2947</v>
      </c>
      <c r="AE215" s="12">
        <v>3.0104466724907065E-4</v>
      </c>
      <c r="AF215" s="12">
        <v>1.2500000000000001E-2</v>
      </c>
      <c r="AG215" s="12">
        <v>5.1818181818181835E-4</v>
      </c>
      <c r="AH215" s="12">
        <v>4.0084080366977777E-4</v>
      </c>
    </row>
    <row r="216" spans="1:34" ht="12.75">
      <c r="A216" s="14" t="s">
        <v>3325</v>
      </c>
      <c r="B216" s="13" t="s">
        <v>2555</v>
      </c>
      <c r="C216" s="14" t="s">
        <v>2571</v>
      </c>
      <c r="D216" s="14" t="s">
        <v>2911</v>
      </c>
      <c r="E216" s="14" t="s">
        <v>3326</v>
      </c>
      <c r="F216" s="13">
        <v>188.66</v>
      </c>
      <c r="G216" s="14" t="s">
        <v>3164</v>
      </c>
      <c r="H216" s="13">
        <v>14242</v>
      </c>
      <c r="I216" s="135" t="s">
        <v>3327</v>
      </c>
      <c r="J216" s="135" t="s">
        <v>3328</v>
      </c>
      <c r="K216" s="475">
        <v>0.52</v>
      </c>
      <c r="L216" s="476">
        <v>98.8</v>
      </c>
      <c r="M216" s="492" t="s">
        <v>3329</v>
      </c>
      <c r="N216" s="492" t="s">
        <v>3330</v>
      </c>
      <c r="O216" s="492" t="s">
        <v>3331</v>
      </c>
      <c r="P216" s="135" t="s">
        <v>2962</v>
      </c>
      <c r="Q216" s="514" t="s">
        <v>2963</v>
      </c>
      <c r="R216" s="135">
        <v>3</v>
      </c>
      <c r="S216" s="135">
        <f t="shared" si="210"/>
        <v>2.964</v>
      </c>
      <c r="T216" s="476">
        <f>SUM(R213:R216)</f>
        <v>100</v>
      </c>
      <c r="U216" s="135">
        <f t="shared" si="226"/>
        <v>3</v>
      </c>
      <c r="V216" s="476">
        <f>U216*100/SUM(U214:U216)</f>
        <v>8.1081081081081088</v>
      </c>
      <c r="W216" s="135" t="s">
        <v>425</v>
      </c>
      <c r="X216" s="14">
        <f t="shared" si="206"/>
        <v>4.2162162162162167</v>
      </c>
      <c r="Y216" s="499">
        <f t="shared" ref="Y216:AA216" si="229">X216</f>
        <v>4.2162162162162167</v>
      </c>
      <c r="Z216" s="220">
        <f t="shared" si="229"/>
        <v>4.2162162162162167</v>
      </c>
      <c r="AA216" s="792">
        <f t="shared" si="229"/>
        <v>4.2162162162162167</v>
      </c>
      <c r="AB216" s="18" t="s">
        <v>425</v>
      </c>
      <c r="AC216" s="13" t="s">
        <v>2964</v>
      </c>
      <c r="AD216" s="13" t="s">
        <v>2965</v>
      </c>
      <c r="AE216" s="12">
        <v>3.8102374934982654E-3</v>
      </c>
      <c r="AF216" s="12">
        <v>0.20470422547079484</v>
      </c>
      <c r="AG216" s="12">
        <v>1.210810810810811E-4</v>
      </c>
      <c r="AH216" s="12">
        <v>1.0002400855855065E-3</v>
      </c>
    </row>
    <row r="217" spans="1:34" ht="12.75">
      <c r="A217" s="14" t="s">
        <v>3325</v>
      </c>
      <c r="B217" s="24" t="s">
        <v>2555</v>
      </c>
      <c r="C217" s="14" t="s">
        <v>2571</v>
      </c>
      <c r="D217" s="14" t="s">
        <v>2911</v>
      </c>
      <c r="E217" s="14" t="s">
        <v>3326</v>
      </c>
      <c r="F217" s="13">
        <v>188.66</v>
      </c>
      <c r="G217" s="14" t="s">
        <v>3164</v>
      </c>
      <c r="H217" s="13">
        <v>14242</v>
      </c>
      <c r="I217" s="135" t="s">
        <v>3335</v>
      </c>
      <c r="J217" s="135" t="s">
        <v>3336</v>
      </c>
      <c r="K217" s="475">
        <v>0.1</v>
      </c>
      <c r="L217" s="476">
        <v>18.8</v>
      </c>
      <c r="M217" s="492" t="s">
        <v>3337</v>
      </c>
      <c r="N217" s="492"/>
      <c r="O217" s="494"/>
      <c r="P217" s="135" t="s">
        <v>3338</v>
      </c>
      <c r="Q217" s="495" t="s">
        <v>3339</v>
      </c>
      <c r="R217" s="135">
        <v>100</v>
      </c>
      <c r="S217" s="135">
        <f t="shared" si="210"/>
        <v>18.8</v>
      </c>
      <c r="T217" s="476">
        <f t="shared" ref="T217:T222" si="230">R217</f>
        <v>100</v>
      </c>
      <c r="U217" s="135">
        <f t="shared" ref="U217:U219" si="231">T217*100/T217</f>
        <v>100</v>
      </c>
      <c r="V217" s="476">
        <f t="shared" ref="V217:V222" si="232">U217</f>
        <v>100</v>
      </c>
      <c r="W217" s="135" t="s">
        <v>3336</v>
      </c>
      <c r="X217" s="14">
        <f t="shared" si="206"/>
        <v>10</v>
      </c>
      <c r="Y217" s="220" t="s">
        <v>1666</v>
      </c>
      <c r="Z217" s="220">
        <f t="shared" ref="Z217:Z219" si="233">X217</f>
        <v>10</v>
      </c>
      <c r="AA217" s="792">
        <f t="shared" ref="AA217:AA219" si="234">Z217</f>
        <v>10</v>
      </c>
      <c r="AB217" s="18" t="s">
        <v>2572</v>
      </c>
      <c r="AC217" s="13" t="s">
        <v>3340</v>
      </c>
      <c r="AD217" s="13" t="s">
        <v>3341</v>
      </c>
      <c r="AE217" s="12">
        <v>3.7044615384615384E-3</v>
      </c>
      <c r="AF217" s="12">
        <v>0.11525538461538461</v>
      </c>
      <c r="AG217" s="12">
        <v>1.3846153846153847E-5</v>
      </c>
      <c r="AH217" s="12">
        <v>1.3566892307692306E-4</v>
      </c>
    </row>
    <row r="218" spans="1:34" ht="12.75">
      <c r="A218" s="14" t="s">
        <v>3325</v>
      </c>
      <c r="B218" s="24" t="s">
        <v>2555</v>
      </c>
      <c r="C218" s="14" t="s">
        <v>2571</v>
      </c>
      <c r="D218" s="14" t="s">
        <v>2911</v>
      </c>
      <c r="E218" s="14" t="s">
        <v>3326</v>
      </c>
      <c r="F218" s="13">
        <v>188.66</v>
      </c>
      <c r="G218" s="14" t="s">
        <v>3164</v>
      </c>
      <c r="H218" s="13">
        <v>14242</v>
      </c>
      <c r="I218" s="135" t="s">
        <v>3342</v>
      </c>
      <c r="J218" s="135" t="s">
        <v>3343</v>
      </c>
      <c r="K218" s="475">
        <v>0.25</v>
      </c>
      <c r="L218" s="476">
        <v>46.75</v>
      </c>
      <c r="M218" s="492" t="s">
        <v>3344</v>
      </c>
      <c r="N218" s="492"/>
      <c r="O218" s="494"/>
      <c r="P218" s="135" t="s">
        <v>989</v>
      </c>
      <c r="Q218" s="135" t="s">
        <v>3230</v>
      </c>
      <c r="R218" s="135">
        <v>100</v>
      </c>
      <c r="S218" s="135">
        <f t="shared" si="210"/>
        <v>46.75</v>
      </c>
      <c r="T218" s="476">
        <f t="shared" si="230"/>
        <v>100</v>
      </c>
      <c r="U218" s="135">
        <f t="shared" si="231"/>
        <v>100</v>
      </c>
      <c r="V218" s="476">
        <f t="shared" si="232"/>
        <v>100</v>
      </c>
      <c r="W218" s="135" t="s">
        <v>3343</v>
      </c>
      <c r="X218" s="14">
        <f t="shared" si="206"/>
        <v>25</v>
      </c>
      <c r="Y218" s="220" t="s">
        <v>1666</v>
      </c>
      <c r="Z218" s="220">
        <f t="shared" si="233"/>
        <v>25</v>
      </c>
      <c r="AA218" s="792">
        <f t="shared" si="234"/>
        <v>25</v>
      </c>
      <c r="AB218" s="18" t="s">
        <v>2573</v>
      </c>
      <c r="AC218" s="13" t="s">
        <v>3345</v>
      </c>
      <c r="AD218" s="13" t="s">
        <v>3346</v>
      </c>
      <c r="AE218" s="12">
        <v>1.2649297968236144E-3</v>
      </c>
      <c r="AF218" s="12">
        <v>6.2511974168971618E-3</v>
      </c>
      <c r="AG218" s="12">
        <v>1.1767982990863112E-4</v>
      </c>
      <c r="AH218" s="12">
        <v>4.4131428444507676E-4</v>
      </c>
    </row>
    <row r="219" spans="1:34" ht="12.75">
      <c r="A219" s="617" t="s">
        <v>3325</v>
      </c>
      <c r="B219" s="794" t="s">
        <v>2555</v>
      </c>
      <c r="C219" s="617" t="s">
        <v>2571</v>
      </c>
      <c r="D219" s="617" t="s">
        <v>2911</v>
      </c>
      <c r="E219" s="617" t="s">
        <v>3326</v>
      </c>
      <c r="F219" s="799">
        <v>188.66</v>
      </c>
      <c r="G219" s="617" t="s">
        <v>3164</v>
      </c>
      <c r="H219" s="799">
        <v>14242</v>
      </c>
      <c r="I219" s="849" t="s">
        <v>3347</v>
      </c>
      <c r="J219" s="617" t="s">
        <v>726</v>
      </c>
      <c r="K219" s="838">
        <v>0.13</v>
      </c>
      <c r="L219" s="725">
        <v>24.31</v>
      </c>
      <c r="M219" s="850" t="s">
        <v>3348</v>
      </c>
      <c r="N219" s="850"/>
      <c r="O219" s="850" t="s">
        <v>3349</v>
      </c>
      <c r="P219" s="617" t="s">
        <v>3350</v>
      </c>
      <c r="Q219" s="856" t="s">
        <v>3351</v>
      </c>
      <c r="R219" s="617">
        <v>100</v>
      </c>
      <c r="S219" s="617">
        <f t="shared" si="210"/>
        <v>24.31</v>
      </c>
      <c r="T219" s="725">
        <f t="shared" si="230"/>
        <v>100</v>
      </c>
      <c r="U219" s="617">
        <f t="shared" si="231"/>
        <v>100</v>
      </c>
      <c r="V219" s="725">
        <f t="shared" si="232"/>
        <v>100</v>
      </c>
      <c r="W219" s="617" t="s">
        <v>726</v>
      </c>
      <c r="X219" s="617">
        <f t="shared" si="206"/>
        <v>13</v>
      </c>
      <c r="Y219" s="220" t="s">
        <v>1666</v>
      </c>
      <c r="Z219" s="725">
        <f t="shared" si="233"/>
        <v>13</v>
      </c>
      <c r="AA219" s="455">
        <f t="shared" si="234"/>
        <v>13</v>
      </c>
      <c r="AB219" s="793" t="s">
        <v>53</v>
      </c>
      <c r="AC219" s="799" t="s">
        <v>18</v>
      </c>
      <c r="AD219" s="799" t="s">
        <v>18</v>
      </c>
      <c r="AE219" s="635">
        <v>2.5104287393882085E-3</v>
      </c>
      <c r="AF219" s="635">
        <v>0.12077642340358601</v>
      </c>
      <c r="AG219" s="635">
        <v>1.1761358644033755E-3</v>
      </c>
      <c r="AH219" s="635">
        <v>1.1442664359861592E-3</v>
      </c>
    </row>
    <row r="220" spans="1:34" ht="12.75">
      <c r="A220" s="753" t="s">
        <v>3352</v>
      </c>
      <c r="B220" s="805" t="s">
        <v>2555</v>
      </c>
      <c r="C220" s="753" t="s">
        <v>2574</v>
      </c>
      <c r="D220" s="753" t="s">
        <v>2911</v>
      </c>
      <c r="E220" s="753" t="s">
        <v>3097</v>
      </c>
      <c r="F220" s="805">
        <v>76</v>
      </c>
      <c r="G220" s="753" t="s">
        <v>3195</v>
      </c>
      <c r="H220" s="805">
        <v>9316</v>
      </c>
      <c r="I220" s="753" t="s">
        <v>3097</v>
      </c>
      <c r="J220" s="753" t="s">
        <v>3353</v>
      </c>
      <c r="K220" s="864">
        <v>1</v>
      </c>
      <c r="L220" s="865">
        <v>76</v>
      </c>
      <c r="M220" s="866" t="s">
        <v>3354</v>
      </c>
      <c r="N220" s="866"/>
      <c r="O220" s="867"/>
      <c r="P220" s="753" t="s">
        <v>3097</v>
      </c>
      <c r="Q220" s="753" t="s">
        <v>3098</v>
      </c>
      <c r="R220" s="753">
        <v>100</v>
      </c>
      <c r="S220" s="753">
        <f t="shared" si="210"/>
        <v>76</v>
      </c>
      <c r="T220" s="725">
        <f t="shared" si="230"/>
        <v>100</v>
      </c>
      <c r="U220" s="617">
        <f t="shared" ref="U220:U229" si="235">R220*100/T220</f>
        <v>100</v>
      </c>
      <c r="V220" s="865">
        <f t="shared" si="232"/>
        <v>100</v>
      </c>
      <c r="W220" s="753" t="s">
        <v>3353</v>
      </c>
      <c r="X220" s="617">
        <f t="shared" ref="X220:X221" si="236">V220</f>
        <v>100</v>
      </c>
      <c r="Y220" s="865">
        <f t="shared" ref="Y220:AA220" si="237">X220</f>
        <v>100</v>
      </c>
      <c r="Z220" s="865">
        <f t="shared" si="237"/>
        <v>100</v>
      </c>
      <c r="AA220" s="455">
        <f t="shared" si="237"/>
        <v>100</v>
      </c>
      <c r="AB220" s="806" t="s">
        <v>2575</v>
      </c>
      <c r="AC220" s="13" t="s">
        <v>3097</v>
      </c>
      <c r="AD220" s="13" t="s">
        <v>3099</v>
      </c>
      <c r="AE220" s="635">
        <v>4.18475450981867E-4</v>
      </c>
      <c r="AF220" s="635">
        <v>8.6483234472969298E-3</v>
      </c>
      <c r="AG220" s="635">
        <v>1.2528735632183908E-4</v>
      </c>
      <c r="AH220" s="635">
        <v>3.0408612692190031E-4</v>
      </c>
    </row>
    <row r="221" spans="1:34" ht="12.75">
      <c r="A221" s="753" t="s">
        <v>3355</v>
      </c>
      <c r="B221" s="805" t="s">
        <v>2555</v>
      </c>
      <c r="C221" s="753" t="s">
        <v>2576</v>
      </c>
      <c r="D221" s="753" t="s">
        <v>2911</v>
      </c>
      <c r="E221" s="753" t="s">
        <v>3184</v>
      </c>
      <c r="F221" s="805">
        <v>74</v>
      </c>
      <c r="G221" s="753" t="s">
        <v>3195</v>
      </c>
      <c r="H221" s="805">
        <v>9050</v>
      </c>
      <c r="I221" s="753" t="s">
        <v>3184</v>
      </c>
      <c r="J221" s="753" t="s">
        <v>942</v>
      </c>
      <c r="K221" s="864">
        <v>1</v>
      </c>
      <c r="L221" s="865">
        <v>74</v>
      </c>
      <c r="M221" s="866" t="s">
        <v>3356</v>
      </c>
      <c r="N221" s="866"/>
      <c r="O221" s="867"/>
      <c r="P221" s="753" t="s">
        <v>3184</v>
      </c>
      <c r="Q221" s="753" t="s">
        <v>3185</v>
      </c>
      <c r="R221" s="753">
        <v>100</v>
      </c>
      <c r="S221" s="753">
        <f t="shared" si="210"/>
        <v>74</v>
      </c>
      <c r="T221" s="725">
        <f t="shared" si="230"/>
        <v>100</v>
      </c>
      <c r="U221" s="617">
        <f t="shared" si="235"/>
        <v>100</v>
      </c>
      <c r="V221" s="865">
        <f t="shared" si="232"/>
        <v>100</v>
      </c>
      <c r="W221" s="753" t="s">
        <v>942</v>
      </c>
      <c r="X221" s="617">
        <f t="shared" si="236"/>
        <v>100</v>
      </c>
      <c r="Y221" s="865">
        <f t="shared" ref="Y221:AA221" si="238">X221</f>
        <v>100</v>
      </c>
      <c r="Z221" s="865">
        <f t="shared" si="238"/>
        <v>100</v>
      </c>
      <c r="AA221" s="455">
        <f t="shared" si="238"/>
        <v>100</v>
      </c>
      <c r="AB221" s="806" t="s">
        <v>2577</v>
      </c>
      <c r="AC221" s="805" t="s">
        <v>3186</v>
      </c>
      <c r="AD221" s="805" t="s">
        <v>3187</v>
      </c>
      <c r="AE221" s="635">
        <v>2.0907198096371199E-3</v>
      </c>
      <c r="AF221" s="635">
        <v>1.7024640721375099E-2</v>
      </c>
      <c r="AG221" s="635">
        <v>3.6304347826086956E-4</v>
      </c>
      <c r="AH221" s="635">
        <v>9.106057387715603E-4</v>
      </c>
    </row>
    <row r="222" spans="1:34" ht="12.75">
      <c r="A222" s="14" t="s">
        <v>3357</v>
      </c>
      <c r="B222" s="13" t="s">
        <v>2555</v>
      </c>
      <c r="C222" s="14" t="s">
        <v>2578</v>
      </c>
      <c r="D222" s="14" t="s">
        <v>2911</v>
      </c>
      <c r="E222" s="14" t="s">
        <v>184</v>
      </c>
      <c r="F222" s="13">
        <v>116.5</v>
      </c>
      <c r="G222" s="14" t="s">
        <v>3358</v>
      </c>
      <c r="H222" s="13" t="s">
        <v>2973</v>
      </c>
      <c r="I222" s="135" t="s">
        <v>2535</v>
      </c>
      <c r="J222" s="135" t="s">
        <v>3090</v>
      </c>
      <c r="K222" s="475">
        <v>0.37</v>
      </c>
      <c r="L222" s="476">
        <v>55.5</v>
      </c>
      <c r="M222" s="492" t="s">
        <v>3091</v>
      </c>
      <c r="N222" s="492"/>
      <c r="O222" s="494"/>
      <c r="P222" s="135" t="s">
        <v>2535</v>
      </c>
      <c r="Q222" s="135" t="s">
        <v>3092</v>
      </c>
      <c r="R222" s="135">
        <v>100</v>
      </c>
      <c r="S222" s="135">
        <f t="shared" si="210"/>
        <v>55.5</v>
      </c>
      <c r="T222" s="476">
        <f t="shared" si="230"/>
        <v>100</v>
      </c>
      <c r="U222" s="135">
        <f t="shared" si="235"/>
        <v>100</v>
      </c>
      <c r="V222" s="476">
        <f t="shared" si="232"/>
        <v>100</v>
      </c>
      <c r="W222" s="135" t="s">
        <v>3090</v>
      </c>
      <c r="X222" s="615">
        <f t="shared" ref="X222:X231" si="239">V222*K222</f>
        <v>37</v>
      </c>
      <c r="Y222" s="220">
        <f>SUM(X222,X223,X227,X228,X229)</f>
        <v>99.13513513513513</v>
      </c>
      <c r="Z222" s="220">
        <f>SUM(X222,X223,X227)</f>
        <v>54.635135135135137</v>
      </c>
      <c r="AA222" s="792">
        <f t="shared" ref="AA222:AA224" si="240">Z222</f>
        <v>54.635135135135137</v>
      </c>
      <c r="AB222" s="18" t="s">
        <v>184</v>
      </c>
      <c r="AC222" s="13" t="s">
        <v>2535</v>
      </c>
      <c r="AD222" s="13" t="s">
        <v>3093</v>
      </c>
      <c r="AE222" s="12">
        <v>1.1328228175540001E-3</v>
      </c>
      <c r="AF222" s="12">
        <v>1.1196667334361301E-2</v>
      </c>
      <c r="AG222" s="12">
        <v>2.4736842105263154E-4</v>
      </c>
      <c r="AH222" s="12">
        <v>2.2046244201837776E-4</v>
      </c>
    </row>
    <row r="223" spans="1:34" ht="12.75">
      <c r="A223" s="14" t="s">
        <v>3357</v>
      </c>
      <c r="B223" s="24" t="s">
        <v>2555</v>
      </c>
      <c r="C223" s="14" t="s">
        <v>2578</v>
      </c>
      <c r="D223" s="14" t="s">
        <v>2911</v>
      </c>
      <c r="E223" s="14" t="s">
        <v>184</v>
      </c>
      <c r="F223" s="13">
        <v>116.5</v>
      </c>
      <c r="G223" s="14" t="s">
        <v>3358</v>
      </c>
      <c r="H223" s="13" t="s">
        <v>2973</v>
      </c>
      <c r="I223" s="655" t="s">
        <v>3359</v>
      </c>
      <c r="J223" s="14" t="s">
        <v>3360</v>
      </c>
      <c r="K223" s="478">
        <v>0.04</v>
      </c>
      <c r="L223" s="220">
        <v>5.24</v>
      </c>
      <c r="M223" s="473" t="s">
        <v>3361</v>
      </c>
      <c r="N223" s="473"/>
      <c r="O223" s="473" t="s">
        <v>3362</v>
      </c>
      <c r="P223" s="14" t="s">
        <v>2535</v>
      </c>
      <c r="Q223" s="14" t="s">
        <v>3092</v>
      </c>
      <c r="R223" s="14">
        <v>58</v>
      </c>
      <c r="S223" s="14">
        <f t="shared" si="210"/>
        <v>3.0392000000000001</v>
      </c>
      <c r="T223" s="487">
        <f>SUM(R223:R226)</f>
        <v>99</v>
      </c>
      <c r="U223" s="14">
        <f t="shared" si="235"/>
        <v>58.585858585858588</v>
      </c>
      <c r="V223" s="220">
        <f>U223*100/SUM(U225:U226,U223)</f>
        <v>78.378378378378386</v>
      </c>
      <c r="W223" s="14" t="s">
        <v>2535</v>
      </c>
      <c r="X223" s="14">
        <f t="shared" si="239"/>
        <v>3.1351351351351355</v>
      </c>
      <c r="Y223" s="220" t="s">
        <v>1666</v>
      </c>
      <c r="Z223" s="220" t="s">
        <v>1666</v>
      </c>
      <c r="AA223" s="792" t="str">
        <f t="shared" si="240"/>
        <v>*</v>
      </c>
      <c r="AB223" s="458" t="str">
        <f t="shared" ref="AB223:AH223" si="241">AA223</f>
        <v>*</v>
      </c>
      <c r="AC223" s="497" t="str">
        <f t="shared" si="241"/>
        <v>*</v>
      </c>
      <c r="AD223" s="497" t="str">
        <f t="shared" si="241"/>
        <v>*</v>
      </c>
      <c r="AE223" s="454" t="str">
        <f t="shared" si="241"/>
        <v>*</v>
      </c>
      <c r="AF223" s="454" t="str">
        <f t="shared" si="241"/>
        <v>*</v>
      </c>
      <c r="AG223" s="454" t="str">
        <f t="shared" si="241"/>
        <v>*</v>
      </c>
      <c r="AH223" s="454" t="str">
        <f t="shared" si="241"/>
        <v>*</v>
      </c>
    </row>
    <row r="224" spans="1:34" ht="12.75">
      <c r="A224" s="14" t="s">
        <v>3357</v>
      </c>
      <c r="B224" s="24" t="s">
        <v>2555</v>
      </c>
      <c r="C224" s="14" t="s">
        <v>2578</v>
      </c>
      <c r="D224" s="14" t="s">
        <v>2911</v>
      </c>
      <c r="E224" s="14" t="s">
        <v>184</v>
      </c>
      <c r="F224" s="13">
        <v>116.5</v>
      </c>
      <c r="G224" s="14" t="s">
        <v>3358</v>
      </c>
      <c r="H224" s="13" t="s">
        <v>2973</v>
      </c>
      <c r="I224" s="655" t="s">
        <v>3359</v>
      </c>
      <c r="J224" s="14" t="s">
        <v>3360</v>
      </c>
      <c r="K224" s="478">
        <v>0.04</v>
      </c>
      <c r="L224" s="220">
        <v>5.24</v>
      </c>
      <c r="M224" s="473" t="s">
        <v>3361</v>
      </c>
      <c r="N224" s="473"/>
      <c r="O224" s="473" t="s">
        <v>3362</v>
      </c>
      <c r="P224" s="14" t="s">
        <v>2938</v>
      </c>
      <c r="Q224" s="10" t="s">
        <v>2939</v>
      </c>
      <c r="R224" s="14">
        <v>25</v>
      </c>
      <c r="S224" s="14">
        <f t="shared" si="210"/>
        <v>1.31</v>
      </c>
      <c r="T224" s="487">
        <f>SUM(R223:R226)</f>
        <v>99</v>
      </c>
      <c r="U224" s="14">
        <f t="shared" si="235"/>
        <v>25.252525252525253</v>
      </c>
      <c r="V224" s="470">
        <f>U224</f>
        <v>25.252525252525253</v>
      </c>
      <c r="W224" s="515" t="s">
        <v>72</v>
      </c>
      <c r="X224" s="515">
        <f t="shared" si="239"/>
        <v>1.0101010101010102</v>
      </c>
      <c r="Y224" s="516">
        <f t="shared" ref="Y224:Y226" si="242">X224</f>
        <v>1.0101010101010102</v>
      </c>
      <c r="Z224" s="481">
        <f>X224</f>
        <v>1.0101010101010102</v>
      </c>
      <c r="AA224" s="796">
        <f t="shared" si="240"/>
        <v>1.0101010101010102</v>
      </c>
      <c r="AB224" s="456" t="s">
        <v>72</v>
      </c>
      <c r="AC224" s="469" t="s">
        <v>2938</v>
      </c>
      <c r="AD224" s="469" t="s">
        <v>2940</v>
      </c>
      <c r="AE224" s="457">
        <v>0</v>
      </c>
      <c r="AF224" s="457">
        <v>0</v>
      </c>
      <c r="AG224" s="457">
        <v>0</v>
      </c>
      <c r="AH224" s="457">
        <v>0</v>
      </c>
    </row>
    <row r="225" spans="1:34" ht="12.75">
      <c r="A225" s="14" t="s">
        <v>3357</v>
      </c>
      <c r="B225" s="24" t="s">
        <v>2555</v>
      </c>
      <c r="C225" s="14" t="s">
        <v>2578</v>
      </c>
      <c r="D225" s="14" t="s">
        <v>2911</v>
      </c>
      <c r="E225" s="14" t="s">
        <v>184</v>
      </c>
      <c r="F225" s="13">
        <v>116.5</v>
      </c>
      <c r="G225" s="14" t="s">
        <v>3358</v>
      </c>
      <c r="H225" s="13" t="s">
        <v>2973</v>
      </c>
      <c r="I225" s="655" t="s">
        <v>3359</v>
      </c>
      <c r="J225" s="14" t="s">
        <v>3360</v>
      </c>
      <c r="K225" s="478">
        <v>0.04</v>
      </c>
      <c r="L225" s="220">
        <v>5.24</v>
      </c>
      <c r="M225" s="473" t="s">
        <v>3361</v>
      </c>
      <c r="N225" s="473"/>
      <c r="O225" s="473" t="s">
        <v>3362</v>
      </c>
      <c r="P225" s="14" t="s">
        <v>2962</v>
      </c>
      <c r="Q225" s="10" t="s">
        <v>2963</v>
      </c>
      <c r="R225" s="14">
        <v>10</v>
      </c>
      <c r="S225" s="14">
        <f t="shared" si="210"/>
        <v>0.52400000000000002</v>
      </c>
      <c r="T225" s="487">
        <f>SUM(R223:R226)</f>
        <v>99</v>
      </c>
      <c r="U225" s="14">
        <f t="shared" si="235"/>
        <v>10.1010101010101</v>
      </c>
      <c r="V225" s="220">
        <f>U225*100/SUM(U225:U226,U223)</f>
        <v>13.513513513513514</v>
      </c>
      <c r="W225" s="14" t="s">
        <v>425</v>
      </c>
      <c r="X225" s="14">
        <f t="shared" si="239"/>
        <v>0.54054054054054057</v>
      </c>
      <c r="Y225" s="499">
        <f t="shared" si="242"/>
        <v>0.54054054054054057</v>
      </c>
      <c r="Z225" s="220">
        <f t="shared" ref="Z225:AA225" si="243">Y225</f>
        <v>0.54054054054054057</v>
      </c>
      <c r="AA225" s="792">
        <f t="shared" si="243"/>
        <v>0.54054054054054057</v>
      </c>
      <c r="AB225" s="18" t="s">
        <v>425</v>
      </c>
      <c r="AC225" s="13" t="s">
        <v>2964</v>
      </c>
      <c r="AD225" s="13" t="s">
        <v>2965</v>
      </c>
      <c r="AE225" s="12">
        <v>3.8102374934982654E-3</v>
      </c>
      <c r="AF225" s="12">
        <v>0.20470422547079484</v>
      </c>
      <c r="AG225" s="12">
        <v>1.210810810810811E-4</v>
      </c>
      <c r="AH225" s="12">
        <v>1.0002400855855065E-3</v>
      </c>
    </row>
    <row r="226" spans="1:34" ht="12.75">
      <c r="A226" s="14" t="s">
        <v>3357</v>
      </c>
      <c r="B226" s="24" t="s">
        <v>2555</v>
      </c>
      <c r="C226" s="14" t="s">
        <v>2578</v>
      </c>
      <c r="D226" s="14" t="s">
        <v>2911</v>
      </c>
      <c r="E226" s="14" t="s">
        <v>184</v>
      </c>
      <c r="F226" s="13">
        <v>116.5</v>
      </c>
      <c r="G226" s="14" t="s">
        <v>3358</v>
      </c>
      <c r="H226" s="13" t="s">
        <v>2973</v>
      </c>
      <c r="I226" s="848" t="s">
        <v>3359</v>
      </c>
      <c r="J226" s="135" t="s">
        <v>3360</v>
      </c>
      <c r="K226" s="475">
        <v>0.04</v>
      </c>
      <c r="L226" s="476">
        <v>5.24</v>
      </c>
      <c r="M226" s="492" t="s">
        <v>3361</v>
      </c>
      <c r="N226" s="492"/>
      <c r="O226" s="492" t="s">
        <v>3362</v>
      </c>
      <c r="P226" s="135" t="s">
        <v>2945</v>
      </c>
      <c r="Q226" s="135" t="s">
        <v>2946</v>
      </c>
      <c r="R226" s="135">
        <v>6</v>
      </c>
      <c r="S226" s="135">
        <f t="shared" si="210"/>
        <v>0.31440000000000001</v>
      </c>
      <c r="T226" s="854">
        <f>SUM(R223:R226)</f>
        <v>99</v>
      </c>
      <c r="U226" s="135">
        <f t="shared" si="235"/>
        <v>6.0606060606060606</v>
      </c>
      <c r="V226" s="476">
        <f>U226*100/SUM(U225:U226,U223)</f>
        <v>8.1081081081081088</v>
      </c>
      <c r="W226" s="135" t="s">
        <v>433</v>
      </c>
      <c r="X226" s="14">
        <f t="shared" si="239"/>
        <v>0.32432432432432434</v>
      </c>
      <c r="Y226" s="499">
        <f t="shared" si="242"/>
        <v>0.32432432432432434</v>
      </c>
      <c r="Z226" s="220">
        <f t="shared" ref="Z226:AA226" si="244">Y226</f>
        <v>0.32432432432432434</v>
      </c>
      <c r="AA226" s="792">
        <f t="shared" si="244"/>
        <v>0.32432432432432434</v>
      </c>
      <c r="AB226" s="18" t="s">
        <v>433</v>
      </c>
      <c r="AC226" s="13" t="s">
        <v>433</v>
      </c>
      <c r="AD226" s="13" t="s">
        <v>2947</v>
      </c>
      <c r="AE226" s="12">
        <v>3.0104466724907065E-4</v>
      </c>
      <c r="AF226" s="12">
        <v>1.2500000000000001E-2</v>
      </c>
      <c r="AG226" s="12">
        <v>5.1818181818181835E-4</v>
      </c>
      <c r="AH226" s="12">
        <v>4.0084080366977777E-4</v>
      </c>
    </row>
    <row r="227" spans="1:34" ht="12.75">
      <c r="A227" s="14" t="s">
        <v>3357</v>
      </c>
      <c r="B227" s="24" t="s">
        <v>2555</v>
      </c>
      <c r="C227" s="14" t="s">
        <v>2578</v>
      </c>
      <c r="D227" s="14" t="s">
        <v>2911</v>
      </c>
      <c r="E227" s="14" t="s">
        <v>184</v>
      </c>
      <c r="F227" s="13">
        <v>116.5</v>
      </c>
      <c r="G227" s="14" t="s">
        <v>3358</v>
      </c>
      <c r="H227" s="13" t="s">
        <v>2973</v>
      </c>
      <c r="I227" s="655" t="s">
        <v>3363</v>
      </c>
      <c r="J227" s="14" t="s">
        <v>3364</v>
      </c>
      <c r="K227" s="478">
        <v>0.28999999999999998</v>
      </c>
      <c r="L227" s="220">
        <v>35.96</v>
      </c>
      <c r="M227" s="473" t="s">
        <v>3365</v>
      </c>
      <c r="N227" s="473"/>
      <c r="O227" s="480"/>
      <c r="P227" s="14" t="s">
        <v>2535</v>
      </c>
      <c r="Q227" s="14" t="s">
        <v>3092</v>
      </c>
      <c r="R227" s="14">
        <v>50</v>
      </c>
      <c r="S227" s="14">
        <f t="shared" si="210"/>
        <v>17.98</v>
      </c>
      <c r="T227" s="220">
        <f>SUM(R227:R228)</f>
        <v>100</v>
      </c>
      <c r="U227" s="14">
        <f t="shared" si="235"/>
        <v>50</v>
      </c>
      <c r="V227" s="220">
        <f t="shared" ref="V227:V232" si="245">U227</f>
        <v>50</v>
      </c>
      <c r="W227" s="14" t="s">
        <v>184</v>
      </c>
      <c r="X227" s="14">
        <f t="shared" si="239"/>
        <v>14.499999999999998</v>
      </c>
      <c r="Y227" s="220" t="s">
        <v>1666</v>
      </c>
      <c r="Z227" s="220" t="s">
        <v>1666</v>
      </c>
      <c r="AA227" s="792" t="str">
        <f t="shared" ref="AA227:AH227" si="246">Z227</f>
        <v>*</v>
      </c>
      <c r="AB227" s="458" t="str">
        <f t="shared" si="246"/>
        <v>*</v>
      </c>
      <c r="AC227" s="497" t="str">
        <f t="shared" si="246"/>
        <v>*</v>
      </c>
      <c r="AD227" s="497" t="str">
        <f t="shared" si="246"/>
        <v>*</v>
      </c>
      <c r="AE227" s="454" t="str">
        <f t="shared" si="246"/>
        <v>*</v>
      </c>
      <c r="AF227" s="454" t="str">
        <f t="shared" si="246"/>
        <v>*</v>
      </c>
      <c r="AG227" s="454" t="str">
        <f t="shared" si="246"/>
        <v>*</v>
      </c>
      <c r="AH227" s="454" t="str">
        <f t="shared" si="246"/>
        <v>*</v>
      </c>
    </row>
    <row r="228" spans="1:34" ht="12.75">
      <c r="A228" s="14" t="s">
        <v>3357</v>
      </c>
      <c r="B228" s="24" t="s">
        <v>2555</v>
      </c>
      <c r="C228" s="14" t="s">
        <v>2578</v>
      </c>
      <c r="D228" s="14" t="s">
        <v>2911</v>
      </c>
      <c r="E228" s="14" t="s">
        <v>184</v>
      </c>
      <c r="F228" s="13">
        <v>116.5</v>
      </c>
      <c r="G228" s="14" t="s">
        <v>3358</v>
      </c>
      <c r="H228" s="13" t="s">
        <v>2973</v>
      </c>
      <c r="I228" s="848" t="s">
        <v>3363</v>
      </c>
      <c r="J228" s="135" t="s">
        <v>3364</v>
      </c>
      <c r="K228" s="475">
        <v>0.28999999999999998</v>
      </c>
      <c r="L228" s="476">
        <v>35.96</v>
      </c>
      <c r="M228" s="492" t="s">
        <v>3365</v>
      </c>
      <c r="N228" s="492"/>
      <c r="O228" s="494"/>
      <c r="P228" s="135" t="s">
        <v>3287</v>
      </c>
      <c r="Q228" s="135" t="s">
        <v>3291</v>
      </c>
      <c r="R228" s="135">
        <v>50</v>
      </c>
      <c r="S228" s="135">
        <f t="shared" si="210"/>
        <v>17.98</v>
      </c>
      <c r="T228" s="476">
        <f>SUM(R227:R228)</f>
        <v>100</v>
      </c>
      <c r="U228" s="135">
        <f t="shared" si="235"/>
        <v>50</v>
      </c>
      <c r="V228" s="476">
        <f t="shared" si="245"/>
        <v>50</v>
      </c>
      <c r="W228" s="135" t="s">
        <v>13</v>
      </c>
      <c r="X228" s="14">
        <f t="shared" si="239"/>
        <v>14.499999999999998</v>
      </c>
      <c r="Y228" s="220" t="s">
        <v>1666</v>
      </c>
      <c r="Z228" s="220">
        <f t="shared" ref="Z228:Z229" si="247">X228</f>
        <v>14.499999999999998</v>
      </c>
      <c r="AA228" s="792">
        <f t="shared" ref="AA228:AA229" si="248">Z228</f>
        <v>14.499999999999998</v>
      </c>
      <c r="AB228" s="18" t="s">
        <v>13</v>
      </c>
      <c r="AC228" s="13" t="s">
        <v>3293</v>
      </c>
      <c r="AD228" s="13" t="s">
        <v>3294</v>
      </c>
      <c r="AE228" s="12">
        <v>7.4013793103448278E-4</v>
      </c>
      <c r="AF228" s="12">
        <v>3.9903448275862069E-3</v>
      </c>
      <c r="AG228" s="12">
        <v>2.4137931034482759E-4</v>
      </c>
      <c r="AH228" s="12">
        <v>3.6010127048275863E-4</v>
      </c>
    </row>
    <row r="229" spans="1:34" ht="12.75">
      <c r="A229" s="617" t="s">
        <v>3357</v>
      </c>
      <c r="B229" s="794" t="s">
        <v>2555</v>
      </c>
      <c r="C229" s="617" t="s">
        <v>2578</v>
      </c>
      <c r="D229" s="617" t="s">
        <v>2911</v>
      </c>
      <c r="E229" s="617" t="s">
        <v>184</v>
      </c>
      <c r="F229" s="799">
        <v>116.5</v>
      </c>
      <c r="G229" s="617" t="s">
        <v>3358</v>
      </c>
      <c r="H229" s="799" t="s">
        <v>2973</v>
      </c>
      <c r="I229" s="617" t="s">
        <v>195</v>
      </c>
      <c r="J229" s="617" t="s">
        <v>3366</v>
      </c>
      <c r="K229" s="838">
        <v>0.3</v>
      </c>
      <c r="L229" s="725">
        <v>19.8</v>
      </c>
      <c r="M229" s="850" t="s">
        <v>3367</v>
      </c>
      <c r="N229" s="850"/>
      <c r="O229" s="842"/>
      <c r="P229" s="617" t="s">
        <v>195</v>
      </c>
      <c r="Q229" s="617" t="s">
        <v>3368</v>
      </c>
      <c r="R229" s="617">
        <v>100</v>
      </c>
      <c r="S229" s="617">
        <f t="shared" si="210"/>
        <v>19.8</v>
      </c>
      <c r="T229" s="725">
        <f>R229</f>
        <v>100</v>
      </c>
      <c r="U229" s="617">
        <f t="shared" si="235"/>
        <v>100</v>
      </c>
      <c r="V229" s="725">
        <f t="shared" si="245"/>
        <v>100</v>
      </c>
      <c r="W229" s="617" t="s">
        <v>3366</v>
      </c>
      <c r="X229" s="617">
        <f t="shared" si="239"/>
        <v>30</v>
      </c>
      <c r="Y229" s="725" t="s">
        <v>1666</v>
      </c>
      <c r="Z229" s="725">
        <f t="shared" si="247"/>
        <v>30</v>
      </c>
      <c r="AA229" s="455">
        <f t="shared" si="248"/>
        <v>30</v>
      </c>
      <c r="AB229" s="793" t="s">
        <v>195</v>
      </c>
      <c r="AC229" s="617" t="s">
        <v>3369</v>
      </c>
      <c r="AD229" s="617" t="s">
        <v>3370</v>
      </c>
      <c r="AE229" s="635">
        <v>5.0660244954948562E-4</v>
      </c>
      <c r="AF229" s="635">
        <v>6.8589256235041763E-3</v>
      </c>
      <c r="AG229" s="635">
        <v>2.2117647058823527E-4</v>
      </c>
      <c r="AH229" s="635">
        <v>2.5936757884515029E-4</v>
      </c>
    </row>
    <row r="230" spans="1:34" ht="12.75">
      <c r="A230" s="14" t="s">
        <v>3371</v>
      </c>
      <c r="B230" s="13" t="s">
        <v>2555</v>
      </c>
      <c r="C230" s="14" t="s">
        <v>2579</v>
      </c>
      <c r="D230" s="14" t="s">
        <v>2911</v>
      </c>
      <c r="E230" s="14" t="s">
        <v>157</v>
      </c>
      <c r="F230" s="13">
        <v>39.07</v>
      </c>
      <c r="G230" s="14" t="s">
        <v>3372</v>
      </c>
      <c r="H230" s="13">
        <v>9021</v>
      </c>
      <c r="I230" s="135" t="s">
        <v>3373</v>
      </c>
      <c r="J230" s="135" t="s">
        <v>3374</v>
      </c>
      <c r="K230" s="475">
        <v>0.8</v>
      </c>
      <c r="L230" s="476">
        <v>7.92</v>
      </c>
      <c r="M230" s="477">
        <v>9032</v>
      </c>
      <c r="N230" s="477"/>
      <c r="O230" s="476"/>
      <c r="P230" s="135" t="s">
        <v>3373</v>
      </c>
      <c r="Q230" s="135" t="s">
        <v>3375</v>
      </c>
      <c r="R230" s="135">
        <v>100</v>
      </c>
      <c r="S230" s="135">
        <f t="shared" si="210"/>
        <v>7.92</v>
      </c>
      <c r="T230" s="476">
        <f t="shared" ref="T230:T231" si="249">SUM(R230)</f>
        <v>100</v>
      </c>
      <c r="U230" s="135">
        <f t="shared" ref="U230:U232" si="250">R230</f>
        <v>100</v>
      </c>
      <c r="V230" s="476">
        <f t="shared" si="245"/>
        <v>100</v>
      </c>
      <c r="W230" s="135" t="s">
        <v>3374</v>
      </c>
      <c r="X230" s="14">
        <f t="shared" si="239"/>
        <v>80</v>
      </c>
      <c r="Y230" s="220">
        <f>SUM(X230:X231)</f>
        <v>100</v>
      </c>
      <c r="Z230" s="220">
        <f t="shared" ref="Z230:Z231" si="251">Y230</f>
        <v>100</v>
      </c>
      <c r="AA230" s="792">
        <v>80</v>
      </c>
      <c r="AB230" s="18" t="s">
        <v>154</v>
      </c>
      <c r="AC230" s="13" t="s">
        <v>3376</v>
      </c>
      <c r="AD230" s="13" t="s">
        <v>3377</v>
      </c>
      <c r="AE230" s="12">
        <v>7.1773844620122602E-3</v>
      </c>
      <c r="AF230" s="12">
        <v>6.7715737224996325E-2</v>
      </c>
      <c r="AG230" s="12">
        <v>2.6813386525249999E-3</v>
      </c>
      <c r="AH230" s="12">
        <v>1.1775586996833334E-3</v>
      </c>
    </row>
    <row r="231" spans="1:34" ht="12.75">
      <c r="A231" s="617" t="s">
        <v>3371</v>
      </c>
      <c r="B231" s="799" t="s">
        <v>2555</v>
      </c>
      <c r="C231" s="617" t="s">
        <v>2579</v>
      </c>
      <c r="D231" s="617" t="s">
        <v>2911</v>
      </c>
      <c r="E231" s="617" t="s">
        <v>157</v>
      </c>
      <c r="F231" s="799">
        <v>39.07</v>
      </c>
      <c r="G231" s="617" t="s">
        <v>3372</v>
      </c>
      <c r="H231" s="799">
        <v>9021</v>
      </c>
      <c r="I231" s="617" t="s">
        <v>157</v>
      </c>
      <c r="J231" s="617" t="s">
        <v>3378</v>
      </c>
      <c r="K231" s="838">
        <v>0.2</v>
      </c>
      <c r="L231" s="725">
        <v>31.15</v>
      </c>
      <c r="M231" s="850" t="s">
        <v>3379</v>
      </c>
      <c r="N231" s="850"/>
      <c r="O231" s="842"/>
      <c r="P231" s="617" t="s">
        <v>157</v>
      </c>
      <c r="Q231" s="617" t="s">
        <v>3380</v>
      </c>
      <c r="R231" s="617">
        <v>100</v>
      </c>
      <c r="S231" s="617">
        <f t="shared" si="210"/>
        <v>31.15</v>
      </c>
      <c r="T231" s="725">
        <f t="shared" si="249"/>
        <v>100</v>
      </c>
      <c r="U231" s="617">
        <f t="shared" si="250"/>
        <v>100</v>
      </c>
      <c r="V231" s="725">
        <f t="shared" si="245"/>
        <v>100</v>
      </c>
      <c r="W231" s="617" t="s">
        <v>3378</v>
      </c>
      <c r="X231" s="617">
        <f t="shared" si="239"/>
        <v>20</v>
      </c>
      <c r="Y231" s="725" t="s">
        <v>1666</v>
      </c>
      <c r="Z231" s="725" t="str">
        <f t="shared" si="251"/>
        <v>*</v>
      </c>
      <c r="AA231" s="455">
        <v>20</v>
      </c>
      <c r="AB231" s="793" t="s">
        <v>157</v>
      </c>
      <c r="AC231" s="799" t="s">
        <v>3381</v>
      </c>
      <c r="AD231" s="799" t="s">
        <v>3377</v>
      </c>
      <c r="AE231" s="635">
        <v>1.4295205567493299E-3</v>
      </c>
      <c r="AF231" s="635">
        <v>1.3486951812447402E-2</v>
      </c>
      <c r="AG231" s="635">
        <v>5.3404255319148934E-4</v>
      </c>
      <c r="AH231" s="635">
        <v>2.3453451278550826E-4</v>
      </c>
    </row>
    <row r="232" spans="1:34" ht="12.75">
      <c r="A232" s="753" t="s">
        <v>3382</v>
      </c>
      <c r="B232" s="805" t="s">
        <v>2580</v>
      </c>
      <c r="C232" s="753" t="s">
        <v>2581</v>
      </c>
      <c r="D232" s="753" t="s">
        <v>2911</v>
      </c>
      <c r="E232" s="753" t="s">
        <v>1780</v>
      </c>
      <c r="F232" s="805">
        <v>40</v>
      </c>
      <c r="G232" s="753" t="s">
        <v>3383</v>
      </c>
      <c r="H232" s="805">
        <v>11529</v>
      </c>
      <c r="I232" s="753" t="s">
        <v>1780</v>
      </c>
      <c r="J232" s="753" t="s">
        <v>3384</v>
      </c>
      <c r="K232" s="864">
        <v>1</v>
      </c>
      <c r="L232" s="865">
        <v>40</v>
      </c>
      <c r="M232" s="866" t="s">
        <v>3385</v>
      </c>
      <c r="N232" s="866"/>
      <c r="O232" s="867"/>
      <c r="P232" s="753" t="s">
        <v>1780</v>
      </c>
      <c r="Q232" s="753" t="s">
        <v>3386</v>
      </c>
      <c r="R232" s="753">
        <v>100</v>
      </c>
      <c r="S232" s="753">
        <f t="shared" si="210"/>
        <v>40</v>
      </c>
      <c r="T232" s="865">
        <f t="shared" ref="T232:T233" si="252">R232</f>
        <v>100</v>
      </c>
      <c r="U232" s="753">
        <f t="shared" si="250"/>
        <v>100</v>
      </c>
      <c r="V232" s="865">
        <f t="shared" si="245"/>
        <v>100</v>
      </c>
      <c r="W232" s="753" t="s">
        <v>3384</v>
      </c>
      <c r="X232" s="753">
        <f>V232</f>
        <v>100</v>
      </c>
      <c r="Y232" s="865">
        <f t="shared" ref="Y232:AA232" si="253">X232</f>
        <v>100</v>
      </c>
      <c r="Z232" s="865">
        <f t="shared" si="253"/>
        <v>100</v>
      </c>
      <c r="AA232" s="807">
        <f t="shared" si="253"/>
        <v>100</v>
      </c>
      <c r="AB232" s="806" t="s">
        <v>506</v>
      </c>
      <c r="AC232" s="799" t="s">
        <v>1780</v>
      </c>
      <c r="AD232" s="799" t="s">
        <v>1781</v>
      </c>
      <c r="AE232" s="635">
        <v>4.8057057617005398E-4</v>
      </c>
      <c r="AF232" s="635">
        <v>9.8776215197699697E-3</v>
      </c>
      <c r="AG232" s="635">
        <v>6.3E-5</v>
      </c>
      <c r="AH232" s="635">
        <v>2.4250819999999999E-4</v>
      </c>
    </row>
    <row r="233" spans="1:34" ht="12.75">
      <c r="A233" s="14" t="s">
        <v>3387</v>
      </c>
      <c r="B233" s="13" t="s">
        <v>2580</v>
      </c>
      <c r="C233" s="14" t="s">
        <v>2582</v>
      </c>
      <c r="D233" s="14" t="s">
        <v>2911</v>
      </c>
      <c r="E233" s="14" t="s">
        <v>3388</v>
      </c>
      <c r="F233" s="13">
        <v>182</v>
      </c>
      <c r="G233" s="14" t="s">
        <v>3164</v>
      </c>
      <c r="H233" s="13">
        <v>11540</v>
      </c>
      <c r="I233" s="135" t="s">
        <v>3388</v>
      </c>
      <c r="J233" s="135" t="s">
        <v>3389</v>
      </c>
      <c r="K233" s="475">
        <v>0.39</v>
      </c>
      <c r="L233" s="476">
        <v>70.98</v>
      </c>
      <c r="M233" s="492" t="s">
        <v>3390</v>
      </c>
      <c r="N233" s="492"/>
      <c r="O233" s="494"/>
      <c r="P233" s="135" t="s">
        <v>3388</v>
      </c>
      <c r="Q233" s="14" t="s">
        <v>3391</v>
      </c>
      <c r="R233" s="135">
        <v>100</v>
      </c>
      <c r="S233" s="135">
        <f t="shared" si="210"/>
        <v>70.98</v>
      </c>
      <c r="T233" s="476">
        <f t="shared" si="252"/>
        <v>100</v>
      </c>
      <c r="U233" s="135">
        <f t="shared" ref="U233:V233" si="254">T233</f>
        <v>100</v>
      </c>
      <c r="V233" s="476">
        <f t="shared" si="254"/>
        <v>100</v>
      </c>
      <c r="W233" s="135" t="s">
        <v>3389</v>
      </c>
      <c r="X233" s="14">
        <f t="shared" ref="X233:X242" si="255">V233*K233</f>
        <v>39</v>
      </c>
      <c r="Y233" s="220">
        <f>SUM(X233:X234)</f>
        <v>59.890410958904113</v>
      </c>
      <c r="Z233" s="220">
        <f t="shared" ref="Z233:AA233" si="256">Y233</f>
        <v>59.890410958904113</v>
      </c>
      <c r="AA233" s="792">
        <f t="shared" si="256"/>
        <v>59.890410958904113</v>
      </c>
      <c r="AB233" s="18" t="s">
        <v>70</v>
      </c>
      <c r="AC233" s="13" t="s">
        <v>3392</v>
      </c>
      <c r="AD233" s="13" t="s">
        <v>3393</v>
      </c>
      <c r="AE233" s="12">
        <v>7.1317551258113035E-4</v>
      </c>
      <c r="AF233" s="12">
        <v>1.4658570748517077E-2</v>
      </c>
      <c r="AG233" s="12">
        <v>9.34931506849315E-5</v>
      </c>
      <c r="AH233" s="12">
        <v>3.5988659817351594E-4</v>
      </c>
    </row>
    <row r="234" spans="1:34" ht="12.75">
      <c r="A234" s="14" t="s">
        <v>3387</v>
      </c>
      <c r="B234" s="24" t="s">
        <v>2580</v>
      </c>
      <c r="C234" s="14" t="s">
        <v>2582</v>
      </c>
      <c r="D234" s="14" t="s">
        <v>2911</v>
      </c>
      <c r="E234" s="14" t="s">
        <v>3388</v>
      </c>
      <c r="F234" s="13">
        <v>182</v>
      </c>
      <c r="G234" s="14" t="s">
        <v>3164</v>
      </c>
      <c r="H234" s="13">
        <v>11540</v>
      </c>
      <c r="I234" s="14" t="s">
        <v>3394</v>
      </c>
      <c r="J234" s="14" t="s">
        <v>3395</v>
      </c>
      <c r="K234" s="478">
        <v>0.61</v>
      </c>
      <c r="L234" s="220">
        <v>111.02</v>
      </c>
      <c r="M234" s="473" t="s">
        <v>3396</v>
      </c>
      <c r="N234" s="473"/>
      <c r="O234" s="480"/>
      <c r="P234" s="14" t="s">
        <v>3388</v>
      </c>
      <c r="Q234" s="162" t="s">
        <v>3391</v>
      </c>
      <c r="R234" s="14">
        <v>25</v>
      </c>
      <c r="S234" s="14">
        <f t="shared" si="210"/>
        <v>27.754999999999999</v>
      </c>
      <c r="T234" s="220">
        <f>SUM(R234:R242)</f>
        <v>98</v>
      </c>
      <c r="U234" s="14">
        <f t="shared" ref="U234:U263" si="257">R234*100/T234</f>
        <v>25.510204081632654</v>
      </c>
      <c r="V234" s="220">
        <f>U234*100/SUM(U234:U235,U237:U242)</f>
        <v>34.246575342465754</v>
      </c>
      <c r="W234" s="14" t="s">
        <v>3389</v>
      </c>
      <c r="X234" s="14">
        <f t="shared" si="255"/>
        <v>20.890410958904109</v>
      </c>
      <c r="Y234" s="220" t="s">
        <v>1666</v>
      </c>
      <c r="Z234" s="220" t="str">
        <f t="shared" ref="Z234:AH234" si="258">Y234</f>
        <v>*</v>
      </c>
      <c r="AA234" s="792" t="str">
        <f t="shared" si="258"/>
        <v>*</v>
      </c>
      <c r="AB234" s="458" t="str">
        <f t="shared" si="258"/>
        <v>*</v>
      </c>
      <c r="AC234" s="497" t="str">
        <f t="shared" si="258"/>
        <v>*</v>
      </c>
      <c r="AD234" s="497" t="str">
        <f t="shared" si="258"/>
        <v>*</v>
      </c>
      <c r="AE234" s="454" t="str">
        <f t="shared" si="258"/>
        <v>*</v>
      </c>
      <c r="AF234" s="454" t="str">
        <f t="shared" si="258"/>
        <v>*</v>
      </c>
      <c r="AG234" s="454" t="str">
        <f t="shared" si="258"/>
        <v>*</v>
      </c>
      <c r="AH234" s="454" t="str">
        <f t="shared" si="258"/>
        <v>*</v>
      </c>
    </row>
    <row r="235" spans="1:34" ht="12.75">
      <c r="A235" s="14" t="s">
        <v>3387</v>
      </c>
      <c r="B235" s="24" t="s">
        <v>2580</v>
      </c>
      <c r="C235" s="14" t="s">
        <v>2582</v>
      </c>
      <c r="D235" s="14" t="s">
        <v>2911</v>
      </c>
      <c r="E235" s="14" t="s">
        <v>3388</v>
      </c>
      <c r="F235" s="13">
        <v>182</v>
      </c>
      <c r="G235" s="14" t="s">
        <v>3164</v>
      </c>
      <c r="H235" s="13">
        <v>11540</v>
      </c>
      <c r="I235" s="14" t="s">
        <v>3394</v>
      </c>
      <c r="J235" s="14" t="s">
        <v>3395</v>
      </c>
      <c r="K235" s="478">
        <v>0.61</v>
      </c>
      <c r="L235" s="220">
        <v>111.02</v>
      </c>
      <c r="M235" s="473" t="s">
        <v>3396</v>
      </c>
      <c r="N235" s="473"/>
      <c r="O235" s="480"/>
      <c r="P235" s="14" t="s">
        <v>3397</v>
      </c>
      <c r="Q235" s="486" t="s">
        <v>3398</v>
      </c>
      <c r="R235" s="14">
        <v>25</v>
      </c>
      <c r="S235" s="14">
        <f t="shared" si="210"/>
        <v>27.754999999999999</v>
      </c>
      <c r="T235" s="220">
        <f>SUM(R234:R242)</f>
        <v>98</v>
      </c>
      <c r="U235" s="14">
        <f t="shared" si="257"/>
        <v>25.510204081632654</v>
      </c>
      <c r="V235" s="220">
        <f>U235*100/SUM(U234:U235,U237:U242)</f>
        <v>34.246575342465754</v>
      </c>
      <c r="W235" s="14" t="s">
        <v>22</v>
      </c>
      <c r="X235" s="14">
        <f t="shared" si="255"/>
        <v>20.890410958904109</v>
      </c>
      <c r="Y235" s="220">
        <f t="shared" ref="Y235:AA235" si="259">X235</f>
        <v>20.890410958904109</v>
      </c>
      <c r="Z235" s="220">
        <f t="shared" si="259"/>
        <v>20.890410958904109</v>
      </c>
      <c r="AA235" s="792">
        <f t="shared" si="259"/>
        <v>20.890410958904109</v>
      </c>
      <c r="AB235" s="18" t="s">
        <v>22</v>
      </c>
      <c r="AC235" s="14" t="s">
        <v>3399</v>
      </c>
      <c r="AD235" s="14" t="s">
        <v>3400</v>
      </c>
      <c r="AE235" s="12">
        <v>8.2470000000000004E-4</v>
      </c>
      <c r="AF235" s="12">
        <v>6.7374066666666659E-3</v>
      </c>
      <c r="AG235" s="12">
        <v>2.2764227642276422E-5</v>
      </c>
      <c r="AH235" s="12">
        <v>8.9618699186991881E-5</v>
      </c>
    </row>
    <row r="236" spans="1:34" ht="12.75">
      <c r="A236" s="14" t="s">
        <v>3387</v>
      </c>
      <c r="B236" s="24" t="s">
        <v>2580</v>
      </c>
      <c r="C236" s="14" t="s">
        <v>2582</v>
      </c>
      <c r="D236" s="14" t="s">
        <v>2911</v>
      </c>
      <c r="E236" s="14" t="s">
        <v>3388</v>
      </c>
      <c r="F236" s="13">
        <v>182</v>
      </c>
      <c r="G236" s="14" t="s">
        <v>3164</v>
      </c>
      <c r="H236" s="13">
        <v>11540</v>
      </c>
      <c r="I236" s="14" t="s">
        <v>3394</v>
      </c>
      <c r="J236" s="14" t="s">
        <v>3395</v>
      </c>
      <c r="K236" s="478">
        <v>0.61</v>
      </c>
      <c r="L236" s="220">
        <v>111.02</v>
      </c>
      <c r="M236" s="473" t="s">
        <v>3396</v>
      </c>
      <c r="N236" s="473"/>
      <c r="O236" s="480"/>
      <c r="P236" s="14" t="s">
        <v>2938</v>
      </c>
      <c r="Q236" s="435" t="s">
        <v>2939</v>
      </c>
      <c r="R236" s="14">
        <v>25</v>
      </c>
      <c r="S236" s="14">
        <f t="shared" si="210"/>
        <v>27.754999999999999</v>
      </c>
      <c r="T236" s="220">
        <f>SUM(R234:R242)</f>
        <v>98</v>
      </c>
      <c r="U236" s="14">
        <f t="shared" si="257"/>
        <v>25.510204081632654</v>
      </c>
      <c r="V236" s="481">
        <f>U236</f>
        <v>25.510204081632654</v>
      </c>
      <c r="W236" s="482" t="s">
        <v>72</v>
      </c>
      <c r="X236" s="482">
        <f t="shared" si="255"/>
        <v>15.561224489795919</v>
      </c>
      <c r="Y236" s="481">
        <f t="shared" ref="Y236:Z236" si="260">X236</f>
        <v>15.561224489795919</v>
      </c>
      <c r="Z236" s="481">
        <f t="shared" si="260"/>
        <v>15.561224489795919</v>
      </c>
      <c r="AA236" s="796">
        <f>Y236</f>
        <v>15.561224489795919</v>
      </c>
      <c r="AB236" s="456" t="s">
        <v>72</v>
      </c>
      <c r="AC236" s="469" t="s">
        <v>2938</v>
      </c>
      <c r="AD236" s="469" t="s">
        <v>2940</v>
      </c>
      <c r="AE236" s="457">
        <v>0</v>
      </c>
      <c r="AF236" s="457">
        <v>0</v>
      </c>
      <c r="AG236" s="457">
        <v>0</v>
      </c>
      <c r="AH236" s="457">
        <v>0</v>
      </c>
    </row>
    <row r="237" spans="1:34" ht="12.75">
      <c r="A237" s="14" t="s">
        <v>3387</v>
      </c>
      <c r="B237" s="24" t="s">
        <v>2580</v>
      </c>
      <c r="C237" s="14" t="s">
        <v>2582</v>
      </c>
      <c r="D237" s="14" t="s">
        <v>2911</v>
      </c>
      <c r="E237" s="14" t="s">
        <v>3388</v>
      </c>
      <c r="F237" s="13">
        <v>182</v>
      </c>
      <c r="G237" s="14" t="s">
        <v>3164</v>
      </c>
      <c r="H237" s="13">
        <v>11540</v>
      </c>
      <c r="I237" s="14" t="s">
        <v>3394</v>
      </c>
      <c r="J237" s="14" t="s">
        <v>3395</v>
      </c>
      <c r="K237" s="478">
        <v>0.61</v>
      </c>
      <c r="L237" s="220">
        <v>111.02</v>
      </c>
      <c r="M237" s="473" t="s">
        <v>3396</v>
      </c>
      <c r="N237" s="473"/>
      <c r="O237" s="480"/>
      <c r="P237" s="14" t="s">
        <v>459</v>
      </c>
      <c r="Q237" s="14" t="s">
        <v>3401</v>
      </c>
      <c r="R237" s="14">
        <v>5</v>
      </c>
      <c r="S237" s="14">
        <f t="shared" si="210"/>
        <v>5.5510000000000002</v>
      </c>
      <c r="T237" s="220">
        <f>SUM(R234:R242)</f>
        <v>98</v>
      </c>
      <c r="U237" s="14">
        <f t="shared" si="257"/>
        <v>5.1020408163265305</v>
      </c>
      <c r="V237" s="220">
        <f>U237*100/SUM(U234:U235,U237:U242)</f>
        <v>6.8493150684931505</v>
      </c>
      <c r="W237" s="14" t="s">
        <v>459</v>
      </c>
      <c r="X237" s="14">
        <f t="shared" si="255"/>
        <v>4.1780821917808213</v>
      </c>
      <c r="Y237" s="220">
        <f>SUM(X237:X242)</f>
        <v>19.219178082191778</v>
      </c>
      <c r="Z237" s="220">
        <f t="shared" ref="Z237:AA237" si="261">Y237</f>
        <v>19.219178082191778</v>
      </c>
      <c r="AA237" s="792">
        <f t="shared" si="261"/>
        <v>19.219178082191778</v>
      </c>
      <c r="AB237" s="18" t="s">
        <v>511</v>
      </c>
      <c r="AC237" s="13" t="s">
        <v>3402</v>
      </c>
      <c r="AD237" s="13" t="s">
        <v>3403</v>
      </c>
      <c r="AE237" s="12">
        <v>1.0614922294827143E-3</v>
      </c>
      <c r="AF237" s="12">
        <v>1.8872032768007998E-2</v>
      </c>
      <c r="AG237" s="12">
        <v>4.1669167635432442E-5</v>
      </c>
      <c r="AH237" s="12">
        <v>5.2098391964434997E-4</v>
      </c>
    </row>
    <row r="238" spans="1:34" ht="12.75">
      <c r="A238" s="14" t="s">
        <v>3387</v>
      </c>
      <c r="B238" s="24" t="s">
        <v>2580</v>
      </c>
      <c r="C238" s="14" t="s">
        <v>2582</v>
      </c>
      <c r="D238" s="14" t="s">
        <v>2911</v>
      </c>
      <c r="E238" s="14" t="s">
        <v>3388</v>
      </c>
      <c r="F238" s="13">
        <v>182</v>
      </c>
      <c r="G238" s="14" t="s">
        <v>3164</v>
      </c>
      <c r="H238" s="13">
        <v>11540</v>
      </c>
      <c r="I238" s="14" t="s">
        <v>3394</v>
      </c>
      <c r="J238" s="14" t="s">
        <v>3395</v>
      </c>
      <c r="K238" s="478">
        <v>0.61</v>
      </c>
      <c r="L238" s="220">
        <v>111.02</v>
      </c>
      <c r="M238" s="473" t="s">
        <v>3396</v>
      </c>
      <c r="N238" s="473"/>
      <c r="O238" s="480"/>
      <c r="P238" s="14" t="s">
        <v>3404</v>
      </c>
      <c r="Q238" s="486" t="s">
        <v>3405</v>
      </c>
      <c r="R238" s="14">
        <v>5</v>
      </c>
      <c r="S238" s="14">
        <f t="shared" si="210"/>
        <v>5.5510000000000002</v>
      </c>
      <c r="T238" s="220">
        <f>SUM(R234:R242)</f>
        <v>98</v>
      </c>
      <c r="U238" s="14">
        <f t="shared" si="257"/>
        <v>5.1020408163265305</v>
      </c>
      <c r="V238" s="220">
        <f>U238*100/SUM(U234:U235,U237:U242)</f>
        <v>6.8493150684931505</v>
      </c>
      <c r="W238" s="14" t="s">
        <v>3404</v>
      </c>
      <c r="X238" s="14">
        <f t="shared" si="255"/>
        <v>4.1780821917808213</v>
      </c>
      <c r="Y238" s="220" t="s">
        <v>1666</v>
      </c>
      <c r="Z238" s="220" t="str">
        <f t="shared" ref="Z238:AH238" si="262">Y238</f>
        <v>*</v>
      </c>
      <c r="AA238" s="792" t="str">
        <f t="shared" si="262"/>
        <v>*</v>
      </c>
      <c r="AB238" s="458" t="str">
        <f t="shared" si="262"/>
        <v>*</v>
      </c>
      <c r="AC238" s="497" t="str">
        <f t="shared" si="262"/>
        <v>*</v>
      </c>
      <c r="AD238" s="497" t="str">
        <f t="shared" si="262"/>
        <v>*</v>
      </c>
      <c r="AE238" s="454" t="str">
        <f t="shared" si="262"/>
        <v>*</v>
      </c>
      <c r="AF238" s="454" t="str">
        <f t="shared" si="262"/>
        <v>*</v>
      </c>
      <c r="AG238" s="454" t="str">
        <f t="shared" si="262"/>
        <v>*</v>
      </c>
      <c r="AH238" s="454" t="str">
        <f t="shared" si="262"/>
        <v>*</v>
      </c>
    </row>
    <row r="239" spans="1:34" ht="12.75">
      <c r="A239" s="14" t="s">
        <v>3387</v>
      </c>
      <c r="B239" s="24" t="s">
        <v>2580</v>
      </c>
      <c r="C239" s="14" t="s">
        <v>2582</v>
      </c>
      <c r="D239" s="14" t="s">
        <v>2911</v>
      </c>
      <c r="E239" s="14" t="s">
        <v>3388</v>
      </c>
      <c r="F239" s="13">
        <v>182</v>
      </c>
      <c r="G239" s="14" t="s">
        <v>3164</v>
      </c>
      <c r="H239" s="13">
        <v>11540</v>
      </c>
      <c r="I239" s="14" t="s">
        <v>3394</v>
      </c>
      <c r="J239" s="14" t="s">
        <v>3395</v>
      </c>
      <c r="K239" s="478">
        <v>0.61</v>
      </c>
      <c r="L239" s="220">
        <v>111.02</v>
      </c>
      <c r="M239" s="473" t="s">
        <v>3396</v>
      </c>
      <c r="N239" s="473"/>
      <c r="O239" s="480"/>
      <c r="P239" s="14" t="s">
        <v>3406</v>
      </c>
      <c r="Q239" s="14" t="s">
        <v>3407</v>
      </c>
      <c r="R239" s="14">
        <v>5</v>
      </c>
      <c r="S239" s="14">
        <f t="shared" si="210"/>
        <v>5.5510000000000002</v>
      </c>
      <c r="T239" s="220">
        <f>SUM(R234:R242)</f>
        <v>98</v>
      </c>
      <c r="U239" s="14">
        <f t="shared" si="257"/>
        <v>5.1020408163265305</v>
      </c>
      <c r="V239" s="220">
        <f>U239*100/SUM(U234:U235,U237:U242)</f>
        <v>6.8493150684931505</v>
      </c>
      <c r="W239" s="14" t="s">
        <v>3408</v>
      </c>
      <c r="X239" s="14">
        <f t="shared" si="255"/>
        <v>4.1780821917808213</v>
      </c>
      <c r="Y239" s="220" t="s">
        <v>1666</v>
      </c>
      <c r="Z239" s="220" t="str">
        <f t="shared" ref="Z239:AH239" si="263">Y239</f>
        <v>*</v>
      </c>
      <c r="AA239" s="792" t="str">
        <f t="shared" si="263"/>
        <v>*</v>
      </c>
      <c r="AB239" s="458" t="str">
        <f t="shared" si="263"/>
        <v>*</v>
      </c>
      <c r="AC239" s="497" t="str">
        <f t="shared" si="263"/>
        <v>*</v>
      </c>
      <c r="AD239" s="497" t="str">
        <f t="shared" si="263"/>
        <v>*</v>
      </c>
      <c r="AE239" s="454" t="str">
        <f t="shared" si="263"/>
        <v>*</v>
      </c>
      <c r="AF239" s="454" t="str">
        <f t="shared" si="263"/>
        <v>*</v>
      </c>
      <c r="AG239" s="454" t="str">
        <f t="shared" si="263"/>
        <v>*</v>
      </c>
      <c r="AH239" s="454" t="str">
        <f t="shared" si="263"/>
        <v>*</v>
      </c>
    </row>
    <row r="240" spans="1:34" ht="12.75">
      <c r="A240" s="14" t="s">
        <v>3387</v>
      </c>
      <c r="B240" s="24" t="s">
        <v>2580</v>
      </c>
      <c r="C240" s="14" t="s">
        <v>2582</v>
      </c>
      <c r="D240" s="14" t="s">
        <v>2911</v>
      </c>
      <c r="E240" s="14" t="s">
        <v>3388</v>
      </c>
      <c r="F240" s="13">
        <v>182</v>
      </c>
      <c r="G240" s="14" t="s">
        <v>3164</v>
      </c>
      <c r="H240" s="13">
        <v>11540</v>
      </c>
      <c r="I240" s="14" t="s">
        <v>3394</v>
      </c>
      <c r="J240" s="14" t="s">
        <v>3395</v>
      </c>
      <c r="K240" s="478">
        <v>0.61</v>
      </c>
      <c r="L240" s="220">
        <v>111.02</v>
      </c>
      <c r="M240" s="473" t="s">
        <v>3396</v>
      </c>
      <c r="N240" s="473"/>
      <c r="O240" s="480"/>
      <c r="P240" s="14" t="s">
        <v>3409</v>
      </c>
      <c r="Q240" s="486" t="s">
        <v>3410</v>
      </c>
      <c r="R240" s="14">
        <v>3</v>
      </c>
      <c r="S240" s="14">
        <f t="shared" si="210"/>
        <v>3.3305999999999996</v>
      </c>
      <c r="T240" s="220">
        <f>SUM(R234:R242)</f>
        <v>98</v>
      </c>
      <c r="U240" s="14">
        <f t="shared" si="257"/>
        <v>3.0612244897959182</v>
      </c>
      <c r="V240" s="220">
        <f>U240*100/SUM(U234:U235,U237:U242)</f>
        <v>4.10958904109589</v>
      </c>
      <c r="W240" s="14" t="s">
        <v>3409</v>
      </c>
      <c r="X240" s="14">
        <f t="shared" si="255"/>
        <v>2.506849315068493</v>
      </c>
      <c r="Y240" s="220" t="s">
        <v>1666</v>
      </c>
      <c r="Z240" s="220" t="str">
        <f t="shared" ref="Z240:AH240" si="264">Y240</f>
        <v>*</v>
      </c>
      <c r="AA240" s="792" t="str">
        <f t="shared" si="264"/>
        <v>*</v>
      </c>
      <c r="AB240" s="458" t="str">
        <f t="shared" si="264"/>
        <v>*</v>
      </c>
      <c r="AC240" s="497" t="str">
        <f t="shared" si="264"/>
        <v>*</v>
      </c>
      <c r="AD240" s="497" t="str">
        <f t="shared" si="264"/>
        <v>*</v>
      </c>
      <c r="AE240" s="454" t="str">
        <f t="shared" si="264"/>
        <v>*</v>
      </c>
      <c r="AF240" s="454" t="str">
        <f t="shared" si="264"/>
        <v>*</v>
      </c>
      <c r="AG240" s="454" t="str">
        <f t="shared" si="264"/>
        <v>*</v>
      </c>
      <c r="AH240" s="454" t="str">
        <f t="shared" si="264"/>
        <v>*</v>
      </c>
    </row>
    <row r="241" spans="1:34" ht="12.75">
      <c r="A241" s="14" t="s">
        <v>3387</v>
      </c>
      <c r="B241" s="24" t="s">
        <v>2580</v>
      </c>
      <c r="C241" s="14" t="s">
        <v>2582</v>
      </c>
      <c r="D241" s="14" t="s">
        <v>2911</v>
      </c>
      <c r="E241" s="14" t="s">
        <v>3388</v>
      </c>
      <c r="F241" s="13">
        <v>182</v>
      </c>
      <c r="G241" s="14" t="s">
        <v>3164</v>
      </c>
      <c r="H241" s="13">
        <v>11540</v>
      </c>
      <c r="I241" s="14" t="s">
        <v>3394</v>
      </c>
      <c r="J241" s="14" t="s">
        <v>3395</v>
      </c>
      <c r="K241" s="478">
        <v>0.61</v>
      </c>
      <c r="L241" s="220">
        <v>111.02</v>
      </c>
      <c r="M241" s="473" t="s">
        <v>3396</v>
      </c>
      <c r="N241" s="473"/>
      <c r="O241" s="480"/>
      <c r="P241" s="14" t="s">
        <v>3411</v>
      </c>
      <c r="Q241" s="14" t="s">
        <v>3412</v>
      </c>
      <c r="R241" s="14">
        <v>3</v>
      </c>
      <c r="S241" s="14">
        <f t="shared" si="210"/>
        <v>3.3305999999999996</v>
      </c>
      <c r="T241" s="220">
        <f>SUM(R234:R242)</f>
        <v>98</v>
      </c>
      <c r="U241" s="14">
        <f t="shared" si="257"/>
        <v>3.0612244897959182</v>
      </c>
      <c r="V241" s="220">
        <f>U241*100/SUM(U234:U235,U237:U242)</f>
        <v>4.10958904109589</v>
      </c>
      <c r="W241" s="14" t="s">
        <v>2621</v>
      </c>
      <c r="X241" s="14">
        <f t="shared" si="255"/>
        <v>2.506849315068493</v>
      </c>
      <c r="Y241" s="220" t="s">
        <v>1666</v>
      </c>
      <c r="Z241" s="220" t="str">
        <f t="shared" ref="Z241:AH241" si="265">Y241</f>
        <v>*</v>
      </c>
      <c r="AA241" s="792" t="str">
        <f t="shared" si="265"/>
        <v>*</v>
      </c>
      <c r="AB241" s="458" t="str">
        <f t="shared" si="265"/>
        <v>*</v>
      </c>
      <c r="AC241" s="497" t="str">
        <f t="shared" si="265"/>
        <v>*</v>
      </c>
      <c r="AD241" s="497" t="str">
        <f t="shared" si="265"/>
        <v>*</v>
      </c>
      <c r="AE241" s="454" t="str">
        <f t="shared" si="265"/>
        <v>*</v>
      </c>
      <c r="AF241" s="454" t="str">
        <f t="shared" si="265"/>
        <v>*</v>
      </c>
      <c r="AG241" s="454" t="str">
        <f t="shared" si="265"/>
        <v>*</v>
      </c>
      <c r="AH241" s="454" t="str">
        <f t="shared" si="265"/>
        <v>*</v>
      </c>
    </row>
    <row r="242" spans="1:34" ht="12.75">
      <c r="A242" s="617" t="s">
        <v>3387</v>
      </c>
      <c r="B242" s="794" t="s">
        <v>2580</v>
      </c>
      <c r="C242" s="617" t="s">
        <v>2582</v>
      </c>
      <c r="D242" s="617" t="s">
        <v>2911</v>
      </c>
      <c r="E242" s="617" t="s">
        <v>3388</v>
      </c>
      <c r="F242" s="799">
        <v>182</v>
      </c>
      <c r="G242" s="617" t="s">
        <v>3164</v>
      </c>
      <c r="H242" s="799">
        <v>11540</v>
      </c>
      <c r="I242" s="617" t="s">
        <v>3394</v>
      </c>
      <c r="J242" s="617" t="s">
        <v>3395</v>
      </c>
      <c r="K242" s="838">
        <v>0.61</v>
      </c>
      <c r="L242" s="725">
        <v>111.02</v>
      </c>
      <c r="M242" s="850" t="s">
        <v>3396</v>
      </c>
      <c r="N242" s="850"/>
      <c r="O242" s="842"/>
      <c r="P242" s="617" t="s">
        <v>3413</v>
      </c>
      <c r="Q242" s="617" t="s">
        <v>3414</v>
      </c>
      <c r="R242" s="617">
        <v>2</v>
      </c>
      <c r="S242" s="617">
        <f t="shared" si="210"/>
        <v>2.2204000000000002</v>
      </c>
      <c r="T242" s="868">
        <f>SUM(R234:R242)</f>
        <v>98</v>
      </c>
      <c r="U242" s="617">
        <f t="shared" si="257"/>
        <v>2.0408163265306123</v>
      </c>
      <c r="V242" s="725">
        <f>U242*100/SUM(U234:U235,U237:U242)</f>
        <v>2.7397260273972601</v>
      </c>
      <c r="W242" s="617" t="s">
        <v>1531</v>
      </c>
      <c r="X242" s="617">
        <f t="shared" si="255"/>
        <v>1.6712328767123286</v>
      </c>
      <c r="Y242" s="725" t="s">
        <v>1666</v>
      </c>
      <c r="Z242" s="725" t="str">
        <f t="shared" ref="Z242:AH242" si="266">Y242</f>
        <v>*</v>
      </c>
      <c r="AA242" s="455" t="str">
        <f t="shared" si="266"/>
        <v>*</v>
      </c>
      <c r="AB242" s="821" t="str">
        <f t="shared" si="266"/>
        <v>*</v>
      </c>
      <c r="AC242" s="869" t="str">
        <f t="shared" si="266"/>
        <v>*</v>
      </c>
      <c r="AD242" s="869" t="str">
        <f t="shared" si="266"/>
        <v>*</v>
      </c>
      <c r="AE242" s="808" t="str">
        <f t="shared" si="266"/>
        <v>*</v>
      </c>
      <c r="AF242" s="808" t="str">
        <f t="shared" si="266"/>
        <v>*</v>
      </c>
      <c r="AG242" s="808" t="str">
        <f t="shared" si="266"/>
        <v>*</v>
      </c>
      <c r="AH242" s="808" t="str">
        <f t="shared" si="266"/>
        <v>*</v>
      </c>
    </row>
    <row r="243" spans="1:34" ht="12.75">
      <c r="A243" s="14" t="s">
        <v>3415</v>
      </c>
      <c r="B243" s="24" t="s">
        <v>2580</v>
      </c>
      <c r="C243" s="14" t="s">
        <v>2583</v>
      </c>
      <c r="D243" s="14" t="s">
        <v>2911</v>
      </c>
      <c r="E243" s="14" t="s">
        <v>3416</v>
      </c>
      <c r="F243" s="13">
        <v>128</v>
      </c>
      <c r="G243" s="14" t="s">
        <v>3195</v>
      </c>
      <c r="H243" s="13">
        <v>6931</v>
      </c>
      <c r="I243" s="14" t="s">
        <v>3416</v>
      </c>
      <c r="J243" s="14" t="s">
        <v>3417</v>
      </c>
      <c r="K243" s="478">
        <v>1</v>
      </c>
      <c r="L243" s="220">
        <v>128</v>
      </c>
      <c r="M243" s="473" t="s">
        <v>3418</v>
      </c>
      <c r="N243" s="473"/>
      <c r="O243" s="480"/>
      <c r="P243" s="14" t="s">
        <v>2938</v>
      </c>
      <c r="Q243" s="435" t="s">
        <v>2939</v>
      </c>
      <c r="R243" s="14">
        <v>45</v>
      </c>
      <c r="S243" s="14">
        <f t="shared" si="210"/>
        <v>57.6</v>
      </c>
      <c r="T243" s="220">
        <f>SUM(R243:R252)</f>
        <v>100.3</v>
      </c>
      <c r="U243" s="14">
        <f t="shared" si="257"/>
        <v>44.865403788634097</v>
      </c>
      <c r="V243" s="481">
        <f>U243</f>
        <v>44.865403788634097</v>
      </c>
      <c r="W243" s="482" t="s">
        <v>72</v>
      </c>
      <c r="X243" s="481">
        <f t="shared" ref="X243:X252" si="267">V243</f>
        <v>44.865403788634097</v>
      </c>
      <c r="Y243" s="481">
        <f t="shared" ref="Y243:Z243" si="268">X243</f>
        <v>44.865403788634097</v>
      </c>
      <c r="Z243" s="481">
        <f t="shared" si="268"/>
        <v>44.865403788634097</v>
      </c>
      <c r="AA243" s="796">
        <f>X243</f>
        <v>44.865403788634097</v>
      </c>
      <c r="AB243" s="456" t="s">
        <v>72</v>
      </c>
      <c r="AC243" s="469" t="s">
        <v>2938</v>
      </c>
      <c r="AD243" s="469" t="s">
        <v>2940</v>
      </c>
      <c r="AE243" s="457">
        <v>0</v>
      </c>
      <c r="AF243" s="457">
        <v>0</v>
      </c>
      <c r="AG243" s="457">
        <v>0</v>
      </c>
      <c r="AH243" s="457">
        <v>0</v>
      </c>
    </row>
    <row r="244" spans="1:34" ht="12.75">
      <c r="A244" s="14" t="s">
        <v>3415</v>
      </c>
      <c r="B244" s="24" t="s">
        <v>2580</v>
      </c>
      <c r="C244" s="14" t="s">
        <v>2583</v>
      </c>
      <c r="D244" s="14" t="s">
        <v>2911</v>
      </c>
      <c r="E244" s="14" t="s">
        <v>3416</v>
      </c>
      <c r="F244" s="13">
        <v>128</v>
      </c>
      <c r="G244" s="14" t="s">
        <v>3195</v>
      </c>
      <c r="H244" s="13">
        <v>6931</v>
      </c>
      <c r="I244" s="14" t="s">
        <v>3416</v>
      </c>
      <c r="J244" s="14" t="s">
        <v>3417</v>
      </c>
      <c r="K244" s="478">
        <v>1</v>
      </c>
      <c r="L244" s="220">
        <v>128</v>
      </c>
      <c r="M244" s="473" t="s">
        <v>3418</v>
      </c>
      <c r="N244" s="473"/>
      <c r="O244" s="480"/>
      <c r="P244" s="14" t="s">
        <v>3419</v>
      </c>
      <c r="Q244" s="486" t="s">
        <v>3420</v>
      </c>
      <c r="R244" s="14">
        <v>25</v>
      </c>
      <c r="S244" s="14">
        <f t="shared" si="210"/>
        <v>32</v>
      </c>
      <c r="T244" s="220">
        <f>SUM(R243:R252)</f>
        <v>100.3</v>
      </c>
      <c r="U244" s="14">
        <f t="shared" si="257"/>
        <v>24.925224327018945</v>
      </c>
      <c r="V244" s="220">
        <f>U244*100/SUM(U244:U252)</f>
        <v>45.207956600361669</v>
      </c>
      <c r="W244" s="14" t="s">
        <v>508</v>
      </c>
      <c r="X244" s="220">
        <f t="shared" si="267"/>
        <v>45.207956600361669</v>
      </c>
      <c r="Y244" s="220">
        <f>SUM(X244:X245)</f>
        <v>72.332730560578668</v>
      </c>
      <c r="Z244" s="220">
        <f t="shared" ref="Z244:Z245" si="269">X244</f>
        <v>45.207956600361669</v>
      </c>
      <c r="AA244" s="792">
        <f t="shared" ref="AA244:AA245" si="270">Z244</f>
        <v>45.207956600361669</v>
      </c>
      <c r="AB244" s="18" t="s">
        <v>508</v>
      </c>
      <c r="AC244" s="14" t="s">
        <v>3421</v>
      </c>
      <c r="AD244" s="14" t="s">
        <v>3422</v>
      </c>
      <c r="AE244" s="12">
        <v>2.8834234570203239E-3</v>
      </c>
      <c r="AF244" s="12">
        <v>5.9265729118619818E-2</v>
      </c>
      <c r="AG244" s="12">
        <v>3.7800000000000003E-4</v>
      </c>
      <c r="AH244" s="12">
        <v>1.4550492E-3</v>
      </c>
    </row>
    <row r="245" spans="1:34" ht="12.75">
      <c r="A245" s="14" t="s">
        <v>3415</v>
      </c>
      <c r="B245" s="24" t="s">
        <v>2580</v>
      </c>
      <c r="C245" s="14" t="s">
        <v>2583</v>
      </c>
      <c r="D245" s="14" t="s">
        <v>2911</v>
      </c>
      <c r="E245" s="14" t="s">
        <v>3416</v>
      </c>
      <c r="F245" s="13">
        <v>128</v>
      </c>
      <c r="G245" s="14" t="s">
        <v>3195</v>
      </c>
      <c r="H245" s="13">
        <v>6931</v>
      </c>
      <c r="I245" s="14" t="s">
        <v>3416</v>
      </c>
      <c r="J245" s="14" t="s">
        <v>3417</v>
      </c>
      <c r="K245" s="478">
        <v>1</v>
      </c>
      <c r="L245" s="220">
        <v>128</v>
      </c>
      <c r="M245" s="473" t="s">
        <v>3418</v>
      </c>
      <c r="N245" s="473"/>
      <c r="O245" s="480"/>
      <c r="P245" s="14" t="s">
        <v>1780</v>
      </c>
      <c r="Q245" s="14" t="s">
        <v>3386</v>
      </c>
      <c r="R245" s="14">
        <v>15</v>
      </c>
      <c r="S245" s="14">
        <f t="shared" si="210"/>
        <v>19.2</v>
      </c>
      <c r="T245" s="220">
        <f>SUM(R243:R252)</f>
        <v>100.3</v>
      </c>
      <c r="U245" s="14">
        <f t="shared" si="257"/>
        <v>14.955134596211366</v>
      </c>
      <c r="V245" s="220">
        <f>U245*100/SUM(U244:U252)</f>
        <v>27.124773960216995</v>
      </c>
      <c r="W245" s="14" t="s">
        <v>506</v>
      </c>
      <c r="X245" s="220">
        <f t="shared" si="267"/>
        <v>27.124773960216995</v>
      </c>
      <c r="Y245" s="220" t="s">
        <v>1666</v>
      </c>
      <c r="Z245" s="220">
        <f t="shared" si="269"/>
        <v>27.124773960216995</v>
      </c>
      <c r="AA245" s="792">
        <f t="shared" si="270"/>
        <v>27.124773960216995</v>
      </c>
      <c r="AB245" s="18" t="s">
        <v>506</v>
      </c>
      <c r="AC245" s="13" t="s">
        <v>1780</v>
      </c>
      <c r="AD245" s="13" t="s">
        <v>1781</v>
      </c>
      <c r="AE245" s="12">
        <v>4.8057057617005398E-4</v>
      </c>
      <c r="AF245" s="12">
        <v>9.8776215197699697E-3</v>
      </c>
      <c r="AG245" s="12">
        <v>6.3E-5</v>
      </c>
      <c r="AH245" s="12">
        <v>2.4250819999999999E-4</v>
      </c>
    </row>
    <row r="246" spans="1:34" ht="12.75">
      <c r="A246" s="14" t="s">
        <v>3415</v>
      </c>
      <c r="B246" s="24" t="s">
        <v>2580</v>
      </c>
      <c r="C246" s="14" t="s">
        <v>2583</v>
      </c>
      <c r="D246" s="14" t="s">
        <v>2911</v>
      </c>
      <c r="E246" s="14" t="s">
        <v>3416</v>
      </c>
      <c r="F246" s="13">
        <v>128</v>
      </c>
      <c r="G246" s="14" t="s">
        <v>3195</v>
      </c>
      <c r="H246" s="13">
        <v>6931</v>
      </c>
      <c r="I246" s="14" t="s">
        <v>3416</v>
      </c>
      <c r="J246" s="14" t="s">
        <v>3417</v>
      </c>
      <c r="K246" s="478">
        <v>1</v>
      </c>
      <c r="L246" s="220">
        <v>128</v>
      </c>
      <c r="M246" s="473" t="s">
        <v>3418</v>
      </c>
      <c r="N246" s="473"/>
      <c r="O246" s="480"/>
      <c r="P246" s="14" t="s">
        <v>2584</v>
      </c>
      <c r="Q246" s="486" t="s">
        <v>3423</v>
      </c>
      <c r="R246" s="14">
        <v>10</v>
      </c>
      <c r="S246" s="14">
        <f t="shared" si="210"/>
        <v>12.8</v>
      </c>
      <c r="T246" s="220">
        <f>SUM(R243:R252)</f>
        <v>100.3</v>
      </c>
      <c r="U246" s="14">
        <f t="shared" si="257"/>
        <v>9.9700897308075778</v>
      </c>
      <c r="V246" s="220">
        <f>U246*100/SUM(U244:U252)</f>
        <v>18.083182640144667</v>
      </c>
      <c r="W246" s="14" t="s">
        <v>2584</v>
      </c>
      <c r="X246" s="220">
        <f t="shared" si="267"/>
        <v>18.083182640144667</v>
      </c>
      <c r="Y246" s="220">
        <f t="shared" ref="Y246:AA246" si="271">X246</f>
        <v>18.083182640144667</v>
      </c>
      <c r="Z246" s="220">
        <f t="shared" si="271"/>
        <v>18.083182640144667</v>
      </c>
      <c r="AA246" s="792">
        <f t="shared" si="271"/>
        <v>18.083182640144667</v>
      </c>
      <c r="AB246" s="18" t="s">
        <v>2584</v>
      </c>
      <c r="AC246" s="13" t="s">
        <v>3424</v>
      </c>
      <c r="AD246" s="13" t="s">
        <v>3425</v>
      </c>
      <c r="AE246" s="12">
        <v>4.7754773653722405E-4</v>
      </c>
      <c r="AF246" s="12">
        <v>9.9048845026103102E-3</v>
      </c>
      <c r="AG246" s="12">
        <v>1.1598405219282348E-5</v>
      </c>
      <c r="AH246" s="12">
        <v>9.908404494382022E-5</v>
      </c>
    </row>
    <row r="247" spans="1:34" ht="12.75">
      <c r="A247" s="14" t="s">
        <v>3415</v>
      </c>
      <c r="B247" s="24" t="s">
        <v>2580</v>
      </c>
      <c r="C247" s="14" t="s">
        <v>2583</v>
      </c>
      <c r="D247" s="14" t="s">
        <v>2911</v>
      </c>
      <c r="E247" s="14" t="s">
        <v>3416</v>
      </c>
      <c r="F247" s="13">
        <v>128</v>
      </c>
      <c r="G247" s="14" t="s">
        <v>3195</v>
      </c>
      <c r="H247" s="13">
        <v>6931</v>
      </c>
      <c r="I247" s="14" t="s">
        <v>3416</v>
      </c>
      <c r="J247" s="14" t="s">
        <v>3417</v>
      </c>
      <c r="K247" s="478">
        <v>1</v>
      </c>
      <c r="L247" s="220">
        <v>128</v>
      </c>
      <c r="M247" s="473" t="s">
        <v>3418</v>
      </c>
      <c r="N247" s="473"/>
      <c r="O247" s="480"/>
      <c r="P247" s="14" t="s">
        <v>2945</v>
      </c>
      <c r="Q247" s="14" t="s">
        <v>2946</v>
      </c>
      <c r="R247" s="14">
        <v>1</v>
      </c>
      <c r="S247" s="14">
        <f t="shared" si="210"/>
        <v>1.28</v>
      </c>
      <c r="T247" s="220">
        <f>SUM(R243:R252)</f>
        <v>100.3</v>
      </c>
      <c r="U247" s="14">
        <f t="shared" si="257"/>
        <v>0.99700897308075775</v>
      </c>
      <c r="V247" s="220">
        <f>U247*100/SUM(U244:U252)</f>
        <v>1.8083182640144666</v>
      </c>
      <c r="W247" s="14" t="s">
        <v>433</v>
      </c>
      <c r="X247" s="220">
        <f t="shared" si="267"/>
        <v>1.8083182640144666</v>
      </c>
      <c r="Y247" s="220">
        <f t="shared" ref="Y247:AA247" si="272">X247</f>
        <v>1.8083182640144666</v>
      </c>
      <c r="Z247" s="220">
        <f t="shared" si="272"/>
        <v>1.8083182640144666</v>
      </c>
      <c r="AA247" s="792">
        <f t="shared" si="272"/>
        <v>1.8083182640144666</v>
      </c>
      <c r="AB247" s="18" t="s">
        <v>433</v>
      </c>
      <c r="AC247" s="13" t="s">
        <v>433</v>
      </c>
      <c r="AD247" s="13" t="s">
        <v>2947</v>
      </c>
      <c r="AE247" s="12">
        <v>3.0104466724907065E-4</v>
      </c>
      <c r="AF247" s="12">
        <v>1.2500000000000001E-2</v>
      </c>
      <c r="AG247" s="12">
        <v>5.1818181818181835E-4</v>
      </c>
      <c r="AH247" s="12">
        <v>4.0084080366977777E-4</v>
      </c>
    </row>
    <row r="248" spans="1:34" ht="12.75">
      <c r="A248" s="14" t="s">
        <v>3415</v>
      </c>
      <c r="B248" s="24" t="s">
        <v>2580</v>
      </c>
      <c r="C248" s="14" t="s">
        <v>2583</v>
      </c>
      <c r="D248" s="14" t="s">
        <v>2911</v>
      </c>
      <c r="E248" s="14" t="s">
        <v>3416</v>
      </c>
      <c r="F248" s="13">
        <v>128</v>
      </c>
      <c r="G248" s="14" t="s">
        <v>3195</v>
      </c>
      <c r="H248" s="13">
        <v>6931</v>
      </c>
      <c r="I248" s="14" t="s">
        <v>3416</v>
      </c>
      <c r="J248" s="14" t="s">
        <v>3417</v>
      </c>
      <c r="K248" s="478">
        <v>1</v>
      </c>
      <c r="L248" s="220">
        <v>128</v>
      </c>
      <c r="M248" s="473" t="s">
        <v>3418</v>
      </c>
      <c r="N248" s="473"/>
      <c r="O248" s="480"/>
      <c r="P248" s="14" t="s">
        <v>3426</v>
      </c>
      <c r="Q248" s="14" t="s">
        <v>3427</v>
      </c>
      <c r="R248" s="14">
        <v>2</v>
      </c>
      <c r="S248" s="14">
        <f t="shared" si="210"/>
        <v>2.56</v>
      </c>
      <c r="T248" s="220">
        <f>SUM(R243:R252)</f>
        <v>100.3</v>
      </c>
      <c r="U248" s="14">
        <f t="shared" si="257"/>
        <v>1.9940179461615155</v>
      </c>
      <c r="V248" s="220">
        <f>U248*100/SUM(U244:U252)</f>
        <v>3.6166365280289332</v>
      </c>
      <c r="W248" s="14" t="s">
        <v>462</v>
      </c>
      <c r="X248" s="220">
        <f t="shared" si="267"/>
        <v>3.6166365280289332</v>
      </c>
      <c r="Y248" s="220">
        <f t="shared" ref="Y248:AA248" si="273">X248</f>
        <v>3.6166365280289332</v>
      </c>
      <c r="Z248" s="220">
        <f t="shared" si="273"/>
        <v>3.6166365280289332</v>
      </c>
      <c r="AA248" s="792">
        <f t="shared" si="273"/>
        <v>3.6166365280289332</v>
      </c>
      <c r="AB248" s="18" t="s">
        <v>462</v>
      </c>
      <c r="AC248" s="14" t="s">
        <v>3428</v>
      </c>
      <c r="AD248" s="14" t="s">
        <v>3429</v>
      </c>
      <c r="AE248" s="12">
        <v>1.6146898803046799E-3</v>
      </c>
      <c r="AF248" s="12">
        <v>2.6750090678273501E-2</v>
      </c>
      <c r="AG248" s="12">
        <v>9.3103448275862075E-5</v>
      </c>
      <c r="AH248" s="12">
        <v>1.0896397701149426E-3</v>
      </c>
    </row>
    <row r="249" spans="1:34" ht="12.75">
      <c r="A249" s="14" t="s">
        <v>3415</v>
      </c>
      <c r="B249" s="24" t="s">
        <v>2580</v>
      </c>
      <c r="C249" s="14" t="s">
        <v>2583</v>
      </c>
      <c r="D249" s="14" t="s">
        <v>2911</v>
      </c>
      <c r="E249" s="14" t="s">
        <v>3416</v>
      </c>
      <c r="F249" s="13">
        <v>128</v>
      </c>
      <c r="G249" s="14" t="s">
        <v>3195</v>
      </c>
      <c r="H249" s="13">
        <v>6931</v>
      </c>
      <c r="I249" s="14" t="s">
        <v>3416</v>
      </c>
      <c r="J249" s="14" t="s">
        <v>3417</v>
      </c>
      <c r="K249" s="478">
        <v>1</v>
      </c>
      <c r="L249" s="220">
        <v>128</v>
      </c>
      <c r="M249" s="473" t="s">
        <v>3418</v>
      </c>
      <c r="N249" s="473"/>
      <c r="O249" s="480"/>
      <c r="P249" s="14" t="s">
        <v>83</v>
      </c>
      <c r="Q249" s="527" t="s">
        <v>3430</v>
      </c>
      <c r="R249" s="14">
        <v>1</v>
      </c>
      <c r="S249" s="14">
        <f t="shared" si="210"/>
        <v>1.28</v>
      </c>
      <c r="T249" s="220">
        <f>SUM(R243:R252)</f>
        <v>100.3</v>
      </c>
      <c r="U249" s="14">
        <f t="shared" si="257"/>
        <v>0.99700897308075775</v>
      </c>
      <c r="V249" s="220">
        <f>U249*100/SUM(U244:U252)</f>
        <v>1.8083182640144666</v>
      </c>
      <c r="W249" s="14" t="s">
        <v>83</v>
      </c>
      <c r="X249" s="220">
        <f t="shared" si="267"/>
        <v>1.8083182640144666</v>
      </c>
      <c r="Y249" s="499">
        <f t="shared" ref="Y249:Y253" si="274">X249</f>
        <v>1.8083182640144666</v>
      </c>
      <c r="Z249" s="220">
        <f t="shared" ref="Z249:Z251" si="275">X249</f>
        <v>1.8083182640144666</v>
      </c>
      <c r="AA249" s="792">
        <f t="shared" ref="AA249:AA251" si="276">Z249</f>
        <v>1.8083182640144666</v>
      </c>
      <c r="AB249" s="18" t="s">
        <v>83</v>
      </c>
      <c r="AC249" s="14" t="s">
        <v>83</v>
      </c>
      <c r="AD249" s="14" t="s">
        <v>2951</v>
      </c>
      <c r="AE249" s="12">
        <v>0</v>
      </c>
      <c r="AF249" s="12">
        <v>0</v>
      </c>
      <c r="AG249" s="12">
        <v>0</v>
      </c>
      <c r="AH249" s="12">
        <v>0</v>
      </c>
    </row>
    <row r="250" spans="1:34" ht="12.75">
      <c r="A250" s="14" t="s">
        <v>3415</v>
      </c>
      <c r="B250" s="24" t="s">
        <v>2580</v>
      </c>
      <c r="C250" s="14" t="s">
        <v>2583</v>
      </c>
      <c r="D250" s="14" t="s">
        <v>2911</v>
      </c>
      <c r="E250" s="14" t="s">
        <v>3416</v>
      </c>
      <c r="F250" s="13">
        <v>128</v>
      </c>
      <c r="G250" s="14" t="s">
        <v>3195</v>
      </c>
      <c r="H250" s="13">
        <v>6931</v>
      </c>
      <c r="I250" s="14" t="s">
        <v>3416</v>
      </c>
      <c r="J250" s="14" t="s">
        <v>3417</v>
      </c>
      <c r="K250" s="478">
        <v>1</v>
      </c>
      <c r="L250" s="220">
        <v>128</v>
      </c>
      <c r="M250" s="473" t="s">
        <v>3418</v>
      </c>
      <c r="N250" s="473"/>
      <c r="O250" s="480"/>
      <c r="P250" s="14" t="s">
        <v>3431</v>
      </c>
      <c r="Q250" s="14" t="s">
        <v>325</v>
      </c>
      <c r="R250" s="14">
        <v>0.7</v>
      </c>
      <c r="S250" s="14">
        <f t="shared" si="210"/>
        <v>0.89599999999999991</v>
      </c>
      <c r="T250" s="220">
        <f>SUM(R243:R252)</f>
        <v>100.3</v>
      </c>
      <c r="U250" s="14">
        <f t="shared" si="257"/>
        <v>0.69790628115653042</v>
      </c>
      <c r="V250" s="220">
        <f>U250*100/SUM(U244:U252)</f>
        <v>1.2658227848101264</v>
      </c>
      <c r="W250" s="14" t="s">
        <v>325</v>
      </c>
      <c r="X250" s="220">
        <f t="shared" si="267"/>
        <v>1.2658227848101264</v>
      </c>
      <c r="Y250" s="499">
        <f t="shared" si="274"/>
        <v>1.2658227848101264</v>
      </c>
      <c r="Z250" s="220">
        <f t="shared" si="275"/>
        <v>1.2658227848101264</v>
      </c>
      <c r="AA250" s="792">
        <f t="shared" si="276"/>
        <v>1.2658227848101264</v>
      </c>
      <c r="AB250" s="18" t="s">
        <v>325</v>
      </c>
      <c r="AC250" s="13" t="s">
        <v>3118</v>
      </c>
      <c r="AD250" s="13" t="s">
        <v>3119</v>
      </c>
      <c r="AE250" s="12">
        <v>1.0908510307875098E-2</v>
      </c>
      <c r="AF250" s="12">
        <v>0.10414261699680899</v>
      </c>
      <c r="AG250" s="12">
        <v>2.2359865447154469E-3</v>
      </c>
      <c r="AH250" s="12">
        <v>1.4E-3</v>
      </c>
    </row>
    <row r="251" spans="1:34" ht="12.75">
      <c r="A251" s="14" t="s">
        <v>3415</v>
      </c>
      <c r="B251" s="24" t="s">
        <v>2580</v>
      </c>
      <c r="C251" s="14" t="s">
        <v>2583</v>
      </c>
      <c r="D251" s="14" t="s">
        <v>2911</v>
      </c>
      <c r="E251" s="14" t="s">
        <v>3416</v>
      </c>
      <c r="F251" s="13">
        <v>128</v>
      </c>
      <c r="G251" s="14" t="s">
        <v>3195</v>
      </c>
      <c r="H251" s="13">
        <v>6931</v>
      </c>
      <c r="I251" s="14" t="s">
        <v>3416</v>
      </c>
      <c r="J251" s="14" t="s">
        <v>3417</v>
      </c>
      <c r="K251" s="478">
        <v>1</v>
      </c>
      <c r="L251" s="220">
        <v>128</v>
      </c>
      <c r="M251" s="473" t="s">
        <v>3418</v>
      </c>
      <c r="N251" s="473"/>
      <c r="O251" s="480"/>
      <c r="P251" s="14" t="s">
        <v>1376</v>
      </c>
      <c r="Q251" s="486" t="s">
        <v>3114</v>
      </c>
      <c r="R251" s="14">
        <v>0.3</v>
      </c>
      <c r="S251" s="14">
        <f t="shared" si="210"/>
        <v>0.38400000000000001</v>
      </c>
      <c r="T251" s="220">
        <f>SUM(R243:R252)</f>
        <v>100.3</v>
      </c>
      <c r="U251" s="14">
        <f t="shared" si="257"/>
        <v>0.29910269192422734</v>
      </c>
      <c r="V251" s="220">
        <f>U251*100/SUM(U244:U252)</f>
        <v>0.54249547920434005</v>
      </c>
      <c r="W251" s="14" t="s">
        <v>340</v>
      </c>
      <c r="X251" s="220">
        <f t="shared" si="267"/>
        <v>0.54249547920434005</v>
      </c>
      <c r="Y251" s="499">
        <f t="shared" si="274"/>
        <v>0.54249547920434005</v>
      </c>
      <c r="Z251" s="220">
        <f t="shared" si="275"/>
        <v>0.54249547920434005</v>
      </c>
      <c r="AA251" s="792">
        <f t="shared" si="276"/>
        <v>0.54249547920434005</v>
      </c>
      <c r="AB251" s="18" t="s">
        <v>340</v>
      </c>
      <c r="AC251" s="13" t="s">
        <v>3115</v>
      </c>
      <c r="AD251" s="13" t="s">
        <v>3116</v>
      </c>
      <c r="AE251" s="12">
        <v>2.1708241661196198E-2</v>
      </c>
      <c r="AF251" s="12">
        <v>0.36572952458380198</v>
      </c>
      <c r="AG251" s="12">
        <v>4.6350652173913045E-4</v>
      </c>
      <c r="AH251" s="12">
        <v>1.6975608035415088E-3</v>
      </c>
    </row>
    <row r="252" spans="1:34" ht="12.75">
      <c r="A252" s="617" t="s">
        <v>3415</v>
      </c>
      <c r="B252" s="794" t="s">
        <v>2580</v>
      </c>
      <c r="C252" s="617" t="s">
        <v>2583</v>
      </c>
      <c r="D252" s="617" t="s">
        <v>2911</v>
      </c>
      <c r="E252" s="617" t="s">
        <v>3416</v>
      </c>
      <c r="F252" s="799">
        <v>128</v>
      </c>
      <c r="G252" s="617" t="s">
        <v>3195</v>
      </c>
      <c r="H252" s="799">
        <v>6931</v>
      </c>
      <c r="I252" s="617" t="s">
        <v>3416</v>
      </c>
      <c r="J252" s="617" t="s">
        <v>3417</v>
      </c>
      <c r="K252" s="838">
        <v>1</v>
      </c>
      <c r="L252" s="725">
        <v>128</v>
      </c>
      <c r="M252" s="850" t="s">
        <v>3418</v>
      </c>
      <c r="N252" s="850"/>
      <c r="O252" s="842"/>
      <c r="P252" s="617" t="s">
        <v>3021</v>
      </c>
      <c r="Q252" s="856" t="s">
        <v>3022</v>
      </c>
      <c r="R252" s="617">
        <v>0.3</v>
      </c>
      <c r="S252" s="617">
        <f t="shared" si="210"/>
        <v>0.38400000000000001</v>
      </c>
      <c r="T252" s="870">
        <f>SUM(R243:R252)</f>
        <v>100.3</v>
      </c>
      <c r="U252" s="617">
        <f t="shared" si="257"/>
        <v>0.29910269192422734</v>
      </c>
      <c r="V252" s="725">
        <f>U252*100/SUM(U244:U252)</f>
        <v>0.54249547920434005</v>
      </c>
      <c r="W252" s="617" t="s">
        <v>346</v>
      </c>
      <c r="X252" s="725">
        <f t="shared" si="267"/>
        <v>0.54249547920434005</v>
      </c>
      <c r="Y252" s="862">
        <f t="shared" si="274"/>
        <v>0.54249547920434005</v>
      </c>
      <c r="Z252" s="725">
        <f>SUM(Y252,Y251,Y250,Y249)</f>
        <v>4.1591320072332731</v>
      </c>
      <c r="AA252" s="455">
        <f>X252</f>
        <v>0.54249547920434005</v>
      </c>
      <c r="AB252" s="793" t="s">
        <v>346</v>
      </c>
      <c r="AC252" s="799" t="s">
        <v>2982</v>
      </c>
      <c r="AD252" s="799" t="s">
        <v>2983</v>
      </c>
      <c r="AE252" s="635">
        <v>2.9691872042618299E-2</v>
      </c>
      <c r="AF252" s="635">
        <v>7.5368545517799299E-2</v>
      </c>
      <c r="AG252" s="635">
        <v>2.9014018691588786E-4</v>
      </c>
      <c r="AH252" s="635">
        <v>1.4770983615231311E-3</v>
      </c>
    </row>
    <row r="253" spans="1:34" ht="12.75">
      <c r="A253" s="14" t="s">
        <v>3432</v>
      </c>
      <c r="B253" s="24" t="s">
        <v>2580</v>
      </c>
      <c r="C253" s="14" t="s">
        <v>2585</v>
      </c>
      <c r="D253" s="14" t="s">
        <v>2911</v>
      </c>
      <c r="E253" s="14" t="s">
        <v>3433</v>
      </c>
      <c r="F253" s="13">
        <v>64</v>
      </c>
      <c r="G253" s="14" t="s">
        <v>3434</v>
      </c>
      <c r="H253" s="13">
        <v>6164</v>
      </c>
      <c r="I253" s="14" t="s">
        <v>3433</v>
      </c>
      <c r="J253" s="14" t="s">
        <v>3435</v>
      </c>
      <c r="K253" s="478">
        <v>1</v>
      </c>
      <c r="L253" s="220">
        <v>64</v>
      </c>
      <c r="M253" s="473" t="s">
        <v>3436</v>
      </c>
      <c r="N253" s="473"/>
      <c r="O253" s="480"/>
      <c r="P253" s="14" t="s">
        <v>2938</v>
      </c>
      <c r="Q253" s="435" t="s">
        <v>2939</v>
      </c>
      <c r="R253" s="14">
        <v>19</v>
      </c>
      <c r="S253" s="14">
        <f t="shared" si="210"/>
        <v>12.16</v>
      </c>
      <c r="T253" s="220">
        <f>SUM(R253:R263)</f>
        <v>99.899999999999991</v>
      </c>
      <c r="U253" s="14">
        <f t="shared" si="257"/>
        <v>19.019019019019019</v>
      </c>
      <c r="V253" s="481">
        <f>U253</f>
        <v>19.019019019019019</v>
      </c>
      <c r="W253" s="482" t="s">
        <v>72</v>
      </c>
      <c r="X253" s="482">
        <f t="shared" ref="X253:X263" si="277">V253*K253</f>
        <v>19.019019019019019</v>
      </c>
      <c r="Y253" s="481">
        <f t="shared" si="274"/>
        <v>19.019019019019019</v>
      </c>
      <c r="Z253" s="481">
        <f t="shared" ref="Z253:AA253" si="278">Y253</f>
        <v>19.019019019019019</v>
      </c>
      <c r="AA253" s="796">
        <f t="shared" si="278"/>
        <v>19.019019019019019</v>
      </c>
      <c r="AB253" s="456" t="s">
        <v>72</v>
      </c>
      <c r="AC253" s="469" t="s">
        <v>2938</v>
      </c>
      <c r="AD253" s="469" t="s">
        <v>2940</v>
      </c>
      <c r="AE253" s="457">
        <v>0</v>
      </c>
      <c r="AF253" s="457">
        <v>0</v>
      </c>
      <c r="AG253" s="457">
        <v>0</v>
      </c>
      <c r="AH253" s="457">
        <v>0</v>
      </c>
    </row>
    <row r="254" spans="1:34" ht="12.75">
      <c r="A254" s="14" t="s">
        <v>3432</v>
      </c>
      <c r="B254" s="24" t="s">
        <v>2580</v>
      </c>
      <c r="C254" s="14" t="s">
        <v>2585</v>
      </c>
      <c r="D254" s="14" t="s">
        <v>2911</v>
      </c>
      <c r="E254" s="14" t="s">
        <v>3433</v>
      </c>
      <c r="F254" s="13">
        <v>64</v>
      </c>
      <c r="G254" s="14" t="s">
        <v>3434</v>
      </c>
      <c r="H254" s="13">
        <v>6164</v>
      </c>
      <c r="I254" s="14" t="s">
        <v>3433</v>
      </c>
      <c r="J254" s="14" t="s">
        <v>3435</v>
      </c>
      <c r="K254" s="478">
        <v>1</v>
      </c>
      <c r="L254" s="220">
        <v>64</v>
      </c>
      <c r="M254" s="473" t="s">
        <v>3436</v>
      </c>
      <c r="N254" s="473"/>
      <c r="O254" s="480"/>
      <c r="P254" s="14" t="s">
        <v>3419</v>
      </c>
      <c r="Q254" s="486" t="s">
        <v>3437</v>
      </c>
      <c r="R254" s="14">
        <v>15</v>
      </c>
      <c r="S254" s="14">
        <f t="shared" si="210"/>
        <v>9.6</v>
      </c>
      <c r="T254" s="220">
        <f>SUM(R253:R263)</f>
        <v>99.899999999999991</v>
      </c>
      <c r="U254" s="14">
        <f t="shared" si="257"/>
        <v>15.015015015015017</v>
      </c>
      <c r="V254" s="220">
        <f>U254*100/SUM(U254:U263)</f>
        <v>18.541409147095177</v>
      </c>
      <c r="W254" s="14" t="s">
        <v>508</v>
      </c>
      <c r="X254" s="14">
        <f t="shared" si="277"/>
        <v>18.541409147095177</v>
      </c>
      <c r="Y254" s="220">
        <f>SUM(X254:X256)</f>
        <v>64.276885043263277</v>
      </c>
      <c r="Z254" s="220">
        <f t="shared" ref="Z254:Z256" si="279">X254</f>
        <v>18.541409147095177</v>
      </c>
      <c r="AA254" s="792">
        <f t="shared" ref="AA254:AA256" si="280">Z254</f>
        <v>18.541409147095177</v>
      </c>
      <c r="AB254" s="18" t="s">
        <v>508</v>
      </c>
      <c r="AC254" s="14" t="s">
        <v>3421</v>
      </c>
      <c r="AD254" s="14" t="s">
        <v>3422</v>
      </c>
      <c r="AE254" s="12">
        <v>2.8834234570203239E-3</v>
      </c>
      <c r="AF254" s="12">
        <v>5.9265729118619818E-2</v>
      </c>
      <c r="AG254" s="12">
        <v>3.7800000000000003E-4</v>
      </c>
      <c r="AH254" s="12">
        <v>1.4550492E-3</v>
      </c>
    </row>
    <row r="255" spans="1:34" ht="12.75">
      <c r="A255" s="14" t="s">
        <v>3432</v>
      </c>
      <c r="B255" s="24" t="s">
        <v>2580</v>
      </c>
      <c r="C255" s="14" t="s">
        <v>2585</v>
      </c>
      <c r="D255" s="14" t="s">
        <v>2911</v>
      </c>
      <c r="E255" s="14" t="s">
        <v>3433</v>
      </c>
      <c r="F255" s="13">
        <v>64</v>
      </c>
      <c r="G255" s="14" t="s">
        <v>3434</v>
      </c>
      <c r="H255" s="13">
        <v>6164</v>
      </c>
      <c r="I255" s="14" t="s">
        <v>3433</v>
      </c>
      <c r="J255" s="14" t="s">
        <v>3435</v>
      </c>
      <c r="K255" s="478">
        <v>1</v>
      </c>
      <c r="L255" s="220">
        <v>64</v>
      </c>
      <c r="M255" s="473" t="s">
        <v>3436</v>
      </c>
      <c r="N255" s="473"/>
      <c r="O255" s="480"/>
      <c r="P255" s="14" t="s">
        <v>3388</v>
      </c>
      <c r="Q255" s="14" t="s">
        <v>3438</v>
      </c>
      <c r="R255" s="14">
        <v>16</v>
      </c>
      <c r="S255" s="14">
        <f t="shared" si="210"/>
        <v>10.24</v>
      </c>
      <c r="T255" s="220">
        <f>SUM(R253:R263)</f>
        <v>99.899999999999991</v>
      </c>
      <c r="U255" s="14">
        <f t="shared" si="257"/>
        <v>16.016016016016017</v>
      </c>
      <c r="V255" s="220">
        <f>U255*100/SUM(U254:U263)</f>
        <v>19.777503090234855</v>
      </c>
      <c r="W255" s="14" t="s">
        <v>3389</v>
      </c>
      <c r="X255" s="14">
        <f t="shared" si="277"/>
        <v>19.777503090234855</v>
      </c>
      <c r="Y255" s="220" t="s">
        <v>1666</v>
      </c>
      <c r="Z255" s="220">
        <f t="shared" si="279"/>
        <v>19.777503090234855</v>
      </c>
      <c r="AA255" s="792">
        <f t="shared" si="280"/>
        <v>19.777503090234855</v>
      </c>
      <c r="AB255" s="18" t="s">
        <v>70</v>
      </c>
      <c r="AC255" s="13" t="s">
        <v>3392</v>
      </c>
      <c r="AD255" s="13" t="s">
        <v>3393</v>
      </c>
      <c r="AE255" s="12">
        <v>7.1317551258113035E-4</v>
      </c>
      <c r="AF255" s="12">
        <v>1.4658570748517077E-2</v>
      </c>
      <c r="AG255" s="12">
        <v>9.34931506849315E-5</v>
      </c>
      <c r="AH255" s="12">
        <v>3.5988659817351594E-4</v>
      </c>
    </row>
    <row r="256" spans="1:34" ht="12.75">
      <c r="A256" s="14" t="s">
        <v>3432</v>
      </c>
      <c r="B256" s="24" t="s">
        <v>2580</v>
      </c>
      <c r="C256" s="14" t="s">
        <v>2585</v>
      </c>
      <c r="D256" s="14" t="s">
        <v>2911</v>
      </c>
      <c r="E256" s="14" t="s">
        <v>3433</v>
      </c>
      <c r="F256" s="13">
        <v>64</v>
      </c>
      <c r="G256" s="14" t="s">
        <v>3434</v>
      </c>
      <c r="H256" s="13">
        <v>6164</v>
      </c>
      <c r="I256" s="14" t="s">
        <v>3433</v>
      </c>
      <c r="J256" s="14" t="s">
        <v>3435</v>
      </c>
      <c r="K256" s="478">
        <v>1</v>
      </c>
      <c r="L256" s="220">
        <v>64</v>
      </c>
      <c r="M256" s="473" t="s">
        <v>3436</v>
      </c>
      <c r="N256" s="473"/>
      <c r="O256" s="480"/>
      <c r="P256" s="14" t="s">
        <v>1780</v>
      </c>
      <c r="Q256" s="486" t="s">
        <v>3439</v>
      </c>
      <c r="R256" s="14">
        <v>21</v>
      </c>
      <c r="S256" s="14">
        <f t="shared" si="210"/>
        <v>13.44</v>
      </c>
      <c r="T256" s="220">
        <f>SUM(R253:R263)</f>
        <v>99.899999999999991</v>
      </c>
      <c r="U256" s="14">
        <f t="shared" si="257"/>
        <v>21.021021021021024</v>
      </c>
      <c r="V256" s="220">
        <f>U256*100/SUM(U254:U263)</f>
        <v>25.957972805933249</v>
      </c>
      <c r="W256" s="14" t="s">
        <v>506</v>
      </c>
      <c r="X256" s="14">
        <f t="shared" si="277"/>
        <v>25.957972805933249</v>
      </c>
      <c r="Y256" s="220" t="s">
        <v>1666</v>
      </c>
      <c r="Z256" s="220">
        <f t="shared" si="279"/>
        <v>25.957972805933249</v>
      </c>
      <c r="AA256" s="792">
        <f t="shared" si="280"/>
        <v>25.957972805933249</v>
      </c>
      <c r="AB256" s="18" t="s">
        <v>506</v>
      </c>
      <c r="AC256" s="13" t="s">
        <v>1780</v>
      </c>
      <c r="AD256" s="13" t="s">
        <v>1781</v>
      </c>
      <c r="AE256" s="12">
        <v>4.8057057617005398E-4</v>
      </c>
      <c r="AF256" s="12">
        <v>9.8776215197699697E-3</v>
      </c>
      <c r="AG256" s="12">
        <v>6.3E-5</v>
      </c>
      <c r="AH256" s="12">
        <v>2.4250819999999999E-4</v>
      </c>
    </row>
    <row r="257" spans="1:34" ht="12.75">
      <c r="A257" s="14" t="s">
        <v>3432</v>
      </c>
      <c r="B257" s="24" t="s">
        <v>2580</v>
      </c>
      <c r="C257" s="14" t="s">
        <v>2585</v>
      </c>
      <c r="D257" s="14" t="s">
        <v>2911</v>
      </c>
      <c r="E257" s="14" t="s">
        <v>3433</v>
      </c>
      <c r="F257" s="13">
        <v>64</v>
      </c>
      <c r="G257" s="14" t="s">
        <v>3434</v>
      </c>
      <c r="H257" s="13">
        <v>6164</v>
      </c>
      <c r="I257" s="14" t="s">
        <v>3433</v>
      </c>
      <c r="J257" s="14" t="s">
        <v>3435</v>
      </c>
      <c r="K257" s="478">
        <v>1</v>
      </c>
      <c r="L257" s="220">
        <v>64</v>
      </c>
      <c r="M257" s="473" t="s">
        <v>3436</v>
      </c>
      <c r="N257" s="473"/>
      <c r="O257" s="480"/>
      <c r="P257" s="14" t="s">
        <v>2584</v>
      </c>
      <c r="Q257" s="486" t="s">
        <v>3440</v>
      </c>
      <c r="R257" s="14">
        <v>12</v>
      </c>
      <c r="S257" s="14">
        <f t="shared" si="210"/>
        <v>7.68</v>
      </c>
      <c r="T257" s="220">
        <f>SUM(R253:R263)</f>
        <v>99.899999999999991</v>
      </c>
      <c r="U257" s="14">
        <f t="shared" si="257"/>
        <v>12.012012012012013</v>
      </c>
      <c r="V257" s="220">
        <f>U257*100/SUM(U254:U263)</f>
        <v>14.833127317676141</v>
      </c>
      <c r="W257" s="14" t="s">
        <v>2584</v>
      </c>
      <c r="X257" s="14">
        <f t="shared" si="277"/>
        <v>14.833127317676141</v>
      </c>
      <c r="Y257" s="220">
        <f t="shared" ref="Y257:AA257" si="281">X257</f>
        <v>14.833127317676141</v>
      </c>
      <c r="Z257" s="220">
        <f t="shared" si="281"/>
        <v>14.833127317676141</v>
      </c>
      <c r="AA257" s="792">
        <f t="shared" si="281"/>
        <v>14.833127317676141</v>
      </c>
      <c r="AB257" s="18" t="s">
        <v>2584</v>
      </c>
      <c r="AC257" s="13" t="s">
        <v>3424</v>
      </c>
      <c r="AD257" s="13" t="s">
        <v>3425</v>
      </c>
      <c r="AE257" s="12">
        <v>4.7754773653722405E-4</v>
      </c>
      <c r="AF257" s="12">
        <v>9.9048845026103102E-3</v>
      </c>
      <c r="AG257" s="12">
        <v>1.1598405219282348E-5</v>
      </c>
      <c r="AH257" s="12">
        <v>9.908404494382022E-5</v>
      </c>
    </row>
    <row r="258" spans="1:34" ht="12.75">
      <c r="A258" s="14" t="s">
        <v>3432</v>
      </c>
      <c r="B258" s="24" t="s">
        <v>2580</v>
      </c>
      <c r="C258" s="14" t="s">
        <v>2585</v>
      </c>
      <c r="D258" s="14" t="s">
        <v>2911</v>
      </c>
      <c r="E258" s="14" t="s">
        <v>3433</v>
      </c>
      <c r="F258" s="13">
        <v>64</v>
      </c>
      <c r="G258" s="14" t="s">
        <v>3434</v>
      </c>
      <c r="H258" s="13">
        <v>6164</v>
      </c>
      <c r="I258" s="14" t="s">
        <v>3433</v>
      </c>
      <c r="J258" s="14" t="s">
        <v>3435</v>
      </c>
      <c r="K258" s="478">
        <v>1</v>
      </c>
      <c r="L258" s="220">
        <v>64</v>
      </c>
      <c r="M258" s="473" t="s">
        <v>3436</v>
      </c>
      <c r="N258" s="473"/>
      <c r="O258" s="480"/>
      <c r="P258" s="14" t="s">
        <v>3441</v>
      </c>
      <c r="Q258" s="14" t="s">
        <v>3442</v>
      </c>
      <c r="R258" s="14">
        <v>12</v>
      </c>
      <c r="S258" s="14">
        <f t="shared" si="210"/>
        <v>7.68</v>
      </c>
      <c r="T258" s="220">
        <f>SUM(R253:R263)</f>
        <v>99.899999999999991</v>
      </c>
      <c r="U258" s="14">
        <f t="shared" si="257"/>
        <v>12.012012012012013</v>
      </c>
      <c r="V258" s="220">
        <f>U258*100/SUM(U254:U263)</f>
        <v>14.833127317676141</v>
      </c>
      <c r="W258" s="14" t="s">
        <v>516</v>
      </c>
      <c r="X258" s="14">
        <f t="shared" si="277"/>
        <v>14.833127317676141</v>
      </c>
      <c r="Y258" s="220">
        <f>SUM(X258:X259)</f>
        <v>17.305315203955498</v>
      </c>
      <c r="Z258" s="220">
        <f t="shared" ref="Z258:Z263" si="282">X258</f>
        <v>14.833127317676141</v>
      </c>
      <c r="AA258" s="792">
        <f t="shared" ref="AA258:AA263" si="283">Z258</f>
        <v>14.833127317676141</v>
      </c>
      <c r="AB258" s="18" t="s">
        <v>2586</v>
      </c>
      <c r="AC258" s="13" t="s">
        <v>3443</v>
      </c>
      <c r="AD258" s="13" t="s">
        <v>3444</v>
      </c>
      <c r="AE258" s="12">
        <v>7.9819533896283569E-4</v>
      </c>
      <c r="AF258" s="12">
        <v>1.9185232895529411E-2</v>
      </c>
      <c r="AG258" s="12">
        <v>4.9411764705882349E-5</v>
      </c>
      <c r="AH258" s="12">
        <v>3.1124047058823527E-4</v>
      </c>
    </row>
    <row r="259" spans="1:34" ht="12.75">
      <c r="A259" s="14" t="s">
        <v>3432</v>
      </c>
      <c r="B259" s="24" t="s">
        <v>2580</v>
      </c>
      <c r="C259" s="14" t="s">
        <v>2585</v>
      </c>
      <c r="D259" s="14" t="s">
        <v>2911</v>
      </c>
      <c r="E259" s="14" t="s">
        <v>3433</v>
      </c>
      <c r="F259" s="13">
        <v>64</v>
      </c>
      <c r="G259" s="14" t="s">
        <v>3434</v>
      </c>
      <c r="H259" s="13">
        <v>6164</v>
      </c>
      <c r="I259" s="14" t="s">
        <v>3433</v>
      </c>
      <c r="J259" s="14" t="s">
        <v>3435</v>
      </c>
      <c r="K259" s="478">
        <v>1</v>
      </c>
      <c r="L259" s="220">
        <v>64</v>
      </c>
      <c r="M259" s="473" t="s">
        <v>3436</v>
      </c>
      <c r="N259" s="473"/>
      <c r="O259" s="480"/>
      <c r="P259" s="14" t="s">
        <v>3404</v>
      </c>
      <c r="Q259" s="486" t="s">
        <v>3445</v>
      </c>
      <c r="R259" s="14">
        <v>2</v>
      </c>
      <c r="S259" s="14">
        <f t="shared" si="210"/>
        <v>1.28</v>
      </c>
      <c r="T259" s="220">
        <f>SUM(R253:R263)</f>
        <v>99.899999999999991</v>
      </c>
      <c r="U259" s="14">
        <f t="shared" si="257"/>
        <v>2.0020020020020022</v>
      </c>
      <c r="V259" s="220">
        <f>U259*100/SUM(U254:U263)</f>
        <v>2.4721878862793569</v>
      </c>
      <c r="W259" s="14" t="s">
        <v>3404</v>
      </c>
      <c r="X259" s="14">
        <f t="shared" si="277"/>
        <v>2.4721878862793569</v>
      </c>
      <c r="Y259" s="220" t="s">
        <v>1666</v>
      </c>
      <c r="Z259" s="220">
        <f t="shared" si="282"/>
        <v>2.4721878862793569</v>
      </c>
      <c r="AA259" s="792">
        <f t="shared" si="283"/>
        <v>2.4721878862793569</v>
      </c>
      <c r="AB259" s="18" t="s">
        <v>2587</v>
      </c>
      <c r="AC259" s="13" t="str">
        <f t="shared" ref="AC259:AD259" si="284">AB259</f>
        <v>green and red peppers</v>
      </c>
      <c r="AD259" s="13" t="str">
        <f t="shared" si="284"/>
        <v>green and red peppers</v>
      </c>
      <c r="AE259" s="454">
        <v>8.2739760746147598E-4</v>
      </c>
      <c r="AF259" s="454">
        <v>1.9887131659999998E-2</v>
      </c>
      <c r="AG259" s="454">
        <v>5.1219512195121953E-5</v>
      </c>
      <c r="AH259" s="454">
        <v>3.2262731707317075E-4</v>
      </c>
    </row>
    <row r="260" spans="1:34" ht="12.75">
      <c r="A260" s="14" t="s">
        <v>3432</v>
      </c>
      <c r="B260" s="24" t="s">
        <v>2580</v>
      </c>
      <c r="C260" s="14" t="s">
        <v>2585</v>
      </c>
      <c r="D260" s="14" t="s">
        <v>2911</v>
      </c>
      <c r="E260" s="14" t="s">
        <v>3433</v>
      </c>
      <c r="F260" s="13">
        <v>64</v>
      </c>
      <c r="G260" s="14" t="s">
        <v>3434</v>
      </c>
      <c r="H260" s="13">
        <v>6164</v>
      </c>
      <c r="I260" s="14" t="s">
        <v>3433</v>
      </c>
      <c r="J260" s="14" t="s">
        <v>3435</v>
      </c>
      <c r="K260" s="478">
        <v>1</v>
      </c>
      <c r="L260" s="220">
        <v>64</v>
      </c>
      <c r="M260" s="473" t="s">
        <v>3436</v>
      </c>
      <c r="N260" s="473"/>
      <c r="O260" s="480"/>
      <c r="P260" s="14" t="s">
        <v>85</v>
      </c>
      <c r="Q260" s="14" t="s">
        <v>3442</v>
      </c>
      <c r="R260" s="14">
        <v>1</v>
      </c>
      <c r="S260" s="14">
        <f t="shared" si="210"/>
        <v>0.64</v>
      </c>
      <c r="T260" s="220">
        <f>SUM(R253:R263)</f>
        <v>99.899999999999991</v>
      </c>
      <c r="U260" s="14">
        <f t="shared" si="257"/>
        <v>1.0010010010010011</v>
      </c>
      <c r="V260" s="220">
        <f>U260*100/SUM(U254:U263)</f>
        <v>1.2360939431396785</v>
      </c>
      <c r="W260" s="14" t="s">
        <v>85</v>
      </c>
      <c r="X260" s="14">
        <f t="shared" si="277"/>
        <v>1.2360939431396785</v>
      </c>
      <c r="Y260" s="499">
        <f t="shared" ref="Y260:Y265" si="285">X260</f>
        <v>1.2360939431396785</v>
      </c>
      <c r="Z260" s="220">
        <f t="shared" si="282"/>
        <v>1.2360939431396785</v>
      </c>
      <c r="AA260" s="792">
        <f t="shared" si="283"/>
        <v>1.2360939431396785</v>
      </c>
      <c r="AB260" s="18" t="s">
        <v>85</v>
      </c>
      <c r="AC260" s="14" t="s">
        <v>18</v>
      </c>
      <c r="AD260" s="14" t="s">
        <v>3144</v>
      </c>
      <c r="AE260" s="12">
        <v>2.0262392565709405E-4</v>
      </c>
      <c r="AF260" s="12">
        <v>1.0885928720785719E-2</v>
      </c>
      <c r="AG260" s="12">
        <v>6.2837933649623454E-6</v>
      </c>
      <c r="AH260" s="12">
        <v>4.6142098112569087E-5</v>
      </c>
    </row>
    <row r="261" spans="1:34" ht="12.75">
      <c r="A261" s="14" t="s">
        <v>3432</v>
      </c>
      <c r="B261" s="24" t="s">
        <v>2580</v>
      </c>
      <c r="C261" s="14" t="s">
        <v>2585</v>
      </c>
      <c r="D261" s="14" t="s">
        <v>2911</v>
      </c>
      <c r="E261" s="14" t="s">
        <v>3433</v>
      </c>
      <c r="F261" s="13">
        <v>64</v>
      </c>
      <c r="G261" s="14" t="s">
        <v>3434</v>
      </c>
      <c r="H261" s="13">
        <v>6164</v>
      </c>
      <c r="I261" s="14" t="s">
        <v>3433</v>
      </c>
      <c r="J261" s="14" t="s">
        <v>3435</v>
      </c>
      <c r="K261" s="478">
        <v>1</v>
      </c>
      <c r="L261" s="220">
        <v>64</v>
      </c>
      <c r="M261" s="473" t="s">
        <v>3436</v>
      </c>
      <c r="N261" s="473"/>
      <c r="O261" s="480"/>
      <c r="P261" s="14" t="s">
        <v>3446</v>
      </c>
      <c r="Q261" s="527" t="s">
        <v>3430</v>
      </c>
      <c r="R261" s="14">
        <v>1.3</v>
      </c>
      <c r="S261" s="14">
        <f t="shared" si="210"/>
        <v>0.83200000000000007</v>
      </c>
      <c r="T261" s="220">
        <f>SUM(R253:R263)</f>
        <v>99.899999999999991</v>
      </c>
      <c r="U261" s="14">
        <f t="shared" si="257"/>
        <v>1.3013013013013015</v>
      </c>
      <c r="V261" s="220">
        <f>U261*100/SUM(U254:U263)</f>
        <v>1.606922126081582</v>
      </c>
      <c r="W261" s="14" t="s">
        <v>83</v>
      </c>
      <c r="X261" s="14">
        <f t="shared" si="277"/>
        <v>1.606922126081582</v>
      </c>
      <c r="Y261" s="499">
        <f t="shared" si="285"/>
        <v>1.606922126081582</v>
      </c>
      <c r="Z261" s="220">
        <f t="shared" si="282"/>
        <v>1.606922126081582</v>
      </c>
      <c r="AA261" s="792">
        <f t="shared" si="283"/>
        <v>1.606922126081582</v>
      </c>
      <c r="AB261" s="18" t="s">
        <v>83</v>
      </c>
      <c r="AC261" s="14" t="s">
        <v>83</v>
      </c>
      <c r="AD261" s="14" t="s">
        <v>2951</v>
      </c>
      <c r="AE261" s="12">
        <v>0</v>
      </c>
      <c r="AF261" s="12">
        <v>0</v>
      </c>
      <c r="AG261" s="12">
        <v>0</v>
      </c>
      <c r="AH261" s="12">
        <v>0</v>
      </c>
    </row>
    <row r="262" spans="1:34" ht="12.75">
      <c r="A262" s="14" t="s">
        <v>3432</v>
      </c>
      <c r="B262" s="24" t="s">
        <v>2580</v>
      </c>
      <c r="C262" s="14" t="s">
        <v>2585</v>
      </c>
      <c r="D262" s="14" t="s">
        <v>2911</v>
      </c>
      <c r="E262" s="14" t="s">
        <v>3433</v>
      </c>
      <c r="F262" s="13">
        <v>64</v>
      </c>
      <c r="G262" s="14" t="s">
        <v>3434</v>
      </c>
      <c r="H262" s="13">
        <v>6164</v>
      </c>
      <c r="I262" s="14" t="s">
        <v>3433</v>
      </c>
      <c r="J262" s="14" t="s">
        <v>3435</v>
      </c>
      <c r="K262" s="478">
        <v>1</v>
      </c>
      <c r="L262" s="220">
        <v>64</v>
      </c>
      <c r="M262" s="473" t="s">
        <v>3436</v>
      </c>
      <c r="N262" s="473"/>
      <c r="O262" s="480"/>
      <c r="P262" s="14" t="s">
        <v>3426</v>
      </c>
      <c r="Q262" s="14" t="s">
        <v>3427</v>
      </c>
      <c r="R262" s="14">
        <v>0.3</v>
      </c>
      <c r="S262" s="14">
        <f t="shared" si="210"/>
        <v>0.192</v>
      </c>
      <c r="T262" s="220">
        <f>SUM(R253:R263)</f>
        <v>99.899999999999991</v>
      </c>
      <c r="U262" s="14">
        <f t="shared" si="257"/>
        <v>0.3003003003003003</v>
      </c>
      <c r="V262" s="220">
        <f>U262*100/SUM(U254:U263)</f>
        <v>0.37082818294190351</v>
      </c>
      <c r="W262" s="14" t="s">
        <v>462</v>
      </c>
      <c r="X262" s="14">
        <f t="shared" si="277"/>
        <v>0.37082818294190351</v>
      </c>
      <c r="Y262" s="499">
        <f t="shared" si="285"/>
        <v>0.37082818294190351</v>
      </c>
      <c r="Z262" s="220">
        <f t="shared" si="282"/>
        <v>0.37082818294190351</v>
      </c>
      <c r="AA262" s="792">
        <f t="shared" si="283"/>
        <v>0.37082818294190351</v>
      </c>
      <c r="AB262" s="18" t="s">
        <v>462</v>
      </c>
      <c r="AC262" s="13" t="s">
        <v>3428</v>
      </c>
      <c r="AD262" s="13" t="s">
        <v>3429</v>
      </c>
      <c r="AE262" s="12">
        <v>1.6146898803046799E-3</v>
      </c>
      <c r="AF262" s="12">
        <v>2.6750090678273501E-2</v>
      </c>
      <c r="AG262" s="12">
        <v>9.3103448275862075E-5</v>
      </c>
      <c r="AH262" s="12">
        <v>1.0896397701149426E-3</v>
      </c>
    </row>
    <row r="263" spans="1:34" ht="12.75">
      <c r="A263" s="617" t="s">
        <v>3432</v>
      </c>
      <c r="B263" s="794" t="s">
        <v>2580</v>
      </c>
      <c r="C263" s="617" t="s">
        <v>2585</v>
      </c>
      <c r="D263" s="617" t="s">
        <v>2911</v>
      </c>
      <c r="E263" s="617" t="s">
        <v>3433</v>
      </c>
      <c r="F263" s="799">
        <v>64</v>
      </c>
      <c r="G263" s="617" t="s">
        <v>3434</v>
      </c>
      <c r="H263" s="799">
        <v>6164</v>
      </c>
      <c r="I263" s="617" t="s">
        <v>3433</v>
      </c>
      <c r="J263" s="617" t="s">
        <v>3435</v>
      </c>
      <c r="K263" s="838">
        <v>1</v>
      </c>
      <c r="L263" s="725">
        <v>64</v>
      </c>
      <c r="M263" s="850" t="s">
        <v>3436</v>
      </c>
      <c r="N263" s="850"/>
      <c r="O263" s="842"/>
      <c r="P263" s="617" t="s">
        <v>2945</v>
      </c>
      <c r="Q263" s="617" t="s">
        <v>3447</v>
      </c>
      <c r="R263" s="617">
        <v>0.3</v>
      </c>
      <c r="S263" s="617">
        <f t="shared" si="210"/>
        <v>0.192</v>
      </c>
      <c r="T263" s="868">
        <f>SUM(R253:R263)</f>
        <v>99.899999999999991</v>
      </c>
      <c r="U263" s="617">
        <f t="shared" si="257"/>
        <v>0.3003003003003003</v>
      </c>
      <c r="V263" s="725">
        <f>U263*100/SUM(U254:U263)</f>
        <v>0.37082818294190351</v>
      </c>
      <c r="W263" s="617" t="s">
        <v>433</v>
      </c>
      <c r="X263" s="617">
        <f t="shared" si="277"/>
        <v>0.37082818294190351</v>
      </c>
      <c r="Y263" s="862">
        <f t="shared" si="285"/>
        <v>0.37082818294190351</v>
      </c>
      <c r="Z263" s="725">
        <f t="shared" si="282"/>
        <v>0.37082818294190351</v>
      </c>
      <c r="AA263" s="455">
        <f t="shared" si="283"/>
        <v>0.37082818294190351</v>
      </c>
      <c r="AB263" s="793" t="s">
        <v>433</v>
      </c>
      <c r="AC263" s="799" t="s">
        <v>433</v>
      </c>
      <c r="AD263" s="799" t="s">
        <v>2947</v>
      </c>
      <c r="AE263" s="635">
        <v>3.0104466724907065E-4</v>
      </c>
      <c r="AF263" s="635">
        <v>1.2500000000000001E-2</v>
      </c>
      <c r="AG263" s="635">
        <v>5.1818181818181835E-4</v>
      </c>
      <c r="AH263" s="635">
        <v>4.0084080366977777E-4</v>
      </c>
    </row>
    <row r="264" spans="1:34" ht="12.75">
      <c r="A264" s="617" t="s">
        <v>3448</v>
      </c>
      <c r="B264" s="799" t="s">
        <v>2580</v>
      </c>
      <c r="C264" s="617" t="s">
        <v>2588</v>
      </c>
      <c r="D264" s="617" t="s">
        <v>2911</v>
      </c>
      <c r="E264" s="617" t="s">
        <v>3449</v>
      </c>
      <c r="F264" s="799">
        <v>68</v>
      </c>
      <c r="G264" s="617" t="s">
        <v>3195</v>
      </c>
      <c r="H264" s="799">
        <v>11061</v>
      </c>
      <c r="I264" s="617" t="s">
        <v>3449</v>
      </c>
      <c r="J264" s="617" t="s">
        <v>3450</v>
      </c>
      <c r="K264" s="838">
        <v>1</v>
      </c>
      <c r="L264" s="725">
        <v>68</v>
      </c>
      <c r="M264" s="850" t="s">
        <v>3451</v>
      </c>
      <c r="N264" s="850"/>
      <c r="O264" s="842"/>
      <c r="P264" s="617" t="s">
        <v>3449</v>
      </c>
      <c r="Q264" s="617" t="s">
        <v>3452</v>
      </c>
      <c r="R264" s="617">
        <v>100</v>
      </c>
      <c r="S264" s="617">
        <f t="shared" si="210"/>
        <v>68</v>
      </c>
      <c r="T264" s="725">
        <f t="shared" ref="T264:T267" si="286">R264</f>
        <v>100</v>
      </c>
      <c r="U264" s="617">
        <f t="shared" ref="U264:U267" si="287">R264</f>
        <v>100</v>
      </c>
      <c r="V264" s="725">
        <f t="shared" ref="V264:V268" si="288">U264</f>
        <v>100</v>
      </c>
      <c r="W264" s="617" t="s">
        <v>2589</v>
      </c>
      <c r="X264" s="617">
        <f>V264</f>
        <v>100</v>
      </c>
      <c r="Y264" s="725">
        <f t="shared" si="285"/>
        <v>100</v>
      </c>
      <c r="Z264" s="725">
        <f t="shared" ref="Z264:AA264" si="289">Y264</f>
        <v>100</v>
      </c>
      <c r="AA264" s="455">
        <f t="shared" si="289"/>
        <v>100</v>
      </c>
      <c r="AB264" s="793" t="s">
        <v>2589</v>
      </c>
      <c r="AC264" s="799" t="s">
        <v>3453</v>
      </c>
      <c r="AD264" s="799" t="s">
        <v>3454</v>
      </c>
      <c r="AE264" s="635">
        <v>2.9479682138342099E-3</v>
      </c>
      <c r="AF264" s="635">
        <v>2.6157365601107697E-2</v>
      </c>
      <c r="AG264" s="635">
        <v>6.1363636363636362E-5</v>
      </c>
      <c r="AH264" s="635">
        <v>3.5908655328750923E-4</v>
      </c>
    </row>
    <row r="265" spans="1:34" ht="12.75">
      <c r="A265" s="14" t="s">
        <v>3455</v>
      </c>
      <c r="B265" s="13" t="s">
        <v>2580</v>
      </c>
      <c r="C265" s="14" t="s">
        <v>2590</v>
      </c>
      <c r="D265" s="14" t="s">
        <v>2911</v>
      </c>
      <c r="E265" s="14" t="s">
        <v>286</v>
      </c>
      <c r="F265" s="13">
        <v>115.47</v>
      </c>
      <c r="G265" s="14" t="s">
        <v>3195</v>
      </c>
      <c r="H265" s="13">
        <v>16039</v>
      </c>
      <c r="I265" s="135" t="s">
        <v>286</v>
      </c>
      <c r="J265" s="135" t="s">
        <v>3456</v>
      </c>
      <c r="K265" s="475">
        <f>40/102</f>
        <v>0.39215686274509803</v>
      </c>
      <c r="L265" s="476">
        <v>52.4</v>
      </c>
      <c r="M265" s="492" t="s">
        <v>3457</v>
      </c>
      <c r="N265" s="492"/>
      <c r="O265" s="494"/>
      <c r="P265" s="135" t="s">
        <v>286</v>
      </c>
      <c r="Q265" s="135" t="s">
        <v>3458</v>
      </c>
      <c r="R265" s="135">
        <v>100</v>
      </c>
      <c r="S265" s="135">
        <f t="shared" si="210"/>
        <v>52.4</v>
      </c>
      <c r="T265" s="476">
        <f t="shared" si="286"/>
        <v>100</v>
      </c>
      <c r="U265" s="135">
        <f t="shared" si="287"/>
        <v>100</v>
      </c>
      <c r="V265" s="476">
        <f t="shared" si="288"/>
        <v>100</v>
      </c>
      <c r="W265" s="135" t="s">
        <v>3456</v>
      </c>
      <c r="X265" s="14">
        <f t="shared" ref="X265:X290" si="290">V265*K265</f>
        <v>39.215686274509807</v>
      </c>
      <c r="Y265" s="220">
        <f t="shared" si="285"/>
        <v>39.215686274509807</v>
      </c>
      <c r="Z265" s="220">
        <f t="shared" ref="Z265:AA265" si="291">Y265</f>
        <v>39.215686274509807</v>
      </c>
      <c r="AA265" s="792">
        <f t="shared" si="291"/>
        <v>39.215686274509807</v>
      </c>
      <c r="AB265" s="18" t="s">
        <v>295</v>
      </c>
      <c r="AC265" s="13" t="s">
        <v>3459</v>
      </c>
      <c r="AD265" s="13" t="s">
        <v>3460</v>
      </c>
      <c r="AE265" s="12">
        <v>2.0692254254943625E-3</v>
      </c>
      <c r="AF265" s="12">
        <v>2.7422367533161289E-2</v>
      </c>
      <c r="AG265" s="12">
        <v>4.191394658753709E-5</v>
      </c>
      <c r="AH265" s="12">
        <v>2.9199825221039441E-4</v>
      </c>
    </row>
    <row r="266" spans="1:34" ht="12.75">
      <c r="A266" s="14" t="s">
        <v>3455</v>
      </c>
      <c r="B266" s="13" t="s">
        <v>2580</v>
      </c>
      <c r="C266" s="14" t="s">
        <v>2590</v>
      </c>
      <c r="D266" s="14" t="s">
        <v>2911</v>
      </c>
      <c r="E266" s="14" t="s">
        <v>286</v>
      </c>
      <c r="F266" s="13">
        <v>115.47</v>
      </c>
      <c r="G266" s="14" t="s">
        <v>3195</v>
      </c>
      <c r="H266" s="13">
        <v>16039</v>
      </c>
      <c r="I266" s="135" t="s">
        <v>3461</v>
      </c>
      <c r="J266" s="135" t="s">
        <v>3462</v>
      </c>
      <c r="K266" s="475">
        <f t="shared" ref="K266:K281" si="292">14/102</f>
        <v>0.13725490196078433</v>
      </c>
      <c r="L266" s="476">
        <v>11.61</v>
      </c>
      <c r="M266" s="492" t="s">
        <v>3463</v>
      </c>
      <c r="N266" s="492"/>
      <c r="O266" s="494"/>
      <c r="P266" s="135" t="s">
        <v>3461</v>
      </c>
      <c r="Q266" s="871" t="s">
        <v>3464</v>
      </c>
      <c r="R266" s="135">
        <v>100</v>
      </c>
      <c r="S266" s="135">
        <f t="shared" si="210"/>
        <v>11.61</v>
      </c>
      <c r="T266" s="476">
        <f t="shared" si="286"/>
        <v>100</v>
      </c>
      <c r="U266" s="135">
        <f t="shared" si="287"/>
        <v>100</v>
      </c>
      <c r="V266" s="476">
        <f t="shared" si="288"/>
        <v>100</v>
      </c>
      <c r="W266" s="135" t="s">
        <v>3462</v>
      </c>
      <c r="X266" s="14">
        <f t="shared" si="290"/>
        <v>13.725490196078432</v>
      </c>
      <c r="Y266" s="220">
        <f>SUM(X266,X269)</f>
        <v>19.248826291079812</v>
      </c>
      <c r="Z266" s="220">
        <f t="shared" ref="Z266:AA266" si="293">Y266</f>
        <v>19.248826291079812</v>
      </c>
      <c r="AA266" s="792">
        <f t="shared" si="293"/>
        <v>19.248826291079812</v>
      </c>
      <c r="AB266" s="18" t="s">
        <v>2591</v>
      </c>
      <c r="AC266" s="13" t="s">
        <v>3459</v>
      </c>
      <c r="AD266" s="13" t="s">
        <v>3460</v>
      </c>
      <c r="AE266" s="12">
        <v>2.3887946390805602E-3</v>
      </c>
      <c r="AF266" s="12">
        <v>3.1657451985185346E-2</v>
      </c>
      <c r="AG266" s="12">
        <v>4.8387096774193554E-5</v>
      </c>
      <c r="AH266" s="12">
        <v>3.370941855377776E-4</v>
      </c>
    </row>
    <row r="267" spans="1:34" ht="12.75">
      <c r="A267" s="14" t="s">
        <v>3455</v>
      </c>
      <c r="B267" s="13" t="s">
        <v>2580</v>
      </c>
      <c r="C267" s="14" t="s">
        <v>2590</v>
      </c>
      <c r="D267" s="14" t="s">
        <v>2911</v>
      </c>
      <c r="E267" s="14" t="s">
        <v>286</v>
      </c>
      <c r="F267" s="13">
        <v>115.47</v>
      </c>
      <c r="G267" s="14" t="s">
        <v>3195</v>
      </c>
      <c r="H267" s="13">
        <v>16039</v>
      </c>
      <c r="I267" s="135" t="s">
        <v>3465</v>
      </c>
      <c r="J267" s="135" t="s">
        <v>3466</v>
      </c>
      <c r="K267" s="475">
        <f t="shared" si="292"/>
        <v>0.13725490196078433</v>
      </c>
      <c r="L267" s="476">
        <v>11.88</v>
      </c>
      <c r="M267" s="492" t="s">
        <v>3467</v>
      </c>
      <c r="N267" s="492"/>
      <c r="O267" s="494"/>
      <c r="P267" s="135" t="s">
        <v>3465</v>
      </c>
      <c r="Q267" s="871" t="s">
        <v>3468</v>
      </c>
      <c r="R267" s="135">
        <v>100</v>
      </c>
      <c r="S267" s="135">
        <f t="shared" si="210"/>
        <v>11.88</v>
      </c>
      <c r="T267" s="476">
        <f t="shared" si="286"/>
        <v>100</v>
      </c>
      <c r="U267" s="135">
        <f t="shared" si="287"/>
        <v>100</v>
      </c>
      <c r="V267" s="476">
        <f t="shared" si="288"/>
        <v>100</v>
      </c>
      <c r="W267" s="135" t="s">
        <v>3466</v>
      </c>
      <c r="X267" s="14">
        <f t="shared" si="290"/>
        <v>13.725490196078432</v>
      </c>
      <c r="Y267" s="220">
        <f t="shared" ref="Y267:AA267" si="294">X267</f>
        <v>13.725490196078432</v>
      </c>
      <c r="Z267" s="220">
        <f t="shared" si="294"/>
        <v>13.725490196078432</v>
      </c>
      <c r="AA267" s="792">
        <f t="shared" si="294"/>
        <v>13.725490196078432</v>
      </c>
      <c r="AB267" s="18" t="s">
        <v>2592</v>
      </c>
      <c r="AC267" s="13" t="s">
        <v>3459</v>
      </c>
      <c r="AD267" s="13" t="s">
        <v>3460</v>
      </c>
      <c r="AE267" s="12">
        <v>2.3255896375025138E-3</v>
      </c>
      <c r="AF267" s="12">
        <v>3.0819828997446758E-2</v>
      </c>
      <c r="AG267" s="12">
        <v>4.7106824925816024E-5</v>
      </c>
      <c r="AH267" s="12">
        <v>3.2817502682053179E-4</v>
      </c>
    </row>
    <row r="268" spans="1:34" ht="12.75">
      <c r="A268" s="14" t="s">
        <v>3455</v>
      </c>
      <c r="B268" s="24" t="s">
        <v>2580</v>
      </c>
      <c r="C268" s="14" t="s">
        <v>2590</v>
      </c>
      <c r="D268" s="14" t="s">
        <v>2911</v>
      </c>
      <c r="E268" s="14" t="s">
        <v>286</v>
      </c>
      <c r="F268" s="13">
        <v>115.47</v>
      </c>
      <c r="G268" s="14" t="s">
        <v>3195</v>
      </c>
      <c r="H268" s="13">
        <v>16039</v>
      </c>
      <c r="I268" s="14" t="s">
        <v>3469</v>
      </c>
      <c r="J268" s="14" t="s">
        <v>3470</v>
      </c>
      <c r="K268" s="478">
        <f t="shared" si="292"/>
        <v>0.13725490196078433</v>
      </c>
      <c r="L268" s="220">
        <v>17.36</v>
      </c>
      <c r="M268" s="473" t="s">
        <v>3471</v>
      </c>
      <c r="N268" s="473"/>
      <c r="O268" s="473" t="s">
        <v>3472</v>
      </c>
      <c r="P268" s="14" t="s">
        <v>2938</v>
      </c>
      <c r="Q268" s="435" t="s">
        <v>2939</v>
      </c>
      <c r="R268" s="14">
        <v>50</v>
      </c>
      <c r="S268" s="14">
        <f t="shared" si="210"/>
        <v>8.68</v>
      </c>
      <c r="T268" s="220">
        <f>SUM(R268:R269,R271:R281)</f>
        <v>99.7</v>
      </c>
      <c r="U268" s="14">
        <f t="shared" ref="U268:U290" si="295">R268*100/T268</f>
        <v>50.150451354062184</v>
      </c>
      <c r="V268" s="481">
        <f t="shared" si="288"/>
        <v>50.150451354062184</v>
      </c>
      <c r="W268" s="482" t="s">
        <v>72</v>
      </c>
      <c r="X268" s="482">
        <f t="shared" si="290"/>
        <v>6.8833952838908887</v>
      </c>
      <c r="Y268" s="481">
        <f>SUM(X268,X282,X270)</f>
        <v>12.528566947887226</v>
      </c>
      <c r="Z268" s="481">
        <f t="shared" ref="Z268:AA268" si="296">Y268</f>
        <v>12.528566947887226</v>
      </c>
      <c r="AA268" s="796">
        <f t="shared" si="296"/>
        <v>12.528566947887226</v>
      </c>
      <c r="AB268" s="456" t="s">
        <v>2593</v>
      </c>
      <c r="AC268" s="469" t="s">
        <v>2938</v>
      </c>
      <c r="AD268" s="469" t="s">
        <v>2940</v>
      </c>
      <c r="AE268" s="457">
        <v>0</v>
      </c>
      <c r="AF268" s="457">
        <v>0</v>
      </c>
      <c r="AG268" s="457">
        <v>0</v>
      </c>
      <c r="AH268" s="457">
        <v>0</v>
      </c>
    </row>
    <row r="269" spans="1:34" ht="12.75">
      <c r="A269" s="14" t="s">
        <v>3455</v>
      </c>
      <c r="B269" s="24" t="s">
        <v>2580</v>
      </c>
      <c r="C269" s="14" t="s">
        <v>2590</v>
      </c>
      <c r="D269" s="14" t="s">
        <v>2911</v>
      </c>
      <c r="E269" s="14" t="s">
        <v>286</v>
      </c>
      <c r="F269" s="13">
        <v>115.47</v>
      </c>
      <c r="G269" s="14" t="s">
        <v>3195</v>
      </c>
      <c r="H269" s="13">
        <v>16039</v>
      </c>
      <c r="I269" s="14" t="s">
        <v>3469</v>
      </c>
      <c r="J269" s="14" t="s">
        <v>3470</v>
      </c>
      <c r="K269" s="478">
        <f t="shared" si="292"/>
        <v>0.13725490196078433</v>
      </c>
      <c r="L269" s="220">
        <v>17.36</v>
      </c>
      <c r="M269" s="473" t="s">
        <v>3471</v>
      </c>
      <c r="N269" s="473"/>
      <c r="O269" s="473" t="s">
        <v>3472</v>
      </c>
      <c r="P269" s="14" t="s">
        <v>3461</v>
      </c>
      <c r="Q269" s="435" t="s">
        <v>3464</v>
      </c>
      <c r="R269" s="14">
        <v>20</v>
      </c>
      <c r="S269" s="14">
        <f t="shared" si="210"/>
        <v>3.472</v>
      </c>
      <c r="T269" s="220">
        <f>SUM(R268:R269,R271:R281)</f>
        <v>99.7</v>
      </c>
      <c r="U269" s="14">
        <f t="shared" si="295"/>
        <v>20.060180541624874</v>
      </c>
      <c r="V269" s="220">
        <f>U269*100/SUM(U269,U271:U281)</f>
        <v>40.241448692152915</v>
      </c>
      <c r="W269" s="14" t="s">
        <v>3462</v>
      </c>
      <c r="X269" s="14">
        <f t="shared" si="290"/>
        <v>5.5233360950013806</v>
      </c>
      <c r="Y269" s="220" t="s">
        <v>1666</v>
      </c>
      <c r="Z269" s="220" t="str">
        <f t="shared" ref="Z269:AH269" si="297">Y269</f>
        <v>*</v>
      </c>
      <c r="AA269" s="792" t="str">
        <f t="shared" si="297"/>
        <v>*</v>
      </c>
      <c r="AB269" s="517" t="str">
        <f t="shared" si="297"/>
        <v>*</v>
      </c>
      <c r="AC269" s="497" t="str">
        <f t="shared" si="297"/>
        <v>*</v>
      </c>
      <c r="AD269" s="497" t="str">
        <f t="shared" si="297"/>
        <v>*</v>
      </c>
      <c r="AE269" s="454" t="str">
        <f t="shared" si="297"/>
        <v>*</v>
      </c>
      <c r="AF269" s="454" t="str">
        <f t="shared" si="297"/>
        <v>*</v>
      </c>
      <c r="AG269" s="454" t="str">
        <f t="shared" si="297"/>
        <v>*</v>
      </c>
      <c r="AH269" s="454" t="str">
        <f t="shared" si="297"/>
        <v>*</v>
      </c>
    </row>
    <row r="270" spans="1:34" ht="12.75">
      <c r="A270" s="14" t="s">
        <v>3455</v>
      </c>
      <c r="B270" s="24" t="s">
        <v>2580</v>
      </c>
      <c r="C270" s="14" t="s">
        <v>2590</v>
      </c>
      <c r="D270" s="14" t="s">
        <v>2911</v>
      </c>
      <c r="E270" s="14" t="s">
        <v>286</v>
      </c>
      <c r="F270" s="13">
        <v>115.47</v>
      </c>
      <c r="G270" s="14" t="s">
        <v>3195</v>
      </c>
      <c r="H270" s="13">
        <v>16039</v>
      </c>
      <c r="I270" s="14" t="s">
        <v>3469</v>
      </c>
      <c r="J270" s="14" t="s">
        <v>3470</v>
      </c>
      <c r="K270" s="478">
        <f t="shared" si="292"/>
        <v>0.13725490196078433</v>
      </c>
      <c r="L270" s="220">
        <v>17.36</v>
      </c>
      <c r="M270" s="473" t="s">
        <v>3471</v>
      </c>
      <c r="N270" s="473"/>
      <c r="O270" s="473" t="s">
        <v>3472</v>
      </c>
      <c r="P270" s="489" t="s">
        <v>3416</v>
      </c>
      <c r="Q270" s="489" t="s">
        <v>3473</v>
      </c>
      <c r="R270" s="482">
        <f>15*0.449</f>
        <v>6.7350000000000003</v>
      </c>
      <c r="S270" s="482">
        <f t="shared" si="210"/>
        <v>1.1691960000000001</v>
      </c>
      <c r="T270" s="481">
        <v>100</v>
      </c>
      <c r="U270" s="482">
        <f t="shared" si="295"/>
        <v>6.7350000000000003</v>
      </c>
      <c r="V270" s="518">
        <f>U270</f>
        <v>6.7350000000000003</v>
      </c>
      <c r="W270" s="482" t="s">
        <v>3474</v>
      </c>
      <c r="X270" s="482">
        <f t="shared" si="290"/>
        <v>0.92441176470588249</v>
      </c>
      <c r="Y270" s="220" t="s">
        <v>1666</v>
      </c>
      <c r="Z270" s="220" t="str">
        <f t="shared" ref="Z270:AH270" si="298">Y270</f>
        <v>*</v>
      </c>
      <c r="AA270" s="792" t="str">
        <f t="shared" si="298"/>
        <v>*</v>
      </c>
      <c r="AB270" s="458" t="str">
        <f t="shared" si="298"/>
        <v>*</v>
      </c>
      <c r="AC270" s="497" t="str">
        <f t="shared" si="298"/>
        <v>*</v>
      </c>
      <c r="AD270" s="497" t="str">
        <f t="shared" si="298"/>
        <v>*</v>
      </c>
      <c r="AE270" s="454" t="str">
        <f t="shared" si="298"/>
        <v>*</v>
      </c>
      <c r="AF270" s="454" t="str">
        <f t="shared" si="298"/>
        <v>*</v>
      </c>
      <c r="AG270" s="454" t="str">
        <f t="shared" si="298"/>
        <v>*</v>
      </c>
      <c r="AH270" s="454" t="str">
        <f t="shared" si="298"/>
        <v>*</v>
      </c>
    </row>
    <row r="271" spans="1:34" ht="12.75">
      <c r="A271" s="14" t="s">
        <v>3455</v>
      </c>
      <c r="B271" s="24" t="s">
        <v>2580</v>
      </c>
      <c r="C271" s="14" t="s">
        <v>2590</v>
      </c>
      <c r="D271" s="14" t="s">
        <v>2911</v>
      </c>
      <c r="E271" s="14" t="s">
        <v>286</v>
      </c>
      <c r="F271" s="13">
        <v>115.47</v>
      </c>
      <c r="G271" s="14" t="s">
        <v>3195</v>
      </c>
      <c r="H271" s="13">
        <v>16039</v>
      </c>
      <c r="I271" s="14" t="s">
        <v>3469</v>
      </c>
      <c r="J271" s="14" t="s">
        <v>3470</v>
      </c>
      <c r="K271" s="478">
        <f t="shared" si="292"/>
        <v>0.13725490196078433</v>
      </c>
      <c r="L271" s="220">
        <v>17.36</v>
      </c>
      <c r="M271" s="473" t="s">
        <v>3471</v>
      </c>
      <c r="N271" s="473"/>
      <c r="O271" s="473" t="s">
        <v>3472</v>
      </c>
      <c r="P271" s="14" t="s">
        <v>3416</v>
      </c>
      <c r="Q271" s="14" t="s">
        <v>3473</v>
      </c>
      <c r="R271" s="14">
        <f>15*0.723</f>
        <v>10.844999999999999</v>
      </c>
      <c r="S271" s="14">
        <f t="shared" si="210"/>
        <v>1.8826919999999998</v>
      </c>
      <c r="T271" s="220">
        <f>SUM(R268:R269,R271:R281)</f>
        <v>99.7</v>
      </c>
      <c r="U271" s="14">
        <f t="shared" si="295"/>
        <v>10.877632898696088</v>
      </c>
      <c r="V271" s="519">
        <f>U271*100/SUM(U269,U271:U281)</f>
        <v>21.820925553319917</v>
      </c>
      <c r="W271" s="14" t="s">
        <v>3475</v>
      </c>
      <c r="X271" s="14">
        <f t="shared" si="290"/>
        <v>2.9950289975144986</v>
      </c>
      <c r="Y271" s="220">
        <f>SUM(X271,X285)</f>
        <v>3.9279281087160731</v>
      </c>
      <c r="Z271" s="220">
        <f t="shared" ref="Z271:AA271" si="299">Y271</f>
        <v>3.9279281087160731</v>
      </c>
      <c r="AA271" s="792">
        <f t="shared" si="299"/>
        <v>3.9279281087160731</v>
      </c>
      <c r="AB271" s="18" t="s">
        <v>506</v>
      </c>
      <c r="AC271" s="13" t="s">
        <v>1780</v>
      </c>
      <c r="AD271" s="13" t="s">
        <v>1781</v>
      </c>
      <c r="AE271" s="12">
        <v>4.8057057617005398E-4</v>
      </c>
      <c r="AF271" s="12">
        <v>9.8776215197699697E-3</v>
      </c>
      <c r="AG271" s="12">
        <v>6.3E-5</v>
      </c>
      <c r="AH271" s="12">
        <v>2.4250819999999999E-4</v>
      </c>
    </row>
    <row r="272" spans="1:34" ht="12.75">
      <c r="A272" s="14" t="s">
        <v>3455</v>
      </c>
      <c r="B272" s="24" t="s">
        <v>2580</v>
      </c>
      <c r="C272" s="14" t="s">
        <v>2590</v>
      </c>
      <c r="D272" s="14" t="s">
        <v>2911</v>
      </c>
      <c r="E272" s="14" t="s">
        <v>286</v>
      </c>
      <c r="F272" s="13">
        <v>115.47</v>
      </c>
      <c r="G272" s="14" t="s">
        <v>3195</v>
      </c>
      <c r="H272" s="13">
        <v>16039</v>
      </c>
      <c r="I272" s="14" t="s">
        <v>3469</v>
      </c>
      <c r="J272" s="14" t="s">
        <v>3470</v>
      </c>
      <c r="K272" s="478">
        <f t="shared" si="292"/>
        <v>0.13725490196078433</v>
      </c>
      <c r="L272" s="220">
        <v>17.36</v>
      </c>
      <c r="M272" s="473" t="s">
        <v>3471</v>
      </c>
      <c r="N272" s="473"/>
      <c r="O272" s="473" t="s">
        <v>3472</v>
      </c>
      <c r="P272" s="14" t="s">
        <v>3416</v>
      </c>
      <c r="Q272" s="14" t="s">
        <v>3473</v>
      </c>
      <c r="R272" s="14">
        <f>15*0.181</f>
        <v>2.7149999999999999</v>
      </c>
      <c r="S272" s="14">
        <f t="shared" si="210"/>
        <v>0.47132400000000002</v>
      </c>
      <c r="T272" s="220">
        <f>SUM(R268:R269,R271:R281)</f>
        <v>99.7</v>
      </c>
      <c r="U272" s="14">
        <f t="shared" si="295"/>
        <v>2.7231695085255767</v>
      </c>
      <c r="V272" s="519">
        <f>U272*100/SUM(U269,U271:U281)</f>
        <v>5.4627766599597587</v>
      </c>
      <c r="W272" s="14" t="s">
        <v>3476</v>
      </c>
      <c r="X272" s="14">
        <f t="shared" si="290"/>
        <v>0.74979287489643753</v>
      </c>
      <c r="Y272" s="499">
        <f>SUM(X272,X279)</f>
        <v>0.88787627727147211</v>
      </c>
      <c r="Z272" s="220">
        <f t="shared" ref="Z272:AA272" si="300">Y272</f>
        <v>0.88787627727147211</v>
      </c>
      <c r="AA272" s="792">
        <f t="shared" si="300"/>
        <v>0.88787627727147211</v>
      </c>
      <c r="AB272" s="18" t="s">
        <v>2584</v>
      </c>
      <c r="AC272" s="13" t="s">
        <v>3424</v>
      </c>
      <c r="AD272" s="13" t="s">
        <v>3425</v>
      </c>
      <c r="AE272" s="12">
        <v>4.7754773653722405E-4</v>
      </c>
      <c r="AF272" s="12">
        <v>9.9048845026103102E-3</v>
      </c>
      <c r="AG272" s="12">
        <v>1.1598405219282348E-5</v>
      </c>
      <c r="AH272" s="12">
        <v>9.908404494382022E-5</v>
      </c>
    </row>
    <row r="273" spans="1:34" ht="12.75">
      <c r="A273" s="14" t="s">
        <v>3455</v>
      </c>
      <c r="B273" s="24" t="s">
        <v>2580</v>
      </c>
      <c r="C273" s="14" t="s">
        <v>2590</v>
      </c>
      <c r="D273" s="14" t="s">
        <v>2911</v>
      </c>
      <c r="E273" s="14" t="s">
        <v>286</v>
      </c>
      <c r="F273" s="13">
        <v>115.47</v>
      </c>
      <c r="G273" s="14" t="s">
        <v>3195</v>
      </c>
      <c r="H273" s="13">
        <v>16039</v>
      </c>
      <c r="I273" s="14" t="s">
        <v>3469</v>
      </c>
      <c r="J273" s="14" t="s">
        <v>3470</v>
      </c>
      <c r="K273" s="478">
        <f t="shared" si="292"/>
        <v>0.13725490196078433</v>
      </c>
      <c r="L273" s="220">
        <v>17.36</v>
      </c>
      <c r="M273" s="473" t="s">
        <v>3471</v>
      </c>
      <c r="N273" s="473"/>
      <c r="O273" s="473" t="s">
        <v>3472</v>
      </c>
      <c r="P273" s="14" t="s">
        <v>3416</v>
      </c>
      <c r="Q273" s="14" t="s">
        <v>3473</v>
      </c>
      <c r="R273" s="14">
        <f>15*0.096</f>
        <v>1.44</v>
      </c>
      <c r="S273" s="14">
        <f t="shared" si="210"/>
        <v>0.24998399999999998</v>
      </c>
      <c r="T273" s="220">
        <f>SUM(R268:R269,R271:R281)</f>
        <v>99.7</v>
      </c>
      <c r="U273" s="14">
        <f t="shared" si="295"/>
        <v>1.4443329989969909</v>
      </c>
      <c r="V273" s="519">
        <f>U273*100/SUM(U269,U271:U281)</f>
        <v>2.8973843058350095</v>
      </c>
      <c r="W273" s="14" t="s">
        <v>3477</v>
      </c>
      <c r="X273" s="14">
        <f t="shared" si="290"/>
        <v>0.39768019884009936</v>
      </c>
      <c r="Y273" s="499">
        <f>X273</f>
        <v>0.39768019884009936</v>
      </c>
      <c r="Z273" s="220">
        <f>X273</f>
        <v>0.39768019884009936</v>
      </c>
      <c r="AA273" s="792">
        <f>Z273</f>
        <v>0.39768019884009936</v>
      </c>
      <c r="AB273" s="809" t="s">
        <v>2594</v>
      </c>
      <c r="AC273" s="511" t="s">
        <v>3174</v>
      </c>
      <c r="AD273" s="511" t="s">
        <v>3174</v>
      </c>
      <c r="AE273" s="461">
        <v>2.2073766211046637E-2</v>
      </c>
      <c r="AF273" s="461">
        <v>8.7246004352723297E-2</v>
      </c>
      <c r="AG273" s="461">
        <v>5.8202330775582959E-4</v>
      </c>
      <c r="AH273" s="461">
        <v>2.670351142205461E-3</v>
      </c>
    </row>
    <row r="274" spans="1:34" ht="12.75">
      <c r="A274" s="14" t="s">
        <v>3455</v>
      </c>
      <c r="B274" s="24" t="s">
        <v>2580</v>
      </c>
      <c r="C274" s="14" t="s">
        <v>2590</v>
      </c>
      <c r="D274" s="14" t="s">
        <v>2911</v>
      </c>
      <c r="E274" s="14" t="s">
        <v>286</v>
      </c>
      <c r="F274" s="13">
        <v>115.47</v>
      </c>
      <c r="G274" s="14" t="s">
        <v>3195</v>
      </c>
      <c r="H274" s="13">
        <v>16039</v>
      </c>
      <c r="I274" s="14" t="s">
        <v>3469</v>
      </c>
      <c r="J274" s="14" t="s">
        <v>3470</v>
      </c>
      <c r="K274" s="478">
        <f t="shared" si="292"/>
        <v>0.13725490196078433</v>
      </c>
      <c r="L274" s="220">
        <v>17.36</v>
      </c>
      <c r="M274" s="473" t="s">
        <v>3471</v>
      </c>
      <c r="N274" s="473"/>
      <c r="O274" s="473" t="s">
        <v>3472</v>
      </c>
      <c r="P274" s="14" t="s">
        <v>459</v>
      </c>
      <c r="Q274" s="14" t="s">
        <v>3401</v>
      </c>
      <c r="R274" s="14">
        <v>10</v>
      </c>
      <c r="S274" s="14">
        <f t="shared" si="210"/>
        <v>1.736</v>
      </c>
      <c r="T274" s="220">
        <f>SUM(R268:R269,R271:R281)</f>
        <v>99.7</v>
      </c>
      <c r="U274" s="14">
        <f t="shared" si="295"/>
        <v>10.030090270812437</v>
      </c>
      <c r="V274" s="220">
        <f>U274*100/SUM(U269,U271:U281)</f>
        <v>20.120724346076457</v>
      </c>
      <c r="W274" s="14" t="s">
        <v>459</v>
      </c>
      <c r="X274" s="14">
        <f t="shared" si="290"/>
        <v>2.7616680475006903</v>
      </c>
      <c r="Y274" s="220">
        <f>SUM(X274,X284)</f>
        <v>5.5603653811054121</v>
      </c>
      <c r="Z274" s="220">
        <f t="shared" ref="Z274:AA274" si="301">Y274</f>
        <v>5.5603653811054121</v>
      </c>
      <c r="AA274" s="792">
        <f t="shared" si="301"/>
        <v>5.5603653811054121</v>
      </c>
      <c r="AB274" s="18" t="s">
        <v>459</v>
      </c>
      <c r="AC274" s="14" t="s">
        <v>3478</v>
      </c>
      <c r="AD274" s="14" t="s">
        <v>3479</v>
      </c>
      <c r="AE274" s="12">
        <v>2.8944733420025999E-4</v>
      </c>
      <c r="AF274" s="12">
        <v>9.8179453836150891E-3</v>
      </c>
      <c r="AG274" s="12">
        <v>1.0639011302594951E-5</v>
      </c>
      <c r="AH274" s="12">
        <v>1.4697466666666669E-4</v>
      </c>
    </row>
    <row r="275" spans="1:34" ht="12.75">
      <c r="A275" s="14" t="s">
        <v>3455</v>
      </c>
      <c r="B275" s="24" t="s">
        <v>2580</v>
      </c>
      <c r="C275" s="14" t="s">
        <v>2590</v>
      </c>
      <c r="D275" s="14" t="s">
        <v>2911</v>
      </c>
      <c r="E275" s="14" t="s">
        <v>286</v>
      </c>
      <c r="F275" s="13">
        <v>115.47</v>
      </c>
      <c r="G275" s="14" t="s">
        <v>3195</v>
      </c>
      <c r="H275" s="13">
        <v>16039</v>
      </c>
      <c r="I275" s="14" t="s">
        <v>3469</v>
      </c>
      <c r="J275" s="14" t="s">
        <v>3470</v>
      </c>
      <c r="K275" s="478">
        <f t="shared" si="292"/>
        <v>0.13725490196078433</v>
      </c>
      <c r="L275" s="220">
        <v>17.36</v>
      </c>
      <c r="M275" s="473" t="s">
        <v>3471</v>
      </c>
      <c r="N275" s="473"/>
      <c r="O275" s="473" t="s">
        <v>3472</v>
      </c>
      <c r="P275" s="14" t="s">
        <v>83</v>
      </c>
      <c r="Q275" s="527" t="s">
        <v>3430</v>
      </c>
      <c r="R275" s="14">
        <v>1</v>
      </c>
      <c r="S275" s="14">
        <f t="shared" si="210"/>
        <v>0.1736</v>
      </c>
      <c r="T275" s="220">
        <f>SUM(R268:R269,R271:R281)</f>
        <v>99.7</v>
      </c>
      <c r="U275" s="14">
        <f t="shared" si="295"/>
        <v>1.0030090270812437</v>
      </c>
      <c r="V275" s="220">
        <f>U275*100/SUM(U269,U271:U281)</f>
        <v>2.0120724346076457</v>
      </c>
      <c r="W275" s="14" t="s">
        <v>83</v>
      </c>
      <c r="X275" s="14">
        <f t="shared" si="290"/>
        <v>0.27616680475006905</v>
      </c>
      <c r="Y275" s="499">
        <f>SUM(X275,X288)</f>
        <v>0.46274662699038382</v>
      </c>
      <c r="Z275" s="220">
        <f t="shared" ref="Z275:AA275" si="302">Y275</f>
        <v>0.46274662699038382</v>
      </c>
      <c r="AA275" s="792">
        <f t="shared" si="302"/>
        <v>0.46274662699038382</v>
      </c>
      <c r="AB275" s="18" t="s">
        <v>83</v>
      </c>
      <c r="AC275" s="14" t="s">
        <v>83</v>
      </c>
      <c r="AD275" s="14" t="s">
        <v>2951</v>
      </c>
      <c r="AE275" s="12">
        <v>0</v>
      </c>
      <c r="AF275" s="12">
        <v>0</v>
      </c>
      <c r="AG275" s="12">
        <v>0</v>
      </c>
      <c r="AH275" s="12">
        <v>0</v>
      </c>
    </row>
    <row r="276" spans="1:34" ht="12.75">
      <c r="A276" s="14" t="s">
        <v>3455</v>
      </c>
      <c r="B276" s="24" t="s">
        <v>2580</v>
      </c>
      <c r="C276" s="14" t="s">
        <v>2590</v>
      </c>
      <c r="D276" s="14" t="s">
        <v>2911</v>
      </c>
      <c r="E276" s="14" t="s">
        <v>286</v>
      </c>
      <c r="F276" s="13">
        <v>115.47</v>
      </c>
      <c r="G276" s="14" t="s">
        <v>3195</v>
      </c>
      <c r="H276" s="13">
        <v>16039</v>
      </c>
      <c r="I276" s="14" t="s">
        <v>3469</v>
      </c>
      <c r="J276" s="14" t="s">
        <v>3470</v>
      </c>
      <c r="K276" s="478">
        <f t="shared" si="292"/>
        <v>0.13725490196078433</v>
      </c>
      <c r="L276" s="220">
        <v>17.36</v>
      </c>
      <c r="M276" s="473" t="s">
        <v>3471</v>
      </c>
      <c r="N276" s="473"/>
      <c r="O276" s="473" t="s">
        <v>3472</v>
      </c>
      <c r="P276" s="655" t="s">
        <v>2977</v>
      </c>
      <c r="Q276" s="486" t="s">
        <v>2978</v>
      </c>
      <c r="R276" s="14">
        <v>1</v>
      </c>
      <c r="S276" s="14">
        <f t="shared" si="210"/>
        <v>0.1736</v>
      </c>
      <c r="T276" s="220">
        <f>SUM(R268:R269,R271:R281)</f>
        <v>99.7</v>
      </c>
      <c r="U276" s="14">
        <f t="shared" si="295"/>
        <v>1.0030090270812437</v>
      </c>
      <c r="V276" s="220">
        <f>U276*100/SUM(U269,U271:U281)</f>
        <v>2.0120724346076457</v>
      </c>
      <c r="W276" s="14" t="s">
        <v>1099</v>
      </c>
      <c r="X276" s="14">
        <f t="shared" si="290"/>
        <v>0.27616680475006905</v>
      </c>
      <c r="Y276" s="499">
        <f t="shared" ref="Y276:AA276" si="303">X276</f>
        <v>0.27616680475006905</v>
      </c>
      <c r="Z276" s="220">
        <f t="shared" si="303"/>
        <v>0.27616680475006905</v>
      </c>
      <c r="AA276" s="792">
        <f t="shared" si="303"/>
        <v>0.27616680475006905</v>
      </c>
      <c r="AB276" s="18" t="s">
        <v>1099</v>
      </c>
      <c r="AC276" s="13" t="s">
        <v>55</v>
      </c>
      <c r="AD276" s="13" t="s">
        <v>18</v>
      </c>
      <c r="AE276" s="12">
        <v>2.5055367220000002E-3</v>
      </c>
      <c r="AF276" s="12">
        <v>3.8459841414181101E-2</v>
      </c>
      <c r="AG276" s="12">
        <v>1.1035422343324251E-4</v>
      </c>
      <c r="AH276" s="12">
        <v>8.109653861711444E-4</v>
      </c>
    </row>
    <row r="277" spans="1:34" ht="12.75">
      <c r="A277" s="14" t="s">
        <v>3455</v>
      </c>
      <c r="B277" s="24" t="s">
        <v>2580</v>
      </c>
      <c r="C277" s="14" t="s">
        <v>2590</v>
      </c>
      <c r="D277" s="14" t="s">
        <v>2911</v>
      </c>
      <c r="E277" s="14" t="s">
        <v>286</v>
      </c>
      <c r="F277" s="13">
        <v>115.47</v>
      </c>
      <c r="G277" s="14" t="s">
        <v>3195</v>
      </c>
      <c r="H277" s="13">
        <v>16039</v>
      </c>
      <c r="I277" s="14" t="s">
        <v>3469</v>
      </c>
      <c r="J277" s="14" t="s">
        <v>3470</v>
      </c>
      <c r="K277" s="478">
        <f t="shared" si="292"/>
        <v>0.13725490196078433</v>
      </c>
      <c r="L277" s="220">
        <v>17.36</v>
      </c>
      <c r="M277" s="473" t="s">
        <v>3471</v>
      </c>
      <c r="N277" s="473"/>
      <c r="O277" s="473" t="s">
        <v>3472</v>
      </c>
      <c r="P277" s="14" t="s">
        <v>362</v>
      </c>
      <c r="Q277" s="486" t="s">
        <v>3480</v>
      </c>
      <c r="R277" s="14">
        <v>0.7</v>
      </c>
      <c r="S277" s="14">
        <f t="shared" si="210"/>
        <v>0.12151999999999999</v>
      </c>
      <c r="T277" s="220">
        <f>SUM(R268:R269,R271:R281)</f>
        <v>99.7</v>
      </c>
      <c r="U277" s="14">
        <f t="shared" si="295"/>
        <v>0.70210631895687059</v>
      </c>
      <c r="V277" s="220">
        <f>U277*100/SUM(U269,U271:U281)</f>
        <v>1.408450704225352</v>
      </c>
      <c r="W277" s="14" t="s">
        <v>362</v>
      </c>
      <c r="X277" s="14">
        <f t="shared" si="290"/>
        <v>0.19331676332504832</v>
      </c>
      <c r="Y277" s="499">
        <f t="shared" ref="Y277:AA277" si="304">X277</f>
        <v>0.19331676332504832</v>
      </c>
      <c r="Z277" s="220">
        <f t="shared" si="304"/>
        <v>0.19331676332504832</v>
      </c>
      <c r="AA277" s="792">
        <f t="shared" si="304"/>
        <v>0.19331676332504832</v>
      </c>
      <c r="AB277" s="18" t="s">
        <v>362</v>
      </c>
      <c r="AC277" s="13" t="s">
        <v>3481</v>
      </c>
      <c r="AD277" s="13" t="s">
        <v>3482</v>
      </c>
      <c r="AE277" s="12">
        <v>6.4492173908743997E-2</v>
      </c>
      <c r="AF277" s="12">
        <v>0.52574608692147207</v>
      </c>
      <c r="AG277" s="12">
        <v>2.2871426085431757E-3</v>
      </c>
      <c r="AH277" s="12">
        <v>1.782870183160197E-2</v>
      </c>
    </row>
    <row r="278" spans="1:34" ht="12.75">
      <c r="A278" s="14" t="s">
        <v>3455</v>
      </c>
      <c r="B278" s="24" t="s">
        <v>2580</v>
      </c>
      <c r="C278" s="14" t="s">
        <v>2590</v>
      </c>
      <c r="D278" s="14" t="s">
        <v>2911</v>
      </c>
      <c r="E278" s="14" t="s">
        <v>286</v>
      </c>
      <c r="F278" s="13">
        <v>115.47</v>
      </c>
      <c r="G278" s="14" t="s">
        <v>3195</v>
      </c>
      <c r="H278" s="13">
        <v>16039</v>
      </c>
      <c r="I278" s="14" t="s">
        <v>3469</v>
      </c>
      <c r="J278" s="14" t="s">
        <v>3470</v>
      </c>
      <c r="K278" s="478">
        <f t="shared" si="292"/>
        <v>0.13725490196078433</v>
      </c>
      <c r="L278" s="220">
        <v>17.36</v>
      </c>
      <c r="M278" s="473" t="s">
        <v>3471</v>
      </c>
      <c r="N278" s="473"/>
      <c r="O278" s="473" t="s">
        <v>3472</v>
      </c>
      <c r="P278" s="14" t="s">
        <v>3483</v>
      </c>
      <c r="Q278" s="14" t="s">
        <v>3484</v>
      </c>
      <c r="R278" s="14">
        <v>0.5</v>
      </c>
      <c r="S278" s="14">
        <f t="shared" si="210"/>
        <v>8.6800000000000002E-2</v>
      </c>
      <c r="T278" s="220">
        <f>SUM(R268:R269,R271:R281)</f>
        <v>99.7</v>
      </c>
      <c r="U278" s="14">
        <f t="shared" si="295"/>
        <v>0.50150451354062187</v>
      </c>
      <c r="V278" s="220">
        <f>U278*100/SUM(U269,U271:U281)</f>
        <v>1.0060362173038229</v>
      </c>
      <c r="W278" s="14" t="s">
        <v>301</v>
      </c>
      <c r="X278" s="14">
        <f t="shared" si="290"/>
        <v>0.13808340237503453</v>
      </c>
      <c r="Y278" s="499">
        <f>SUM(X278,X289)</f>
        <v>0.26868927794325492</v>
      </c>
      <c r="Z278" s="220">
        <f>X278</f>
        <v>0.13808340237503453</v>
      </c>
      <c r="AA278" s="792">
        <f t="shared" ref="AA278:AA279" si="305">Z278</f>
        <v>0.13808340237503453</v>
      </c>
      <c r="AB278" s="18" t="s">
        <v>301</v>
      </c>
      <c r="AC278" s="13" t="s">
        <v>3485</v>
      </c>
      <c r="AD278" s="13" t="s">
        <v>2944</v>
      </c>
      <c r="AE278" s="12">
        <v>4.7062756261925113E-3</v>
      </c>
      <c r="AF278" s="12">
        <v>3.8210906557435767E-2</v>
      </c>
      <c r="AG278" s="12">
        <v>7.6086956521739124E-5</v>
      </c>
      <c r="AH278" s="12">
        <v>5.9908272287602653E-4</v>
      </c>
    </row>
    <row r="279" spans="1:34" ht="12.75">
      <c r="A279" s="14" t="s">
        <v>3455</v>
      </c>
      <c r="B279" s="24" t="s">
        <v>2580</v>
      </c>
      <c r="C279" s="14" t="s">
        <v>2590</v>
      </c>
      <c r="D279" s="14" t="s">
        <v>2911</v>
      </c>
      <c r="E279" s="14" t="s">
        <v>286</v>
      </c>
      <c r="F279" s="13">
        <v>115.47</v>
      </c>
      <c r="G279" s="14" t="s">
        <v>3195</v>
      </c>
      <c r="H279" s="13">
        <v>16039</v>
      </c>
      <c r="I279" s="14" t="s">
        <v>3469</v>
      </c>
      <c r="J279" s="14" t="s">
        <v>3470</v>
      </c>
      <c r="K279" s="478">
        <f t="shared" si="292"/>
        <v>0.13725490196078433</v>
      </c>
      <c r="L279" s="220">
        <v>17.36</v>
      </c>
      <c r="M279" s="473" t="s">
        <v>3471</v>
      </c>
      <c r="N279" s="473"/>
      <c r="O279" s="473" t="s">
        <v>3472</v>
      </c>
      <c r="P279" s="14" t="s">
        <v>2584</v>
      </c>
      <c r="Q279" s="14" t="s">
        <v>3486</v>
      </c>
      <c r="R279" s="14">
        <v>0.5</v>
      </c>
      <c r="S279" s="14">
        <f t="shared" si="210"/>
        <v>8.6800000000000002E-2</v>
      </c>
      <c r="T279" s="220">
        <f>SUM(R268:R269,R271:R281)</f>
        <v>99.7</v>
      </c>
      <c r="U279" s="14">
        <f t="shared" si="295"/>
        <v>0.50150451354062187</v>
      </c>
      <c r="V279" s="220">
        <f>U279*100/SUM(U269,U271:U281)</f>
        <v>1.0060362173038229</v>
      </c>
      <c r="W279" s="17" t="s">
        <v>2584</v>
      </c>
      <c r="X279" s="14">
        <f t="shared" si="290"/>
        <v>0.13808340237503453</v>
      </c>
      <c r="Y279" s="220" t="s">
        <v>1624</v>
      </c>
      <c r="Z279" s="220" t="s">
        <v>1666</v>
      </c>
      <c r="AA279" s="792" t="str">
        <f t="shared" si="305"/>
        <v>*</v>
      </c>
      <c r="AB279" s="458" t="str">
        <f t="shared" ref="AB279:AH279" si="306">AA279</f>
        <v>*</v>
      </c>
      <c r="AC279" s="497" t="str">
        <f t="shared" si="306"/>
        <v>*</v>
      </c>
      <c r="AD279" s="497" t="str">
        <f t="shared" si="306"/>
        <v>*</v>
      </c>
      <c r="AE279" s="454" t="str">
        <f t="shared" si="306"/>
        <v>*</v>
      </c>
      <c r="AF279" s="454" t="str">
        <f t="shared" si="306"/>
        <v>*</v>
      </c>
      <c r="AG279" s="454" t="str">
        <f t="shared" si="306"/>
        <v>*</v>
      </c>
      <c r="AH279" s="454" t="str">
        <f t="shared" si="306"/>
        <v>*</v>
      </c>
    </row>
    <row r="280" spans="1:34" ht="12.75">
      <c r="A280" s="14" t="s">
        <v>3455</v>
      </c>
      <c r="B280" s="24" t="s">
        <v>2580</v>
      </c>
      <c r="C280" s="14" t="s">
        <v>2590</v>
      </c>
      <c r="D280" s="14" t="s">
        <v>2911</v>
      </c>
      <c r="E280" s="14" t="s">
        <v>286</v>
      </c>
      <c r="F280" s="13">
        <v>115.47</v>
      </c>
      <c r="G280" s="14" t="s">
        <v>3195</v>
      </c>
      <c r="H280" s="13">
        <v>16039</v>
      </c>
      <c r="I280" s="14" t="s">
        <v>3469</v>
      </c>
      <c r="J280" s="14" t="s">
        <v>3470</v>
      </c>
      <c r="K280" s="478">
        <f t="shared" si="292"/>
        <v>0.13725490196078433</v>
      </c>
      <c r="L280" s="220">
        <v>17.36</v>
      </c>
      <c r="M280" s="473" t="s">
        <v>3471</v>
      </c>
      <c r="N280" s="473"/>
      <c r="O280" s="473" t="s">
        <v>3472</v>
      </c>
      <c r="P280" s="14" t="s">
        <v>2945</v>
      </c>
      <c r="Q280" s="14" t="s">
        <v>2946</v>
      </c>
      <c r="R280" s="14">
        <v>0.25</v>
      </c>
      <c r="S280" s="14">
        <f t="shared" si="210"/>
        <v>4.3400000000000001E-2</v>
      </c>
      <c r="T280" s="220">
        <f>SUM(R268:R269,R271:R281)</f>
        <v>99.7</v>
      </c>
      <c r="U280" s="14">
        <f t="shared" si="295"/>
        <v>0.25075225677031093</v>
      </c>
      <c r="V280" s="220">
        <f>U280*100/SUM(U269,U271:U281)</f>
        <v>0.50301810865191143</v>
      </c>
      <c r="W280" s="14" t="s">
        <v>433</v>
      </c>
      <c r="X280" s="14">
        <f t="shared" si="290"/>
        <v>6.9041701187517263E-2</v>
      </c>
      <c r="Y280" s="499">
        <f>SUM(X280,X290)</f>
        <v>8.769968341154874E-2</v>
      </c>
      <c r="Z280" s="220">
        <f t="shared" ref="Z280:AA280" si="307">Y280</f>
        <v>8.769968341154874E-2</v>
      </c>
      <c r="AA280" s="792">
        <f t="shared" si="307"/>
        <v>8.769968341154874E-2</v>
      </c>
      <c r="AB280" s="18" t="s">
        <v>433</v>
      </c>
      <c r="AC280" s="13" t="s">
        <v>433</v>
      </c>
      <c r="AD280" s="13" t="s">
        <v>2947</v>
      </c>
      <c r="AE280" s="12">
        <v>3.0104466724907065E-4</v>
      </c>
      <c r="AF280" s="12">
        <v>1.2500000000000001E-2</v>
      </c>
      <c r="AG280" s="12">
        <v>5.1818181818181835E-4</v>
      </c>
      <c r="AH280" s="12">
        <v>4.0084080366977777E-4</v>
      </c>
    </row>
    <row r="281" spans="1:34" ht="12.75">
      <c r="A281" s="14" t="s">
        <v>3455</v>
      </c>
      <c r="B281" s="24" t="s">
        <v>2580</v>
      </c>
      <c r="C281" s="14" t="s">
        <v>2590</v>
      </c>
      <c r="D281" s="14" t="s">
        <v>2911</v>
      </c>
      <c r="E281" s="14" t="s">
        <v>286</v>
      </c>
      <c r="F281" s="13">
        <v>115.47</v>
      </c>
      <c r="G281" s="14" t="s">
        <v>3195</v>
      </c>
      <c r="H281" s="13">
        <v>16039</v>
      </c>
      <c r="I281" s="135" t="s">
        <v>3469</v>
      </c>
      <c r="J281" s="135" t="s">
        <v>3470</v>
      </c>
      <c r="K281" s="475">
        <f t="shared" si="292"/>
        <v>0.13725490196078433</v>
      </c>
      <c r="L281" s="476">
        <v>17.36</v>
      </c>
      <c r="M281" s="492" t="s">
        <v>3471</v>
      </c>
      <c r="N281" s="492"/>
      <c r="O281" s="492" t="s">
        <v>3472</v>
      </c>
      <c r="P281" s="135" t="s">
        <v>86</v>
      </c>
      <c r="Q281" s="135" t="s">
        <v>3442</v>
      </c>
      <c r="R281" s="135">
        <v>0.75</v>
      </c>
      <c r="S281" s="135">
        <f t="shared" si="210"/>
        <v>0.13019999999999998</v>
      </c>
      <c r="T281" s="854">
        <f>SUM(R268:R269,R271:R281)</f>
        <v>99.7</v>
      </c>
      <c r="U281" s="135">
        <f t="shared" si="295"/>
        <v>0.75225677031093274</v>
      </c>
      <c r="V281" s="476">
        <f>U281*100/SUM(U269,U271:U281)</f>
        <v>1.5090543259557341</v>
      </c>
      <c r="W281" s="135" t="s">
        <v>86</v>
      </c>
      <c r="X281" s="14">
        <f t="shared" si="290"/>
        <v>0.20712510356255176</v>
      </c>
      <c r="Y281" s="499">
        <f t="shared" ref="Y281:AA281" si="308">X281</f>
        <v>0.20712510356255176</v>
      </c>
      <c r="Z281" s="220">
        <f t="shared" si="308"/>
        <v>0.20712510356255176</v>
      </c>
      <c r="AA281" s="792">
        <f t="shared" si="308"/>
        <v>0.20712510356255176</v>
      </c>
      <c r="AB281" s="18" t="s">
        <v>86</v>
      </c>
      <c r="AC281" s="13" t="s">
        <v>18</v>
      </c>
      <c r="AD281" s="13" t="s">
        <v>18</v>
      </c>
      <c r="AE281" s="12">
        <v>0</v>
      </c>
      <c r="AF281" s="12">
        <v>0</v>
      </c>
      <c r="AG281" s="12">
        <v>0</v>
      </c>
      <c r="AH281" s="12">
        <v>0</v>
      </c>
    </row>
    <row r="282" spans="1:34" ht="14.25">
      <c r="A282" s="14" t="s">
        <v>3455</v>
      </c>
      <c r="B282" s="24" t="s">
        <v>2580</v>
      </c>
      <c r="C282" s="14" t="s">
        <v>2590</v>
      </c>
      <c r="D282" s="14" t="s">
        <v>2911</v>
      </c>
      <c r="E282" s="14" t="s">
        <v>286</v>
      </c>
      <c r="F282" s="13">
        <v>115.47</v>
      </c>
      <c r="G282" s="14" t="s">
        <v>3195</v>
      </c>
      <c r="H282" s="13">
        <v>16039</v>
      </c>
      <c r="I282" s="14" t="s">
        <v>3487</v>
      </c>
      <c r="J282" s="14" t="s">
        <v>3488</v>
      </c>
      <c r="K282" s="478">
        <f t="shared" ref="K282:K290" si="309">11/102</f>
        <v>0.10784313725490197</v>
      </c>
      <c r="L282" s="220">
        <v>13.31</v>
      </c>
      <c r="M282" s="473" t="s">
        <v>3489</v>
      </c>
      <c r="N282" s="479" t="s">
        <v>2937</v>
      </c>
      <c r="O282" s="480" t="s">
        <v>2976</v>
      </c>
      <c r="P282" s="14" t="s">
        <v>3490</v>
      </c>
      <c r="Q282" s="435" t="s">
        <v>2939</v>
      </c>
      <c r="R282" s="14">
        <v>45</v>
      </c>
      <c r="S282" s="14">
        <f t="shared" si="210"/>
        <v>5.9895000000000005</v>
      </c>
      <c r="T282" s="220">
        <f>SUM(R282:R290)</f>
        <v>102.8</v>
      </c>
      <c r="U282" s="14">
        <f t="shared" si="295"/>
        <v>43.774319066147861</v>
      </c>
      <c r="V282" s="481">
        <f>U282</f>
        <v>43.774319066147861</v>
      </c>
      <c r="W282" s="482" t="s">
        <v>72</v>
      </c>
      <c r="X282" s="482">
        <f t="shared" si="290"/>
        <v>4.7207598992904556</v>
      </c>
      <c r="Y282" s="220" t="s">
        <v>1666</v>
      </c>
      <c r="Z282" s="220" t="str">
        <f t="shared" ref="Z282:AH282" si="310">Y282</f>
        <v>*</v>
      </c>
      <c r="AA282" s="792" t="str">
        <f t="shared" si="310"/>
        <v>*</v>
      </c>
      <c r="AB282" s="517" t="str">
        <f t="shared" si="310"/>
        <v>*</v>
      </c>
      <c r="AC282" s="497" t="str">
        <f t="shared" si="310"/>
        <v>*</v>
      </c>
      <c r="AD282" s="497" t="str">
        <f t="shared" si="310"/>
        <v>*</v>
      </c>
      <c r="AE282" s="454" t="str">
        <f t="shared" si="310"/>
        <v>*</v>
      </c>
      <c r="AF282" s="454" t="str">
        <f t="shared" si="310"/>
        <v>*</v>
      </c>
      <c r="AG282" s="454" t="str">
        <f t="shared" si="310"/>
        <v>*</v>
      </c>
      <c r="AH282" s="454" t="str">
        <f t="shared" si="310"/>
        <v>*</v>
      </c>
    </row>
    <row r="283" spans="1:34" ht="14.25">
      <c r="A283" s="14" t="s">
        <v>3455</v>
      </c>
      <c r="B283" s="24" t="s">
        <v>2580</v>
      </c>
      <c r="C283" s="14" t="s">
        <v>2590</v>
      </c>
      <c r="D283" s="14" t="s">
        <v>2911</v>
      </c>
      <c r="E283" s="14" t="s">
        <v>286</v>
      </c>
      <c r="F283" s="13">
        <v>115.47</v>
      </c>
      <c r="G283" s="14" t="s">
        <v>3195</v>
      </c>
      <c r="H283" s="13">
        <v>16039</v>
      </c>
      <c r="I283" s="14" t="s">
        <v>3487</v>
      </c>
      <c r="J283" s="14" t="s">
        <v>3488</v>
      </c>
      <c r="K283" s="478">
        <f t="shared" si="309"/>
        <v>0.10784313725490197</v>
      </c>
      <c r="L283" s="220">
        <v>13.31</v>
      </c>
      <c r="M283" s="473" t="s">
        <v>3489</v>
      </c>
      <c r="N283" s="479" t="s">
        <v>2937</v>
      </c>
      <c r="O283" s="480" t="s">
        <v>2976</v>
      </c>
      <c r="P283" s="14" t="s">
        <v>291</v>
      </c>
      <c r="Q283" s="14" t="s">
        <v>3491</v>
      </c>
      <c r="R283" s="14">
        <v>30</v>
      </c>
      <c r="S283" s="14">
        <f t="shared" si="210"/>
        <v>3.9929999999999999</v>
      </c>
      <c r="T283" s="220">
        <f>SUM(R282:R290)</f>
        <v>102.8</v>
      </c>
      <c r="U283" s="14">
        <f t="shared" si="295"/>
        <v>29.182879377431906</v>
      </c>
      <c r="V283" s="220">
        <f>U283*100/SUM(U283:U290)</f>
        <v>51.903114186851205</v>
      </c>
      <c r="W283" s="14" t="s">
        <v>291</v>
      </c>
      <c r="X283" s="14">
        <f t="shared" si="290"/>
        <v>5.5973946672094437</v>
      </c>
      <c r="Y283" s="220">
        <f>SUM(X283,X291)</f>
        <v>14.420924078974149</v>
      </c>
      <c r="Z283" s="220">
        <f t="shared" ref="Z283:AA283" si="311">Y283</f>
        <v>14.420924078974149</v>
      </c>
      <c r="AA283" s="792">
        <f t="shared" si="311"/>
        <v>14.420924078974149</v>
      </c>
      <c r="AB283" s="18" t="s">
        <v>291</v>
      </c>
      <c r="AC283" s="13" t="s">
        <v>3492</v>
      </c>
      <c r="AD283" s="13" t="s">
        <v>3493</v>
      </c>
      <c r="AE283" s="12">
        <v>8.7928093200579007E-3</v>
      </c>
      <c r="AF283" s="12">
        <v>4.38025263805632E-2</v>
      </c>
      <c r="AG283" s="12">
        <v>4.8899999999999996E-4</v>
      </c>
      <c r="AH283" s="12">
        <v>5.2910986084410655E-4</v>
      </c>
    </row>
    <row r="284" spans="1:34" ht="14.25">
      <c r="A284" s="14" t="s">
        <v>3455</v>
      </c>
      <c r="B284" s="24" t="s">
        <v>2580</v>
      </c>
      <c r="C284" s="14" t="s">
        <v>2590</v>
      </c>
      <c r="D284" s="14" t="s">
        <v>2911</v>
      </c>
      <c r="E284" s="14" t="s">
        <v>286</v>
      </c>
      <c r="F284" s="13">
        <v>115.47</v>
      </c>
      <c r="G284" s="14" t="s">
        <v>3195</v>
      </c>
      <c r="H284" s="13">
        <v>16039</v>
      </c>
      <c r="I284" s="14" t="s">
        <v>3487</v>
      </c>
      <c r="J284" s="14" t="s">
        <v>3488</v>
      </c>
      <c r="K284" s="478">
        <f t="shared" si="309"/>
        <v>0.10784313725490197</v>
      </c>
      <c r="L284" s="220">
        <v>13.31</v>
      </c>
      <c r="M284" s="473" t="s">
        <v>3489</v>
      </c>
      <c r="N284" s="479" t="s">
        <v>2937</v>
      </c>
      <c r="O284" s="480" t="s">
        <v>2976</v>
      </c>
      <c r="P284" s="14" t="s">
        <v>459</v>
      </c>
      <c r="Q284" s="14" t="s">
        <v>3401</v>
      </c>
      <c r="R284" s="14">
        <v>15</v>
      </c>
      <c r="S284" s="14">
        <f t="shared" si="210"/>
        <v>1.9964999999999999</v>
      </c>
      <c r="T284" s="220">
        <f>SUM(R282:R290)</f>
        <v>102.8</v>
      </c>
      <c r="U284" s="14">
        <f t="shared" si="295"/>
        <v>14.591439688715953</v>
      </c>
      <c r="V284" s="220">
        <f>U284*100/SUM(U283:U290)</f>
        <v>25.951557093425603</v>
      </c>
      <c r="W284" s="14" t="s">
        <v>459</v>
      </c>
      <c r="X284" s="14">
        <f t="shared" si="290"/>
        <v>2.7986973336047218</v>
      </c>
      <c r="Y284" s="220" t="s">
        <v>1666</v>
      </c>
      <c r="Z284" s="220" t="str">
        <f t="shared" ref="Z284:AH284" si="312">Y284</f>
        <v>*</v>
      </c>
      <c r="AA284" s="792" t="str">
        <f t="shared" si="312"/>
        <v>*</v>
      </c>
      <c r="AB284" s="517" t="str">
        <f t="shared" si="312"/>
        <v>*</v>
      </c>
      <c r="AC284" s="497" t="str">
        <f t="shared" si="312"/>
        <v>*</v>
      </c>
      <c r="AD284" s="497" t="str">
        <f t="shared" si="312"/>
        <v>*</v>
      </c>
      <c r="AE284" s="454" t="str">
        <f t="shared" si="312"/>
        <v>*</v>
      </c>
      <c r="AF284" s="454" t="str">
        <f t="shared" si="312"/>
        <v>*</v>
      </c>
      <c r="AG284" s="454" t="str">
        <f t="shared" si="312"/>
        <v>*</v>
      </c>
      <c r="AH284" s="454" t="str">
        <f t="shared" si="312"/>
        <v>*</v>
      </c>
    </row>
    <row r="285" spans="1:34" ht="14.25">
      <c r="A285" s="14" t="s">
        <v>3455</v>
      </c>
      <c r="B285" s="24" t="s">
        <v>2580</v>
      </c>
      <c r="C285" s="14" t="s">
        <v>2590</v>
      </c>
      <c r="D285" s="14" t="s">
        <v>2911</v>
      </c>
      <c r="E285" s="14" t="s">
        <v>286</v>
      </c>
      <c r="F285" s="13">
        <v>115.47</v>
      </c>
      <c r="G285" s="14" t="s">
        <v>3195</v>
      </c>
      <c r="H285" s="13">
        <v>16039</v>
      </c>
      <c r="I285" s="14" t="s">
        <v>3487</v>
      </c>
      <c r="J285" s="14" t="s">
        <v>3488</v>
      </c>
      <c r="K285" s="478">
        <f t="shared" si="309"/>
        <v>0.10784313725490197</v>
      </c>
      <c r="L285" s="220">
        <v>13.31</v>
      </c>
      <c r="M285" s="473" t="s">
        <v>3489</v>
      </c>
      <c r="N285" s="479" t="s">
        <v>2937</v>
      </c>
      <c r="O285" s="480" t="s">
        <v>2976</v>
      </c>
      <c r="P285" s="14" t="s">
        <v>3419</v>
      </c>
      <c r="Q285" s="486" t="s">
        <v>3437</v>
      </c>
      <c r="R285" s="14">
        <v>5</v>
      </c>
      <c r="S285" s="14">
        <f t="shared" si="210"/>
        <v>0.66550000000000009</v>
      </c>
      <c r="T285" s="220">
        <f>SUM(R282:R290)</f>
        <v>102.8</v>
      </c>
      <c r="U285" s="14">
        <f t="shared" si="295"/>
        <v>4.8638132295719849</v>
      </c>
      <c r="V285" s="220">
        <f>U285*100/SUM(U283:U290)</f>
        <v>8.6505190311418705</v>
      </c>
      <c r="W285" s="14" t="s">
        <v>508</v>
      </c>
      <c r="X285" s="14">
        <f t="shared" si="290"/>
        <v>0.93289911120157432</v>
      </c>
      <c r="Y285" s="220" t="s">
        <v>1666</v>
      </c>
      <c r="Z285" s="220" t="str">
        <f t="shared" ref="Z285:AH285" si="313">Y285</f>
        <v>*</v>
      </c>
      <c r="AA285" s="792" t="str">
        <f t="shared" si="313"/>
        <v>*</v>
      </c>
      <c r="AB285" s="517" t="str">
        <f t="shared" si="313"/>
        <v>*</v>
      </c>
      <c r="AC285" s="497" t="str">
        <f t="shared" si="313"/>
        <v>*</v>
      </c>
      <c r="AD285" s="497" t="str">
        <f t="shared" si="313"/>
        <v>*</v>
      </c>
      <c r="AE285" s="454" t="str">
        <f t="shared" si="313"/>
        <v>*</v>
      </c>
      <c r="AF285" s="454" t="str">
        <f t="shared" si="313"/>
        <v>*</v>
      </c>
      <c r="AG285" s="454" t="str">
        <f t="shared" si="313"/>
        <v>*</v>
      </c>
      <c r="AH285" s="454" t="str">
        <f t="shared" si="313"/>
        <v>*</v>
      </c>
    </row>
    <row r="286" spans="1:34" ht="14.25">
      <c r="A286" s="14" t="s">
        <v>3455</v>
      </c>
      <c r="B286" s="24" t="s">
        <v>2580</v>
      </c>
      <c r="C286" s="14" t="s">
        <v>2590</v>
      </c>
      <c r="D286" s="14" t="s">
        <v>2911</v>
      </c>
      <c r="E286" s="14" t="s">
        <v>286</v>
      </c>
      <c r="F286" s="13">
        <v>115.47</v>
      </c>
      <c r="G286" s="14" t="s">
        <v>3195</v>
      </c>
      <c r="H286" s="13">
        <v>16039</v>
      </c>
      <c r="I286" s="14" t="s">
        <v>3487</v>
      </c>
      <c r="J286" s="14" t="s">
        <v>3488</v>
      </c>
      <c r="K286" s="478">
        <f t="shared" si="309"/>
        <v>0.10784313725490197</v>
      </c>
      <c r="L286" s="220">
        <v>13.31</v>
      </c>
      <c r="M286" s="473" t="s">
        <v>3489</v>
      </c>
      <c r="N286" s="479" t="s">
        <v>2937</v>
      </c>
      <c r="O286" s="480" t="s">
        <v>2976</v>
      </c>
      <c r="P286" s="655" t="s">
        <v>3005</v>
      </c>
      <c r="Q286" s="14" t="s">
        <v>3494</v>
      </c>
      <c r="R286" s="14">
        <v>5</v>
      </c>
      <c r="S286" s="14">
        <f t="shared" si="210"/>
        <v>0.66550000000000009</v>
      </c>
      <c r="T286" s="220">
        <f>SUM(R282:R290)</f>
        <v>102.8</v>
      </c>
      <c r="U286" s="14">
        <f t="shared" si="295"/>
        <v>4.8638132295719849</v>
      </c>
      <c r="V286" s="220">
        <f>U286*100/SUM(U283:U290)</f>
        <v>8.6505190311418705</v>
      </c>
      <c r="W286" s="14" t="s">
        <v>2779</v>
      </c>
      <c r="X286" s="14">
        <f t="shared" si="290"/>
        <v>0.93289911120157432</v>
      </c>
      <c r="Y286" s="499">
        <f t="shared" ref="Y286:AA286" si="314">X286</f>
        <v>0.93289911120157432</v>
      </c>
      <c r="Z286" s="220">
        <f t="shared" si="314"/>
        <v>0.93289911120157432</v>
      </c>
      <c r="AA286" s="792">
        <f t="shared" si="314"/>
        <v>0.93289911120157432</v>
      </c>
      <c r="AB286" s="18" t="s">
        <v>2526</v>
      </c>
      <c r="AC286" s="13" t="s">
        <v>215</v>
      </c>
      <c r="AD286" s="13" t="s">
        <v>3007</v>
      </c>
      <c r="AE286" s="12">
        <v>5.0851930036188197E-3</v>
      </c>
      <c r="AF286" s="12">
        <v>5.9995417730640897E-2</v>
      </c>
      <c r="AG286" s="12">
        <v>3.4699999999999998E-4</v>
      </c>
      <c r="AH286" s="12">
        <v>2.9762429672480995E-4</v>
      </c>
    </row>
    <row r="287" spans="1:34" ht="14.25">
      <c r="A287" s="14" t="s">
        <v>3455</v>
      </c>
      <c r="B287" s="24" t="s">
        <v>2580</v>
      </c>
      <c r="C287" s="14" t="s">
        <v>2590</v>
      </c>
      <c r="D287" s="14" t="s">
        <v>2911</v>
      </c>
      <c r="E287" s="14" t="s">
        <v>286</v>
      </c>
      <c r="F287" s="13">
        <v>115.47</v>
      </c>
      <c r="G287" s="14" t="s">
        <v>3195</v>
      </c>
      <c r="H287" s="13">
        <v>16039</v>
      </c>
      <c r="I287" s="14" t="s">
        <v>3487</v>
      </c>
      <c r="J287" s="14" t="s">
        <v>3488</v>
      </c>
      <c r="K287" s="478">
        <f t="shared" si="309"/>
        <v>0.10784313725490197</v>
      </c>
      <c r="L287" s="220">
        <v>13.31</v>
      </c>
      <c r="M287" s="473" t="s">
        <v>3489</v>
      </c>
      <c r="N287" s="479" t="s">
        <v>2937</v>
      </c>
      <c r="O287" s="480" t="s">
        <v>2976</v>
      </c>
      <c r="P287" s="14" t="s">
        <v>3495</v>
      </c>
      <c r="Q287" s="14" t="s">
        <v>3496</v>
      </c>
      <c r="R287" s="14">
        <v>1</v>
      </c>
      <c r="S287" s="14">
        <f t="shared" si="210"/>
        <v>0.1331</v>
      </c>
      <c r="T287" s="220">
        <f>SUM(R282:R290)</f>
        <v>102.8</v>
      </c>
      <c r="U287" s="14">
        <f t="shared" si="295"/>
        <v>0.97276264591439687</v>
      </c>
      <c r="V287" s="220">
        <f>U287*100/SUM(U283:U290)</f>
        <v>1.7301038062283736</v>
      </c>
      <c r="W287" s="14" t="s">
        <v>1532</v>
      </c>
      <c r="X287" s="14">
        <f t="shared" si="290"/>
        <v>0.1865798222403148</v>
      </c>
      <c r="Y287" s="499">
        <f t="shared" ref="Y287:AA287" si="315">X287</f>
        <v>0.1865798222403148</v>
      </c>
      <c r="Z287" s="220">
        <f t="shared" si="315"/>
        <v>0.1865798222403148</v>
      </c>
      <c r="AA287" s="792">
        <f t="shared" si="315"/>
        <v>0.1865798222403148</v>
      </c>
      <c r="AB287" s="18" t="s">
        <v>1532</v>
      </c>
      <c r="AC287" s="13" t="s">
        <v>3497</v>
      </c>
      <c r="AD287" s="13" t="s">
        <v>3498</v>
      </c>
      <c r="AE287" s="12">
        <v>1.1846358545111501E-3</v>
      </c>
      <c r="AF287" s="12">
        <v>2.0579068539103899E-2</v>
      </c>
      <c r="AG287" s="12">
        <v>1.8918918918918918E-5</v>
      </c>
      <c r="AH287" s="12">
        <v>4.4688243243243248E-4</v>
      </c>
    </row>
    <row r="288" spans="1:34" ht="14.25">
      <c r="A288" s="14" t="s">
        <v>3455</v>
      </c>
      <c r="B288" s="24" t="s">
        <v>2580</v>
      </c>
      <c r="C288" s="14" t="s">
        <v>2590</v>
      </c>
      <c r="D288" s="14" t="s">
        <v>2911</v>
      </c>
      <c r="E288" s="14" t="s">
        <v>286</v>
      </c>
      <c r="F288" s="13">
        <v>115.47</v>
      </c>
      <c r="G288" s="14" t="s">
        <v>3195</v>
      </c>
      <c r="H288" s="13">
        <v>16039</v>
      </c>
      <c r="I288" s="14" t="s">
        <v>3487</v>
      </c>
      <c r="J288" s="14" t="s">
        <v>3488</v>
      </c>
      <c r="K288" s="478">
        <f t="shared" si="309"/>
        <v>0.10784313725490197</v>
      </c>
      <c r="L288" s="220">
        <v>13.31</v>
      </c>
      <c r="M288" s="473" t="s">
        <v>3489</v>
      </c>
      <c r="N288" s="479" t="s">
        <v>2937</v>
      </c>
      <c r="O288" s="480" t="s">
        <v>2976</v>
      </c>
      <c r="P288" s="14" t="s">
        <v>83</v>
      </c>
      <c r="Q288" s="527" t="s">
        <v>3430</v>
      </c>
      <c r="R288" s="14">
        <v>1</v>
      </c>
      <c r="S288" s="14">
        <f t="shared" si="210"/>
        <v>0.1331</v>
      </c>
      <c r="T288" s="220">
        <f>SUM(R282:R290)</f>
        <v>102.8</v>
      </c>
      <c r="U288" s="14">
        <f t="shared" si="295"/>
        <v>0.97276264591439687</v>
      </c>
      <c r="V288" s="220">
        <f>U288*100/SUM(U283:U290)</f>
        <v>1.7301038062283736</v>
      </c>
      <c r="W288" s="14" t="s">
        <v>83</v>
      </c>
      <c r="X288" s="14">
        <f t="shared" si="290"/>
        <v>0.1865798222403148</v>
      </c>
      <c r="Y288" s="220" t="s">
        <v>1624</v>
      </c>
      <c r="Z288" s="220" t="s">
        <v>1666</v>
      </c>
      <c r="AA288" s="792" t="str">
        <f t="shared" ref="AA288:AH288" si="316">Z288</f>
        <v>*</v>
      </c>
      <c r="AB288" s="517" t="str">
        <f t="shared" si="316"/>
        <v>*</v>
      </c>
      <c r="AC288" s="497" t="str">
        <f t="shared" si="316"/>
        <v>*</v>
      </c>
      <c r="AD288" s="497" t="str">
        <f t="shared" si="316"/>
        <v>*</v>
      </c>
      <c r="AE288" s="454" t="str">
        <f t="shared" si="316"/>
        <v>*</v>
      </c>
      <c r="AF288" s="454" t="str">
        <f t="shared" si="316"/>
        <v>*</v>
      </c>
      <c r="AG288" s="454" t="str">
        <f t="shared" si="316"/>
        <v>*</v>
      </c>
      <c r="AH288" s="454" t="str">
        <f t="shared" si="316"/>
        <v>*</v>
      </c>
    </row>
    <row r="289" spans="1:34" ht="14.25">
      <c r="A289" s="14" t="s">
        <v>3455</v>
      </c>
      <c r="B289" s="24" t="s">
        <v>2580</v>
      </c>
      <c r="C289" s="14" t="s">
        <v>2590</v>
      </c>
      <c r="D289" s="14" t="s">
        <v>2911</v>
      </c>
      <c r="E289" s="14" t="s">
        <v>286</v>
      </c>
      <c r="F289" s="13">
        <v>115.47</v>
      </c>
      <c r="G289" s="14" t="s">
        <v>3195</v>
      </c>
      <c r="H289" s="13">
        <v>16039</v>
      </c>
      <c r="I289" s="14" t="s">
        <v>3487</v>
      </c>
      <c r="J289" s="14" t="s">
        <v>3488</v>
      </c>
      <c r="K289" s="478">
        <f t="shared" si="309"/>
        <v>0.10784313725490197</v>
      </c>
      <c r="L289" s="220">
        <v>13.31</v>
      </c>
      <c r="M289" s="473" t="s">
        <v>3489</v>
      </c>
      <c r="N289" s="479" t="s">
        <v>2937</v>
      </c>
      <c r="O289" s="480" t="s">
        <v>2976</v>
      </c>
      <c r="P289" s="14" t="s">
        <v>3021</v>
      </c>
      <c r="Q289" s="486" t="s">
        <v>3022</v>
      </c>
      <c r="R289" s="14">
        <v>0.7</v>
      </c>
      <c r="S289" s="14">
        <f t="shared" si="210"/>
        <v>9.3169999999999989E-2</v>
      </c>
      <c r="T289" s="220">
        <f>SUM(R282:R290)</f>
        <v>102.8</v>
      </c>
      <c r="U289" s="14">
        <f t="shared" si="295"/>
        <v>0.68093385214007784</v>
      </c>
      <c r="V289" s="220">
        <f>U289*100/SUM(U283:U290)</f>
        <v>1.2110726643598615</v>
      </c>
      <c r="W289" s="14" t="s">
        <v>346</v>
      </c>
      <c r="X289" s="14">
        <f t="shared" si="290"/>
        <v>0.13060587556822037</v>
      </c>
      <c r="Y289" s="499" t="s">
        <v>1624</v>
      </c>
      <c r="Z289" s="220">
        <f>X289</f>
        <v>0.13060587556822037</v>
      </c>
      <c r="AA289" s="792">
        <f t="shared" ref="AA289:AA290" si="317">Z289</f>
        <v>0.13060587556822037</v>
      </c>
      <c r="AB289" s="18" t="s">
        <v>346</v>
      </c>
      <c r="AC289" s="13" t="s">
        <v>2982</v>
      </c>
      <c r="AD289" s="13" t="s">
        <v>2983</v>
      </c>
      <c r="AE289" s="12">
        <v>2.9691872042618299E-2</v>
      </c>
      <c r="AF289" s="12">
        <v>7.5368545517799299E-2</v>
      </c>
      <c r="AG289" s="12">
        <v>2.9014018691588786E-4</v>
      </c>
      <c r="AH289" s="12">
        <v>1.4770983615231311E-3</v>
      </c>
    </row>
    <row r="290" spans="1:34" ht="14.25">
      <c r="A290" s="14" t="s">
        <v>3455</v>
      </c>
      <c r="B290" s="24" t="s">
        <v>2580</v>
      </c>
      <c r="C290" s="14" t="s">
        <v>2590</v>
      </c>
      <c r="D290" s="14" t="s">
        <v>2911</v>
      </c>
      <c r="E290" s="14" t="s">
        <v>286</v>
      </c>
      <c r="F290" s="13">
        <v>115.47</v>
      </c>
      <c r="G290" s="14" t="s">
        <v>3195</v>
      </c>
      <c r="H290" s="13">
        <v>16039</v>
      </c>
      <c r="I290" s="135" t="s">
        <v>3487</v>
      </c>
      <c r="J290" s="135" t="s">
        <v>3488</v>
      </c>
      <c r="K290" s="475">
        <f t="shared" si="309"/>
        <v>0.10784313725490197</v>
      </c>
      <c r="L290" s="476">
        <v>13.31</v>
      </c>
      <c r="M290" s="492" t="s">
        <v>3489</v>
      </c>
      <c r="N290" s="493" t="s">
        <v>2937</v>
      </c>
      <c r="O290" s="494" t="s">
        <v>2976</v>
      </c>
      <c r="P290" s="135" t="s">
        <v>2945</v>
      </c>
      <c r="Q290" s="14" t="s">
        <v>2946</v>
      </c>
      <c r="R290" s="135">
        <v>0.1</v>
      </c>
      <c r="S290" s="135">
        <f t="shared" si="210"/>
        <v>1.3310000000000001E-2</v>
      </c>
      <c r="T290" s="872">
        <f>SUM(R282:R290)</f>
        <v>102.8</v>
      </c>
      <c r="U290" s="135">
        <f t="shared" si="295"/>
        <v>9.727626459143969E-2</v>
      </c>
      <c r="V290" s="476">
        <f>U290*100/SUM(U283:U290)</f>
        <v>0.17301038062283738</v>
      </c>
      <c r="W290" s="135" t="s">
        <v>433</v>
      </c>
      <c r="X290" s="14">
        <f t="shared" si="290"/>
        <v>1.8657982224031484E-2</v>
      </c>
      <c r="Y290" s="220" t="s">
        <v>1624</v>
      </c>
      <c r="Z290" s="220" t="s">
        <v>1666</v>
      </c>
      <c r="AA290" s="792" t="str">
        <f t="shared" si="317"/>
        <v>*</v>
      </c>
      <c r="AB290" s="517" t="str">
        <f t="shared" ref="AB290:AH290" si="318">AA290</f>
        <v>*</v>
      </c>
      <c r="AC290" s="497" t="str">
        <f t="shared" si="318"/>
        <v>*</v>
      </c>
      <c r="AD290" s="497" t="str">
        <f t="shared" si="318"/>
        <v>*</v>
      </c>
      <c r="AE290" s="454" t="str">
        <f t="shared" si="318"/>
        <v>*</v>
      </c>
      <c r="AF290" s="454" t="str">
        <f t="shared" si="318"/>
        <v>*</v>
      </c>
      <c r="AG290" s="454" t="str">
        <f t="shared" si="318"/>
        <v>*</v>
      </c>
      <c r="AH290" s="454" t="str">
        <f t="shared" si="318"/>
        <v>*</v>
      </c>
    </row>
    <row r="291" spans="1:34" ht="12.75">
      <c r="A291" s="617" t="s">
        <v>3455</v>
      </c>
      <c r="B291" s="799" t="s">
        <v>2580</v>
      </c>
      <c r="C291" s="617" t="s">
        <v>2590</v>
      </c>
      <c r="D291" s="617" t="s">
        <v>2911</v>
      </c>
      <c r="E291" s="617" t="s">
        <v>286</v>
      </c>
      <c r="F291" s="799">
        <v>115.47</v>
      </c>
      <c r="G291" s="617" t="s">
        <v>3195</v>
      </c>
      <c r="H291" s="799">
        <v>16039</v>
      </c>
      <c r="I291" s="617" t="s">
        <v>291</v>
      </c>
      <c r="J291" s="617" t="s">
        <v>3499</v>
      </c>
      <c r="K291" s="838">
        <f>9/102</f>
        <v>8.8235294117647065E-2</v>
      </c>
      <c r="L291" s="725">
        <v>8.91</v>
      </c>
      <c r="M291" s="850" t="s">
        <v>3500</v>
      </c>
      <c r="N291" s="850"/>
      <c r="O291" s="842"/>
      <c r="P291" s="617" t="s">
        <v>291</v>
      </c>
      <c r="Q291" s="520" t="s">
        <v>3491</v>
      </c>
      <c r="R291" s="617">
        <v>100</v>
      </c>
      <c r="S291" s="617">
        <f t="shared" si="210"/>
        <v>8.91</v>
      </c>
      <c r="T291" s="725">
        <f>R291</f>
        <v>100</v>
      </c>
      <c r="U291" s="617">
        <f>R291</f>
        <v>100</v>
      </c>
      <c r="V291" s="725">
        <f t="shared" ref="V291:V292" si="319">U291</f>
        <v>100</v>
      </c>
      <c r="W291" s="617" t="s">
        <v>291</v>
      </c>
      <c r="X291" s="617">
        <f>U291*K291</f>
        <v>8.8235294117647065</v>
      </c>
      <c r="Y291" s="725" t="s">
        <v>1666</v>
      </c>
      <c r="Z291" s="725" t="str">
        <f t="shared" ref="Z291:AH291" si="320">Y291</f>
        <v>*</v>
      </c>
      <c r="AA291" s="455" t="str">
        <f t="shared" si="320"/>
        <v>*</v>
      </c>
      <c r="AB291" s="821" t="str">
        <f t="shared" si="320"/>
        <v>*</v>
      </c>
      <c r="AC291" s="869" t="str">
        <f t="shared" si="320"/>
        <v>*</v>
      </c>
      <c r="AD291" s="869" t="str">
        <f t="shared" si="320"/>
        <v>*</v>
      </c>
      <c r="AE291" s="808" t="str">
        <f t="shared" si="320"/>
        <v>*</v>
      </c>
      <c r="AF291" s="808" t="str">
        <f t="shared" si="320"/>
        <v>*</v>
      </c>
      <c r="AG291" s="808" t="str">
        <f t="shared" si="320"/>
        <v>*</v>
      </c>
      <c r="AH291" s="808" t="str">
        <f t="shared" si="320"/>
        <v>*</v>
      </c>
    </row>
    <row r="292" spans="1:34" ht="14.25">
      <c r="A292" s="14" t="s">
        <v>3501</v>
      </c>
      <c r="B292" s="24" t="s">
        <v>2580</v>
      </c>
      <c r="C292" s="14" t="s">
        <v>2595</v>
      </c>
      <c r="D292" s="14" t="s">
        <v>2911</v>
      </c>
      <c r="E292" s="14" t="s">
        <v>310</v>
      </c>
      <c r="F292" s="13">
        <v>94.48</v>
      </c>
      <c r="G292" s="14" t="s">
        <v>3502</v>
      </c>
      <c r="H292" s="13">
        <v>16127</v>
      </c>
      <c r="I292" s="14" t="s">
        <v>3503</v>
      </c>
      <c r="J292" s="14" t="s">
        <v>3504</v>
      </c>
      <c r="K292" s="478">
        <v>0.24</v>
      </c>
      <c r="L292" s="220">
        <v>23.76</v>
      </c>
      <c r="M292" s="473" t="s">
        <v>3505</v>
      </c>
      <c r="N292" s="479" t="s">
        <v>2937</v>
      </c>
      <c r="O292" s="480" t="s">
        <v>2976</v>
      </c>
      <c r="P292" s="14" t="s">
        <v>2938</v>
      </c>
      <c r="Q292" s="435" t="s">
        <v>2939</v>
      </c>
      <c r="R292" s="515">
        <v>60</v>
      </c>
      <c r="S292" s="515">
        <f t="shared" si="210"/>
        <v>14.256</v>
      </c>
      <c r="T292" s="470">
        <f t="shared" ref="T292:T319" si="321">SUM(R$292:R$319)</f>
        <v>100.75999999999999</v>
      </c>
      <c r="U292" s="515">
        <f t="shared" ref="U292:U319" si="322">R292*100/T292</f>
        <v>59.54743946010322</v>
      </c>
      <c r="V292" s="481">
        <f t="shared" si="319"/>
        <v>59.54743946010322</v>
      </c>
      <c r="W292" s="482" t="s">
        <v>72</v>
      </c>
      <c r="X292" s="502">
        <f t="shared" ref="X292:X364" si="323">V292*K292</f>
        <v>14.291385470424773</v>
      </c>
      <c r="Y292" s="503">
        <f>SUM(X292,X297,X310)</f>
        <v>14.812365352513446</v>
      </c>
      <c r="Z292" s="503">
        <f t="shared" ref="Z292:AA292" si="324">Y292</f>
        <v>14.812365352513446</v>
      </c>
      <c r="AA292" s="796">
        <f t="shared" si="324"/>
        <v>14.812365352513446</v>
      </c>
      <c r="AB292" s="456" t="s">
        <v>72</v>
      </c>
      <c r="AC292" s="469" t="s">
        <v>2938</v>
      </c>
      <c r="AD292" s="469" t="s">
        <v>2940</v>
      </c>
      <c r="AE292" s="457">
        <v>0</v>
      </c>
      <c r="AF292" s="457">
        <v>0</v>
      </c>
      <c r="AG292" s="457">
        <v>0</v>
      </c>
      <c r="AH292" s="457">
        <v>0</v>
      </c>
    </row>
    <row r="293" spans="1:34" ht="14.25">
      <c r="A293" s="14" t="s">
        <v>3501</v>
      </c>
      <c r="B293" s="24" t="s">
        <v>2580</v>
      </c>
      <c r="C293" s="14" t="s">
        <v>2595</v>
      </c>
      <c r="D293" s="14" t="s">
        <v>2911</v>
      </c>
      <c r="E293" s="14" t="s">
        <v>310</v>
      </c>
      <c r="F293" s="13">
        <v>94.48</v>
      </c>
      <c r="G293" s="14" t="s">
        <v>3502</v>
      </c>
      <c r="H293" s="13">
        <v>16127</v>
      </c>
      <c r="I293" s="14" t="s">
        <v>3503</v>
      </c>
      <c r="J293" s="14" t="s">
        <v>3504</v>
      </c>
      <c r="K293" s="478">
        <v>0.24</v>
      </c>
      <c r="L293" s="220">
        <v>23.76</v>
      </c>
      <c r="M293" s="473" t="s">
        <v>3505</v>
      </c>
      <c r="N293" s="479" t="s">
        <v>2937</v>
      </c>
      <c r="O293" s="480" t="s">
        <v>2976</v>
      </c>
      <c r="P293" s="14" t="s">
        <v>3483</v>
      </c>
      <c r="Q293" s="14" t="s">
        <v>3506</v>
      </c>
      <c r="R293" s="14">
        <v>21</v>
      </c>
      <c r="S293" s="14">
        <f t="shared" si="210"/>
        <v>4.9896000000000003</v>
      </c>
      <c r="T293" s="220">
        <f t="shared" si="321"/>
        <v>100.75999999999999</v>
      </c>
      <c r="U293" s="14">
        <f t="shared" si="322"/>
        <v>20.841603811036126</v>
      </c>
      <c r="V293" s="220">
        <f t="shared" ref="V293:V296" si="325">U293*100/SUM(U$293:U$296,U$298:U$309,U$311:U$319)</f>
        <v>53.057099545224858</v>
      </c>
      <c r="W293" s="14" t="s">
        <v>3507</v>
      </c>
      <c r="X293" s="500">
        <f t="shared" si="323"/>
        <v>12.733703890853965</v>
      </c>
      <c r="Y293" s="501">
        <f>SUM(X293,X303,X319,X321,X320,X312,X313)</f>
        <v>89.485598787266284</v>
      </c>
      <c r="Z293" s="501">
        <f>SUM(X293,X313)</f>
        <v>12.776149570490144</v>
      </c>
      <c r="AA293" s="792">
        <f t="shared" ref="AA293:AA296" si="326">Z293</f>
        <v>12.776149570490144</v>
      </c>
      <c r="AB293" s="18" t="s">
        <v>301</v>
      </c>
      <c r="AC293" s="13" t="s">
        <v>3485</v>
      </c>
      <c r="AD293" s="13" t="s">
        <v>2944</v>
      </c>
      <c r="AE293" s="12">
        <v>4.7062756261925113E-3</v>
      </c>
      <c r="AF293" s="12">
        <v>3.8210906557435767E-2</v>
      </c>
      <c r="AG293" s="12">
        <v>7.6086956521739124E-5</v>
      </c>
      <c r="AH293" s="12">
        <v>5.9908272287602653E-4</v>
      </c>
    </row>
    <row r="294" spans="1:34" ht="14.25">
      <c r="A294" s="14" t="s">
        <v>3501</v>
      </c>
      <c r="B294" s="24" t="s">
        <v>2580</v>
      </c>
      <c r="C294" s="14" t="s">
        <v>2595</v>
      </c>
      <c r="D294" s="14" t="s">
        <v>2911</v>
      </c>
      <c r="E294" s="14" t="s">
        <v>310</v>
      </c>
      <c r="F294" s="13">
        <v>94.48</v>
      </c>
      <c r="G294" s="14" t="s">
        <v>3502</v>
      </c>
      <c r="H294" s="13">
        <v>16127</v>
      </c>
      <c r="I294" s="14" t="s">
        <v>3503</v>
      </c>
      <c r="J294" s="14" t="s">
        <v>3504</v>
      </c>
      <c r="K294" s="478">
        <v>0.24</v>
      </c>
      <c r="L294" s="220">
        <v>23.76</v>
      </c>
      <c r="M294" s="473" t="s">
        <v>3505</v>
      </c>
      <c r="N294" s="479" t="s">
        <v>2937</v>
      </c>
      <c r="O294" s="480" t="s">
        <v>2976</v>
      </c>
      <c r="P294" s="14" t="s">
        <v>3508</v>
      </c>
      <c r="Q294" s="486" t="s">
        <v>3509</v>
      </c>
      <c r="R294" s="14">
        <v>1</v>
      </c>
      <c r="S294" s="14">
        <f t="shared" si="210"/>
        <v>0.23760000000000003</v>
      </c>
      <c r="T294" s="220">
        <f t="shared" si="321"/>
        <v>100.75999999999999</v>
      </c>
      <c r="U294" s="14">
        <f t="shared" si="322"/>
        <v>0.99245732433505374</v>
      </c>
      <c r="V294" s="220">
        <f t="shared" si="325"/>
        <v>2.5265285497726122</v>
      </c>
      <c r="W294" s="14" t="s">
        <v>321</v>
      </c>
      <c r="X294" s="500">
        <f t="shared" si="323"/>
        <v>0.60636685194542694</v>
      </c>
      <c r="Y294" s="501">
        <f>SUM(X294,X301,X302,X317)</f>
        <v>1.9706922688226376</v>
      </c>
      <c r="Z294" s="501">
        <f t="shared" ref="Z294:Z296" si="327">X294</f>
        <v>0.60636685194542694</v>
      </c>
      <c r="AA294" s="792">
        <f t="shared" si="326"/>
        <v>0.60636685194542694</v>
      </c>
      <c r="AB294" s="18" t="s">
        <v>321</v>
      </c>
      <c r="AC294" s="13" t="s">
        <v>3510</v>
      </c>
      <c r="AD294" s="13" t="s">
        <v>18</v>
      </c>
      <c r="AE294" s="12">
        <v>5.2419900086202897E-2</v>
      </c>
      <c r="AF294" s="12">
        <v>2.8162483479607547</v>
      </c>
      <c r="AG294" s="12">
        <v>1.6256511627906977E-3</v>
      </c>
      <c r="AH294" s="12">
        <v>1.194650084062842E-2</v>
      </c>
    </row>
    <row r="295" spans="1:34" ht="14.25">
      <c r="A295" s="14" t="s">
        <v>3501</v>
      </c>
      <c r="B295" s="24" t="s">
        <v>2580</v>
      </c>
      <c r="C295" s="14" t="s">
        <v>2595</v>
      </c>
      <c r="D295" s="14" t="s">
        <v>2911</v>
      </c>
      <c r="E295" s="14" t="s">
        <v>310</v>
      </c>
      <c r="F295" s="13">
        <v>94.48</v>
      </c>
      <c r="G295" s="14" t="s">
        <v>3502</v>
      </c>
      <c r="H295" s="13">
        <v>16127</v>
      </c>
      <c r="I295" s="14" t="s">
        <v>3503</v>
      </c>
      <c r="J295" s="14" t="s">
        <v>3504</v>
      </c>
      <c r="K295" s="478">
        <v>0.24</v>
      </c>
      <c r="L295" s="220">
        <v>23.76</v>
      </c>
      <c r="M295" s="473" t="s">
        <v>3505</v>
      </c>
      <c r="N295" s="479" t="s">
        <v>2937</v>
      </c>
      <c r="O295" s="480" t="s">
        <v>2976</v>
      </c>
      <c r="P295" s="489" t="s">
        <v>3394</v>
      </c>
      <c r="Q295" s="489" t="s">
        <v>3511</v>
      </c>
      <c r="R295" s="14">
        <f t="shared" ref="R295:R296" si="328">2*0.342</f>
        <v>0.68400000000000005</v>
      </c>
      <c r="S295" s="14">
        <f t="shared" si="210"/>
        <v>0.16251840000000004</v>
      </c>
      <c r="T295" s="220">
        <f t="shared" si="321"/>
        <v>100.75999999999999</v>
      </c>
      <c r="U295" s="14">
        <f t="shared" si="322"/>
        <v>0.67884080984517681</v>
      </c>
      <c r="V295" s="220">
        <f t="shared" si="325"/>
        <v>1.7281455280444671</v>
      </c>
      <c r="W295" s="14" t="s">
        <v>3512</v>
      </c>
      <c r="X295" s="500">
        <f t="shared" si="323"/>
        <v>0.4147549267306721</v>
      </c>
      <c r="Y295" s="504">
        <f>SUM(X295,X296,X298,X305,X306,X315)</f>
        <v>3.0318342597271353</v>
      </c>
      <c r="Z295" s="501">
        <f t="shared" si="327"/>
        <v>0.4147549267306721</v>
      </c>
      <c r="AA295" s="792">
        <f t="shared" si="326"/>
        <v>0.4147549267306721</v>
      </c>
      <c r="AB295" s="18" t="s">
        <v>506</v>
      </c>
      <c r="AC295" s="13" t="s">
        <v>1780</v>
      </c>
      <c r="AD295" s="13" t="s">
        <v>1781</v>
      </c>
      <c r="AE295" s="12">
        <v>4.8057057617005398E-4</v>
      </c>
      <c r="AF295" s="12">
        <v>9.8776215197699697E-3</v>
      </c>
      <c r="AG295" s="12">
        <v>6.3E-5</v>
      </c>
      <c r="AH295" s="12">
        <v>2.4250819999999999E-4</v>
      </c>
    </row>
    <row r="296" spans="1:34" ht="14.25">
      <c r="A296" s="14" t="s">
        <v>3501</v>
      </c>
      <c r="B296" s="24" t="s">
        <v>2580</v>
      </c>
      <c r="C296" s="14" t="s">
        <v>2595</v>
      </c>
      <c r="D296" s="14" t="s">
        <v>2911</v>
      </c>
      <c r="E296" s="14" t="s">
        <v>310</v>
      </c>
      <c r="F296" s="13">
        <v>94.48</v>
      </c>
      <c r="G296" s="14" t="s">
        <v>3502</v>
      </c>
      <c r="H296" s="13">
        <v>16127</v>
      </c>
      <c r="I296" s="14" t="s">
        <v>3503</v>
      </c>
      <c r="J296" s="14" t="s">
        <v>3504</v>
      </c>
      <c r="K296" s="478">
        <v>0.24</v>
      </c>
      <c r="L296" s="220">
        <v>23.76</v>
      </c>
      <c r="M296" s="473" t="s">
        <v>3505</v>
      </c>
      <c r="N296" s="479" t="s">
        <v>2937</v>
      </c>
      <c r="O296" s="480" t="s">
        <v>2976</v>
      </c>
      <c r="P296" s="14" t="s">
        <v>3394</v>
      </c>
      <c r="Q296" s="14" t="s">
        <v>3511</v>
      </c>
      <c r="R296" s="14">
        <f t="shared" si="328"/>
        <v>0.68400000000000005</v>
      </c>
      <c r="S296" s="14">
        <f t="shared" si="210"/>
        <v>0.16251840000000004</v>
      </c>
      <c r="T296" s="220">
        <f t="shared" si="321"/>
        <v>100.75999999999999</v>
      </c>
      <c r="U296" s="14">
        <f t="shared" si="322"/>
        <v>0.67884080984517681</v>
      </c>
      <c r="V296" s="220">
        <f t="shared" si="325"/>
        <v>1.7281455280444671</v>
      </c>
      <c r="W296" s="14" t="s">
        <v>3513</v>
      </c>
      <c r="X296" s="500">
        <f t="shared" si="323"/>
        <v>0.4147549267306721</v>
      </c>
      <c r="Y296" s="220" t="s">
        <v>1624</v>
      </c>
      <c r="Z296" s="501">
        <f t="shared" si="327"/>
        <v>0.4147549267306721</v>
      </c>
      <c r="AA296" s="792">
        <f t="shared" si="326"/>
        <v>0.4147549267306721</v>
      </c>
      <c r="AB296" s="18" t="s">
        <v>22</v>
      </c>
      <c r="AC296" s="13" t="s">
        <v>3399</v>
      </c>
      <c r="AD296" s="13" t="s">
        <v>3400</v>
      </c>
      <c r="AE296" s="12">
        <v>8.2470000000000004E-4</v>
      </c>
      <c r="AF296" s="12">
        <v>6.7374066666666659E-3</v>
      </c>
      <c r="AG296" s="12">
        <v>2.2764227642276422E-5</v>
      </c>
      <c r="AH296" s="12">
        <v>8.9618699186991881E-5</v>
      </c>
    </row>
    <row r="297" spans="1:34" ht="14.25">
      <c r="A297" s="14" t="s">
        <v>3501</v>
      </c>
      <c r="B297" s="10" t="s">
        <v>2580</v>
      </c>
      <c r="C297" s="14" t="s">
        <v>2595</v>
      </c>
      <c r="D297" s="14" t="s">
        <v>2911</v>
      </c>
      <c r="E297" s="14" t="s">
        <v>310</v>
      </c>
      <c r="F297" s="13">
        <v>94.48</v>
      </c>
      <c r="G297" s="14" t="s">
        <v>3502</v>
      </c>
      <c r="H297" s="13">
        <v>16127</v>
      </c>
      <c r="I297" s="14" t="s">
        <v>3503</v>
      </c>
      <c r="J297" s="14" t="s">
        <v>3504</v>
      </c>
      <c r="K297" s="873">
        <v>0.24</v>
      </c>
      <c r="L297" s="220">
        <v>23.76</v>
      </c>
      <c r="M297" s="473" t="s">
        <v>3505</v>
      </c>
      <c r="N297" s="521" t="s">
        <v>2937</v>
      </c>
      <c r="O297" s="480" t="s">
        <v>2976</v>
      </c>
      <c r="P297" s="14" t="s">
        <v>3394</v>
      </c>
      <c r="Q297" s="14" t="s">
        <v>3511</v>
      </c>
      <c r="R297" s="481">
        <f>2*0.255</f>
        <v>0.51</v>
      </c>
      <c r="S297" s="481">
        <f t="shared" si="210"/>
        <v>0.12117600000000002</v>
      </c>
      <c r="T297" s="470">
        <f t="shared" si="321"/>
        <v>100.75999999999999</v>
      </c>
      <c r="U297" s="482">
        <f t="shared" si="322"/>
        <v>0.50615323541087742</v>
      </c>
      <c r="V297" s="481">
        <f>U297</f>
        <v>0.50615323541087742</v>
      </c>
      <c r="W297" s="482" t="s">
        <v>3514</v>
      </c>
      <c r="X297" s="502">
        <f t="shared" si="323"/>
        <v>0.12147677649861058</v>
      </c>
      <c r="Y297" s="220" t="s">
        <v>1666</v>
      </c>
      <c r="Z297" s="220" t="str">
        <f t="shared" ref="Z297:AH297" si="329">Y297</f>
        <v>*</v>
      </c>
      <c r="AA297" s="792" t="str">
        <f t="shared" si="329"/>
        <v>*</v>
      </c>
      <c r="AB297" s="458" t="str">
        <f t="shared" si="329"/>
        <v>*</v>
      </c>
      <c r="AC297" s="497" t="str">
        <f t="shared" si="329"/>
        <v>*</v>
      </c>
      <c r="AD297" s="497" t="str">
        <f t="shared" si="329"/>
        <v>*</v>
      </c>
      <c r="AE297" s="454" t="str">
        <f t="shared" si="329"/>
        <v>*</v>
      </c>
      <c r="AF297" s="454" t="str">
        <f t="shared" si="329"/>
        <v>*</v>
      </c>
      <c r="AG297" s="454" t="str">
        <f t="shared" si="329"/>
        <v>*</v>
      </c>
      <c r="AH297" s="454" t="str">
        <f t="shared" si="329"/>
        <v>*</v>
      </c>
    </row>
    <row r="298" spans="1:34" ht="14.25">
      <c r="A298" s="14" t="s">
        <v>3501</v>
      </c>
      <c r="B298" s="10" t="s">
        <v>2580</v>
      </c>
      <c r="C298" s="14" t="s">
        <v>2595</v>
      </c>
      <c r="D298" s="14" t="s">
        <v>2911</v>
      </c>
      <c r="E298" s="14" t="s">
        <v>310</v>
      </c>
      <c r="F298" s="13">
        <v>94.48</v>
      </c>
      <c r="G298" s="14" t="s">
        <v>3502</v>
      </c>
      <c r="H298" s="13">
        <v>16127</v>
      </c>
      <c r="I298" s="14" t="s">
        <v>3503</v>
      </c>
      <c r="J298" s="14" t="s">
        <v>3504</v>
      </c>
      <c r="K298" s="873">
        <v>0.24</v>
      </c>
      <c r="L298" s="220">
        <v>23.76</v>
      </c>
      <c r="M298" s="473" t="s">
        <v>3505</v>
      </c>
      <c r="N298" s="521" t="s">
        <v>2937</v>
      </c>
      <c r="O298" s="480" t="s">
        <v>2976</v>
      </c>
      <c r="P298" s="490" t="s">
        <v>3394</v>
      </c>
      <c r="Q298" s="14" t="s">
        <v>3511</v>
      </c>
      <c r="R298" s="220">
        <f>2*0.316</f>
        <v>0.63200000000000001</v>
      </c>
      <c r="S298" s="220">
        <f t="shared" si="210"/>
        <v>0.15016320000000002</v>
      </c>
      <c r="T298" s="220">
        <f t="shared" si="321"/>
        <v>100.75999999999999</v>
      </c>
      <c r="U298" s="14">
        <f t="shared" si="322"/>
        <v>0.62723302897975397</v>
      </c>
      <c r="V298" s="220">
        <f t="shared" ref="V298:V309" si="330">U298*100/SUM(U$293:U$296,U$298:U$309,U$311:U$319)</f>
        <v>1.5967660434562911</v>
      </c>
      <c r="W298" s="14" t="s">
        <v>3515</v>
      </c>
      <c r="X298" s="500">
        <f t="shared" si="323"/>
        <v>0.38322385042950985</v>
      </c>
      <c r="Y298" s="220" t="s">
        <v>1624</v>
      </c>
      <c r="Z298" s="501">
        <f>X298</f>
        <v>0.38322385042950985</v>
      </c>
      <c r="AA298" s="792">
        <f>Z298</f>
        <v>0.38322385042950985</v>
      </c>
      <c r="AB298" s="18" t="s">
        <v>511</v>
      </c>
      <c r="AC298" s="13" t="s">
        <v>3402</v>
      </c>
      <c r="AD298" s="13" t="s">
        <v>3403</v>
      </c>
      <c r="AE298" s="12">
        <v>1.0614922294827143E-3</v>
      </c>
      <c r="AF298" s="12">
        <v>1.8872032768007998E-2</v>
      </c>
      <c r="AG298" s="12">
        <v>4.1669167635432442E-5</v>
      </c>
      <c r="AH298" s="12">
        <v>5.2098391964434997E-4</v>
      </c>
    </row>
    <row r="299" spans="1:34" ht="14.25">
      <c r="A299" s="14" t="s">
        <v>3501</v>
      </c>
      <c r="B299" s="24" t="s">
        <v>2580</v>
      </c>
      <c r="C299" s="14" t="s">
        <v>2595</v>
      </c>
      <c r="D299" s="14" t="s">
        <v>2911</v>
      </c>
      <c r="E299" s="14" t="s">
        <v>310</v>
      </c>
      <c r="F299" s="13">
        <v>94.48</v>
      </c>
      <c r="G299" s="14" t="s">
        <v>3502</v>
      </c>
      <c r="H299" s="13">
        <v>16127</v>
      </c>
      <c r="I299" s="14" t="s">
        <v>3503</v>
      </c>
      <c r="J299" s="14" t="s">
        <v>3504</v>
      </c>
      <c r="K299" s="478">
        <v>0.24</v>
      </c>
      <c r="L299" s="220">
        <v>23.76</v>
      </c>
      <c r="M299" s="473" t="s">
        <v>3505</v>
      </c>
      <c r="N299" s="479" t="s">
        <v>2937</v>
      </c>
      <c r="O299" s="480" t="s">
        <v>2976</v>
      </c>
      <c r="P299" s="14" t="s">
        <v>86</v>
      </c>
      <c r="Q299" s="489" t="s">
        <v>3442</v>
      </c>
      <c r="R299" s="14">
        <v>2</v>
      </c>
      <c r="S299" s="14">
        <f t="shared" si="210"/>
        <v>0.47520000000000007</v>
      </c>
      <c r="T299" s="220">
        <f t="shared" si="321"/>
        <v>100.75999999999999</v>
      </c>
      <c r="U299" s="14">
        <f t="shared" si="322"/>
        <v>1.9849146486701075</v>
      </c>
      <c r="V299" s="220">
        <f t="shared" si="330"/>
        <v>5.0530570995452244</v>
      </c>
      <c r="W299" s="14" t="s">
        <v>86</v>
      </c>
      <c r="X299" s="500">
        <f t="shared" si="323"/>
        <v>1.2127337038908539</v>
      </c>
      <c r="Y299" s="501">
        <f t="shared" ref="Y299:AA299" si="331">X299</f>
        <v>1.2127337038908539</v>
      </c>
      <c r="Z299" s="501">
        <f t="shared" si="331"/>
        <v>1.2127337038908539</v>
      </c>
      <c r="AA299" s="792">
        <f t="shared" si="331"/>
        <v>1.2127337038908539</v>
      </c>
      <c r="AB299" s="18" t="s">
        <v>86</v>
      </c>
      <c r="AC299" s="14" t="s">
        <v>18</v>
      </c>
      <c r="AD299" s="14" t="s">
        <v>18</v>
      </c>
      <c r="AE299" s="12">
        <v>0</v>
      </c>
      <c r="AF299" s="12">
        <v>0</v>
      </c>
      <c r="AG299" s="12">
        <v>0</v>
      </c>
      <c r="AH299" s="12">
        <v>0</v>
      </c>
    </row>
    <row r="300" spans="1:34" ht="14.25">
      <c r="A300" s="14" t="s">
        <v>3501</v>
      </c>
      <c r="B300" s="24" t="s">
        <v>2580</v>
      </c>
      <c r="C300" s="14" t="s">
        <v>2595</v>
      </c>
      <c r="D300" s="14" t="s">
        <v>2911</v>
      </c>
      <c r="E300" s="14" t="s">
        <v>310</v>
      </c>
      <c r="F300" s="13">
        <v>94.48</v>
      </c>
      <c r="G300" s="14" t="s">
        <v>3502</v>
      </c>
      <c r="H300" s="13">
        <v>16127</v>
      </c>
      <c r="I300" s="14" t="s">
        <v>3503</v>
      </c>
      <c r="J300" s="14" t="s">
        <v>3504</v>
      </c>
      <c r="K300" s="478">
        <v>0.24</v>
      </c>
      <c r="L300" s="220">
        <v>23.76</v>
      </c>
      <c r="M300" s="473" t="s">
        <v>3505</v>
      </c>
      <c r="N300" s="479" t="s">
        <v>2937</v>
      </c>
      <c r="O300" s="480" t="s">
        <v>2976</v>
      </c>
      <c r="P300" s="14" t="s">
        <v>3041</v>
      </c>
      <c r="Q300" s="486" t="s">
        <v>3516</v>
      </c>
      <c r="R300" s="14">
        <v>2</v>
      </c>
      <c r="S300" s="14">
        <f t="shared" si="210"/>
        <v>0.47520000000000007</v>
      </c>
      <c r="T300" s="220">
        <f t="shared" si="321"/>
        <v>100.75999999999999</v>
      </c>
      <c r="U300" s="14">
        <f t="shared" si="322"/>
        <v>1.9849146486701075</v>
      </c>
      <c r="V300" s="220">
        <f t="shared" si="330"/>
        <v>5.0530570995452244</v>
      </c>
      <c r="W300" s="14" t="s">
        <v>81</v>
      </c>
      <c r="X300" s="500">
        <f t="shared" si="323"/>
        <v>1.2127337038908539</v>
      </c>
      <c r="Y300" s="501">
        <f>SUM(X300,X304)</f>
        <v>2.1222839818089945</v>
      </c>
      <c r="Z300" s="501">
        <f t="shared" ref="Z300:AA300" si="332">Y300</f>
        <v>2.1222839818089945</v>
      </c>
      <c r="AA300" s="792">
        <f t="shared" si="332"/>
        <v>2.1222839818089945</v>
      </c>
      <c r="AB300" s="18" t="s">
        <v>81</v>
      </c>
      <c r="AC300" s="14" t="s">
        <v>18</v>
      </c>
      <c r="AD300" s="14" t="s">
        <v>18</v>
      </c>
      <c r="AE300" s="12">
        <v>1.9912385503783353E-2</v>
      </c>
      <c r="AF300" s="12">
        <v>5.6949422540820388E-2</v>
      </c>
      <c r="AG300" s="12">
        <v>3.8829151732377542E-3</v>
      </c>
      <c r="AH300" s="12">
        <v>5.6321186778176026E-3</v>
      </c>
    </row>
    <row r="301" spans="1:34" ht="14.25">
      <c r="A301" s="14" t="s">
        <v>3501</v>
      </c>
      <c r="B301" s="24" t="s">
        <v>2580</v>
      </c>
      <c r="C301" s="14" t="s">
        <v>2595</v>
      </c>
      <c r="D301" s="14" t="s">
        <v>2911</v>
      </c>
      <c r="E301" s="14" t="s">
        <v>310</v>
      </c>
      <c r="F301" s="13">
        <v>94.48</v>
      </c>
      <c r="G301" s="14" t="s">
        <v>3502</v>
      </c>
      <c r="H301" s="13">
        <v>16127</v>
      </c>
      <c r="I301" s="14" t="s">
        <v>3503</v>
      </c>
      <c r="J301" s="14" t="s">
        <v>3504</v>
      </c>
      <c r="K301" s="478">
        <v>0.24</v>
      </c>
      <c r="L301" s="220">
        <v>23.76</v>
      </c>
      <c r="M301" s="473" t="s">
        <v>3505</v>
      </c>
      <c r="N301" s="479" t="s">
        <v>2937</v>
      </c>
      <c r="O301" s="480" t="s">
        <v>2976</v>
      </c>
      <c r="P301" s="655" t="s">
        <v>2977</v>
      </c>
      <c r="Q301" s="14" t="s">
        <v>3517</v>
      </c>
      <c r="R301" s="14">
        <v>1</v>
      </c>
      <c r="S301" s="14">
        <f t="shared" si="210"/>
        <v>0.23760000000000003</v>
      </c>
      <c r="T301" s="220">
        <f t="shared" si="321"/>
        <v>100.75999999999999</v>
      </c>
      <c r="U301" s="14">
        <f t="shared" si="322"/>
        <v>0.99245732433505374</v>
      </c>
      <c r="V301" s="220">
        <f t="shared" si="330"/>
        <v>2.5265285497726122</v>
      </c>
      <c r="W301" s="14" t="s">
        <v>227</v>
      </c>
      <c r="X301" s="500">
        <f t="shared" si="323"/>
        <v>0.60636685194542694</v>
      </c>
      <c r="Y301" s="220" t="s">
        <v>1624</v>
      </c>
      <c r="Z301" s="501">
        <f t="shared" ref="Z301:Z303" si="333">X301</f>
        <v>0.60636685194542694</v>
      </c>
      <c r="AA301" s="792">
        <f t="shared" ref="AA301:AA303" si="334">Z301</f>
        <v>0.60636685194542694</v>
      </c>
      <c r="AB301" s="18" t="s">
        <v>1099</v>
      </c>
      <c r="AC301" s="13" t="s">
        <v>55</v>
      </c>
      <c r="AD301" s="13" t="s">
        <v>2979</v>
      </c>
      <c r="AE301" s="12">
        <v>2.5055367220000002E-3</v>
      </c>
      <c r="AF301" s="12">
        <v>3.8459841414181101E-2</v>
      </c>
      <c r="AG301" s="12">
        <v>1.1035422343324251E-4</v>
      </c>
      <c r="AH301" s="12">
        <v>8.109653861711444E-4</v>
      </c>
    </row>
    <row r="302" spans="1:34" ht="14.25">
      <c r="A302" s="14" t="s">
        <v>3501</v>
      </c>
      <c r="B302" s="24" t="s">
        <v>2580</v>
      </c>
      <c r="C302" s="14" t="s">
        <v>2595</v>
      </c>
      <c r="D302" s="14" t="s">
        <v>2911</v>
      </c>
      <c r="E302" s="14" t="s">
        <v>310</v>
      </c>
      <c r="F302" s="13">
        <v>94.48</v>
      </c>
      <c r="G302" s="14" t="s">
        <v>3502</v>
      </c>
      <c r="H302" s="13">
        <v>16127</v>
      </c>
      <c r="I302" s="14" t="s">
        <v>3503</v>
      </c>
      <c r="J302" s="14" t="s">
        <v>3504</v>
      </c>
      <c r="K302" s="478">
        <v>0.24</v>
      </c>
      <c r="L302" s="220">
        <v>23.76</v>
      </c>
      <c r="M302" s="473" t="s">
        <v>3505</v>
      </c>
      <c r="N302" s="479" t="s">
        <v>2937</v>
      </c>
      <c r="O302" s="480" t="s">
        <v>2976</v>
      </c>
      <c r="P302" s="14" t="s">
        <v>2962</v>
      </c>
      <c r="Q302" s="14" t="s">
        <v>3518</v>
      </c>
      <c r="R302" s="14">
        <v>0.5</v>
      </c>
      <c r="S302" s="14">
        <f t="shared" si="210"/>
        <v>0.11880000000000002</v>
      </c>
      <c r="T302" s="220">
        <f t="shared" si="321"/>
        <v>100.75999999999999</v>
      </c>
      <c r="U302" s="14">
        <f t="shared" si="322"/>
        <v>0.49622866216752687</v>
      </c>
      <c r="V302" s="220">
        <f t="shared" si="330"/>
        <v>1.2632642748863061</v>
      </c>
      <c r="W302" s="14" t="s">
        <v>425</v>
      </c>
      <c r="X302" s="500">
        <f t="shared" si="323"/>
        <v>0.30318342597271347</v>
      </c>
      <c r="Y302" s="220" t="s">
        <v>1624</v>
      </c>
      <c r="Z302" s="501">
        <f t="shared" si="333"/>
        <v>0.30318342597271347</v>
      </c>
      <c r="AA302" s="792">
        <f t="shared" si="334"/>
        <v>0.30318342597271347</v>
      </c>
      <c r="AB302" s="18" t="s">
        <v>425</v>
      </c>
      <c r="AC302" s="13" t="s">
        <v>2964</v>
      </c>
      <c r="AD302" s="13" t="s">
        <v>2965</v>
      </c>
      <c r="AE302" s="12">
        <v>3.8102374934982654E-3</v>
      </c>
      <c r="AF302" s="12">
        <v>0.20470422547079484</v>
      </c>
      <c r="AG302" s="12">
        <v>1.210810810810811E-4</v>
      </c>
      <c r="AH302" s="12">
        <v>1.0002400855855065E-3</v>
      </c>
    </row>
    <row r="303" spans="1:34" ht="14.25">
      <c r="A303" s="14" t="s">
        <v>3501</v>
      </c>
      <c r="B303" s="24" t="s">
        <v>2580</v>
      </c>
      <c r="C303" s="14" t="s">
        <v>2595</v>
      </c>
      <c r="D303" s="14" t="s">
        <v>2911</v>
      </c>
      <c r="E303" s="14" t="s">
        <v>310</v>
      </c>
      <c r="F303" s="13">
        <v>94.48</v>
      </c>
      <c r="G303" s="14" t="s">
        <v>3502</v>
      </c>
      <c r="H303" s="13">
        <v>16127</v>
      </c>
      <c r="I303" s="14" t="s">
        <v>3503</v>
      </c>
      <c r="J303" s="14" t="s">
        <v>3504</v>
      </c>
      <c r="K303" s="478">
        <v>0.24</v>
      </c>
      <c r="L303" s="220">
        <v>23.76</v>
      </c>
      <c r="M303" s="473" t="s">
        <v>3505</v>
      </c>
      <c r="N303" s="479" t="s">
        <v>2937</v>
      </c>
      <c r="O303" s="480" t="s">
        <v>2976</v>
      </c>
      <c r="P303" s="14" t="s">
        <v>2948</v>
      </c>
      <c r="Q303" s="14" t="s">
        <v>3519</v>
      </c>
      <c r="R303" s="14">
        <v>1</v>
      </c>
      <c r="S303" s="14">
        <f t="shared" si="210"/>
        <v>0.23760000000000003</v>
      </c>
      <c r="T303" s="220">
        <f t="shared" si="321"/>
        <v>100.75999999999999</v>
      </c>
      <c r="U303" s="14">
        <f t="shared" si="322"/>
        <v>0.99245732433505374</v>
      </c>
      <c r="V303" s="220">
        <f t="shared" si="330"/>
        <v>2.5265285497726122</v>
      </c>
      <c r="W303" s="17" t="s">
        <v>305</v>
      </c>
      <c r="X303" s="500">
        <f t="shared" si="323"/>
        <v>0.60636685194542694</v>
      </c>
      <c r="Y303" s="220" t="s">
        <v>1666</v>
      </c>
      <c r="Z303" s="501">
        <f t="shared" si="333"/>
        <v>0.60636685194542694</v>
      </c>
      <c r="AA303" s="792">
        <f t="shared" si="334"/>
        <v>0.60636685194542694</v>
      </c>
      <c r="AB303" s="18" t="s">
        <v>305</v>
      </c>
      <c r="AC303" s="13" t="str">
        <f t="shared" ref="AC303:AD303" si="335">AB303</f>
        <v>soybean flour</v>
      </c>
      <c r="AD303" s="13" t="str">
        <f t="shared" si="335"/>
        <v>soybean flour</v>
      </c>
      <c r="AE303" s="12">
        <v>4.7062756261925113E-3</v>
      </c>
      <c r="AF303" s="12">
        <v>3.8210906557435767E-2</v>
      </c>
      <c r="AG303" s="12">
        <v>8.2999999999999998E-5</v>
      </c>
      <c r="AH303" s="12">
        <v>5.9908272287602653E-4</v>
      </c>
    </row>
    <row r="304" spans="1:34" ht="14.25">
      <c r="A304" s="14" t="s">
        <v>3501</v>
      </c>
      <c r="B304" s="24" t="s">
        <v>2580</v>
      </c>
      <c r="C304" s="14" t="s">
        <v>2595</v>
      </c>
      <c r="D304" s="14" t="s">
        <v>2911</v>
      </c>
      <c r="E304" s="14" t="s">
        <v>310</v>
      </c>
      <c r="F304" s="13">
        <v>94.48</v>
      </c>
      <c r="G304" s="14" t="s">
        <v>3502</v>
      </c>
      <c r="H304" s="13">
        <v>16127</v>
      </c>
      <c r="I304" s="14" t="s">
        <v>3503</v>
      </c>
      <c r="J304" s="14" t="s">
        <v>3504</v>
      </c>
      <c r="K304" s="478">
        <v>0.24</v>
      </c>
      <c r="L304" s="220">
        <v>23.76</v>
      </c>
      <c r="M304" s="473" t="s">
        <v>3505</v>
      </c>
      <c r="N304" s="479" t="s">
        <v>2937</v>
      </c>
      <c r="O304" s="480" t="s">
        <v>2976</v>
      </c>
      <c r="P304" s="14" t="s">
        <v>3041</v>
      </c>
      <c r="Q304" s="14" t="s">
        <v>3520</v>
      </c>
      <c r="R304" s="14">
        <v>1.5</v>
      </c>
      <c r="S304" s="14">
        <f t="shared" si="210"/>
        <v>0.35639999999999999</v>
      </c>
      <c r="T304" s="220">
        <f t="shared" si="321"/>
        <v>100.75999999999999</v>
      </c>
      <c r="U304" s="14">
        <f t="shared" si="322"/>
        <v>1.4886859865025805</v>
      </c>
      <c r="V304" s="220">
        <f t="shared" si="330"/>
        <v>3.7897928246589188</v>
      </c>
      <c r="W304" s="17" t="s">
        <v>81</v>
      </c>
      <c r="X304" s="500">
        <f t="shared" si="323"/>
        <v>0.90955027791814047</v>
      </c>
      <c r="Y304" s="220" t="s">
        <v>1666</v>
      </c>
      <c r="Z304" s="220" t="str">
        <f t="shared" ref="Z304:AH304" si="336">Y304</f>
        <v>*</v>
      </c>
      <c r="AA304" s="792" t="str">
        <f t="shared" si="336"/>
        <v>*</v>
      </c>
      <c r="AB304" s="458" t="str">
        <f t="shared" si="336"/>
        <v>*</v>
      </c>
      <c r="AC304" s="497" t="str">
        <f t="shared" si="336"/>
        <v>*</v>
      </c>
      <c r="AD304" s="497" t="str">
        <f t="shared" si="336"/>
        <v>*</v>
      </c>
      <c r="AE304" s="454" t="str">
        <f t="shared" si="336"/>
        <v>*</v>
      </c>
      <c r="AF304" s="454" t="str">
        <f t="shared" si="336"/>
        <v>*</v>
      </c>
      <c r="AG304" s="454" t="str">
        <f t="shared" si="336"/>
        <v>*</v>
      </c>
      <c r="AH304" s="454" t="str">
        <f t="shared" si="336"/>
        <v>*</v>
      </c>
    </row>
    <row r="305" spans="1:34" ht="14.25">
      <c r="A305" s="14" t="s">
        <v>3501</v>
      </c>
      <c r="B305" s="24" t="s">
        <v>2580</v>
      </c>
      <c r="C305" s="14" t="s">
        <v>2595</v>
      </c>
      <c r="D305" s="14" t="s">
        <v>2911</v>
      </c>
      <c r="E305" s="14" t="s">
        <v>310</v>
      </c>
      <c r="F305" s="13">
        <v>94.48</v>
      </c>
      <c r="G305" s="14" t="s">
        <v>3502</v>
      </c>
      <c r="H305" s="13">
        <v>16127</v>
      </c>
      <c r="I305" s="14" t="s">
        <v>3503</v>
      </c>
      <c r="J305" s="14" t="s">
        <v>3504</v>
      </c>
      <c r="K305" s="478">
        <v>0.24</v>
      </c>
      <c r="L305" s="220">
        <v>23.76</v>
      </c>
      <c r="M305" s="473" t="s">
        <v>3505</v>
      </c>
      <c r="N305" s="479" t="s">
        <v>2937</v>
      </c>
      <c r="O305" s="480" t="s">
        <v>2976</v>
      </c>
      <c r="P305" s="14" t="s">
        <v>3521</v>
      </c>
      <c r="Q305" s="14" t="s">
        <v>3522</v>
      </c>
      <c r="R305" s="14">
        <v>1</v>
      </c>
      <c r="S305" s="14">
        <f t="shared" si="210"/>
        <v>0.23760000000000003</v>
      </c>
      <c r="T305" s="220">
        <f t="shared" si="321"/>
        <v>100.75999999999999</v>
      </c>
      <c r="U305" s="14">
        <f t="shared" si="322"/>
        <v>0.99245732433505374</v>
      </c>
      <c r="V305" s="220">
        <f t="shared" si="330"/>
        <v>2.5265285497726122</v>
      </c>
      <c r="W305" s="14" t="s">
        <v>3523</v>
      </c>
      <c r="X305" s="500">
        <f t="shared" si="323"/>
        <v>0.60636685194542694</v>
      </c>
      <c r="Y305" s="220" t="s">
        <v>1624</v>
      </c>
      <c r="Z305" s="501">
        <f>X305</f>
        <v>0.60636685194542694</v>
      </c>
      <c r="AA305" s="792">
        <f>Z305</f>
        <v>0.60636685194542694</v>
      </c>
      <c r="AB305" s="458" t="s">
        <v>2596</v>
      </c>
      <c r="AC305" s="13" t="s">
        <v>3524</v>
      </c>
      <c r="AD305" s="13" t="s">
        <v>3525</v>
      </c>
      <c r="AE305" s="12">
        <v>5.5636766460262456E-4</v>
      </c>
      <c r="AF305" s="12">
        <v>1.354456626711356E-2</v>
      </c>
      <c r="AG305" s="12">
        <v>7.0283975659229207E-5</v>
      </c>
      <c r="AH305" s="12">
        <v>7.0431572008113595E-4</v>
      </c>
    </row>
    <row r="306" spans="1:34" ht="14.25">
      <c r="A306" s="14" t="s">
        <v>3501</v>
      </c>
      <c r="B306" s="24" t="s">
        <v>2580</v>
      </c>
      <c r="C306" s="14" t="s">
        <v>2595</v>
      </c>
      <c r="D306" s="14" t="s">
        <v>2911</v>
      </c>
      <c r="E306" s="14" t="s">
        <v>310</v>
      </c>
      <c r="F306" s="13">
        <v>94.48</v>
      </c>
      <c r="G306" s="14" t="s">
        <v>3502</v>
      </c>
      <c r="H306" s="13">
        <v>16127</v>
      </c>
      <c r="I306" s="14" t="s">
        <v>3503</v>
      </c>
      <c r="J306" s="14" t="s">
        <v>3504</v>
      </c>
      <c r="K306" s="478">
        <v>0.24</v>
      </c>
      <c r="L306" s="220">
        <v>23.76</v>
      </c>
      <c r="M306" s="473" t="s">
        <v>3505</v>
      </c>
      <c r="N306" s="479" t="s">
        <v>2937</v>
      </c>
      <c r="O306" s="480" t="s">
        <v>2976</v>
      </c>
      <c r="P306" s="14" t="s">
        <v>2584</v>
      </c>
      <c r="Q306" s="486" t="s">
        <v>3423</v>
      </c>
      <c r="R306" s="14">
        <v>1</v>
      </c>
      <c r="S306" s="14">
        <f t="shared" si="210"/>
        <v>0.23760000000000003</v>
      </c>
      <c r="T306" s="220">
        <f t="shared" si="321"/>
        <v>100.75999999999999</v>
      </c>
      <c r="U306" s="14">
        <f t="shared" si="322"/>
        <v>0.99245732433505374</v>
      </c>
      <c r="V306" s="220">
        <f t="shared" si="330"/>
        <v>2.5265285497726122</v>
      </c>
      <c r="W306" s="14" t="s">
        <v>2584</v>
      </c>
      <c r="X306" s="500">
        <f t="shared" si="323"/>
        <v>0.60636685194542694</v>
      </c>
      <c r="Y306" s="501">
        <f>SUM(X306,Y315)</f>
        <v>1.2127337038908539</v>
      </c>
      <c r="Z306" s="501">
        <f t="shared" ref="Z306:AA306" si="337">Y306</f>
        <v>1.2127337038908539</v>
      </c>
      <c r="AA306" s="792">
        <f t="shared" si="337"/>
        <v>1.2127337038908539</v>
      </c>
      <c r="AB306" s="458" t="s">
        <v>2584</v>
      </c>
      <c r="AC306" s="13" t="s">
        <v>3424</v>
      </c>
      <c r="AD306" s="13" t="s">
        <v>3425</v>
      </c>
      <c r="AE306" s="12">
        <v>4.7754773653722405E-4</v>
      </c>
      <c r="AF306" s="12">
        <v>9.9048845026103102E-3</v>
      </c>
      <c r="AG306" s="12">
        <v>1.1598405219282348E-5</v>
      </c>
      <c r="AH306" s="12">
        <v>9.908404494382022E-5</v>
      </c>
    </row>
    <row r="307" spans="1:34" ht="14.25">
      <c r="A307" s="14" t="s">
        <v>3501</v>
      </c>
      <c r="B307" s="24" t="s">
        <v>2580</v>
      </c>
      <c r="C307" s="14" t="s">
        <v>2595</v>
      </c>
      <c r="D307" s="14" t="s">
        <v>2911</v>
      </c>
      <c r="E307" s="14" t="s">
        <v>310</v>
      </c>
      <c r="F307" s="13">
        <v>94.48</v>
      </c>
      <c r="G307" s="14" t="s">
        <v>3502</v>
      </c>
      <c r="H307" s="13">
        <v>16127</v>
      </c>
      <c r="I307" s="14" t="s">
        <v>3503</v>
      </c>
      <c r="J307" s="14" t="s">
        <v>3504</v>
      </c>
      <c r="K307" s="478">
        <v>0.24</v>
      </c>
      <c r="L307" s="220">
        <v>23.76</v>
      </c>
      <c r="M307" s="473" t="s">
        <v>3505</v>
      </c>
      <c r="N307" s="479" t="s">
        <v>2937</v>
      </c>
      <c r="O307" s="480" t="s">
        <v>2976</v>
      </c>
      <c r="P307" s="10" t="s">
        <v>3526</v>
      </c>
      <c r="Q307" s="10" t="s">
        <v>3527</v>
      </c>
      <c r="R307" s="14">
        <v>1</v>
      </c>
      <c r="S307" s="14">
        <f t="shared" si="210"/>
        <v>0.23760000000000003</v>
      </c>
      <c r="T307" s="220">
        <f t="shared" si="321"/>
        <v>100.75999999999999</v>
      </c>
      <c r="U307" s="14">
        <f t="shared" si="322"/>
        <v>0.99245732433505374</v>
      </c>
      <c r="V307" s="220">
        <f t="shared" si="330"/>
        <v>2.5265285497726122</v>
      </c>
      <c r="W307" s="14" t="s">
        <v>1114</v>
      </c>
      <c r="X307" s="500">
        <f t="shared" si="323"/>
        <v>0.60636685194542694</v>
      </c>
      <c r="Y307" s="504">
        <f t="shared" ref="Y307:AA307" si="338">X307</f>
        <v>0.60636685194542694</v>
      </c>
      <c r="Z307" s="501">
        <f t="shared" si="338"/>
        <v>0.60636685194542694</v>
      </c>
      <c r="AA307" s="792">
        <f t="shared" si="338"/>
        <v>0.60636685194542694</v>
      </c>
      <c r="AB307" s="458" t="s">
        <v>1114</v>
      </c>
      <c r="AC307" s="13" t="s">
        <v>3528</v>
      </c>
      <c r="AD307" s="13" t="s">
        <v>3529</v>
      </c>
      <c r="AE307" s="12">
        <v>3.8297066240151499E-4</v>
      </c>
      <c r="AF307" s="12">
        <v>1.2726079536012401E-2</v>
      </c>
      <c r="AG307" s="12">
        <v>1.225E-5</v>
      </c>
      <c r="AH307" s="12">
        <v>1.5432370941286443E-5</v>
      </c>
    </row>
    <row r="308" spans="1:34" ht="14.25">
      <c r="A308" s="14" t="s">
        <v>3501</v>
      </c>
      <c r="B308" s="24" t="s">
        <v>2580</v>
      </c>
      <c r="C308" s="14" t="s">
        <v>2595</v>
      </c>
      <c r="D308" s="14" t="s">
        <v>2911</v>
      </c>
      <c r="E308" s="14" t="s">
        <v>310</v>
      </c>
      <c r="F308" s="13">
        <v>94.48</v>
      </c>
      <c r="G308" s="14" t="s">
        <v>3502</v>
      </c>
      <c r="H308" s="13">
        <v>16127</v>
      </c>
      <c r="I308" s="14" t="s">
        <v>3503</v>
      </c>
      <c r="J308" s="14" t="s">
        <v>3504</v>
      </c>
      <c r="K308" s="478">
        <v>0.24</v>
      </c>
      <c r="L308" s="220">
        <v>23.76</v>
      </c>
      <c r="M308" s="473" t="s">
        <v>3505</v>
      </c>
      <c r="N308" s="479" t="s">
        <v>2937</v>
      </c>
      <c r="O308" s="480" t="s">
        <v>2976</v>
      </c>
      <c r="P308" s="14" t="s">
        <v>3129</v>
      </c>
      <c r="Q308" s="14" t="s">
        <v>3130</v>
      </c>
      <c r="R308" s="14">
        <v>0.45</v>
      </c>
      <c r="S308" s="14">
        <f t="shared" si="210"/>
        <v>0.10692000000000002</v>
      </c>
      <c r="T308" s="220">
        <f t="shared" si="321"/>
        <v>100.75999999999999</v>
      </c>
      <c r="U308" s="14">
        <f t="shared" si="322"/>
        <v>0.44660579595077415</v>
      </c>
      <c r="V308" s="220">
        <f t="shared" si="330"/>
        <v>1.1369378473976757</v>
      </c>
      <c r="W308" s="14" t="s">
        <v>350</v>
      </c>
      <c r="X308" s="500">
        <f t="shared" si="323"/>
        <v>0.27286508337544213</v>
      </c>
      <c r="Y308" s="504">
        <f t="shared" ref="Y308:AA308" si="339">X308</f>
        <v>0.27286508337544213</v>
      </c>
      <c r="Z308" s="501">
        <f t="shared" si="339"/>
        <v>0.27286508337544213</v>
      </c>
      <c r="AA308" s="792">
        <f t="shared" si="339"/>
        <v>0.27286508337544213</v>
      </c>
      <c r="AB308" s="458" t="s">
        <v>350</v>
      </c>
      <c r="AC308" s="13" t="s">
        <v>18</v>
      </c>
      <c r="AD308" s="13" t="s">
        <v>2967</v>
      </c>
      <c r="AE308" s="12">
        <v>7.6923076923076919E-3</v>
      </c>
      <c r="AF308" s="12">
        <v>0.183</v>
      </c>
      <c r="AG308" s="12">
        <v>2.8673068893528183E-4</v>
      </c>
      <c r="AH308" s="12">
        <v>1.4770983615231311E-3</v>
      </c>
    </row>
    <row r="309" spans="1:34" ht="14.25">
      <c r="A309" s="14" t="s">
        <v>3501</v>
      </c>
      <c r="B309" s="24" t="s">
        <v>2580</v>
      </c>
      <c r="C309" s="14" t="s">
        <v>2595</v>
      </c>
      <c r="D309" s="14" t="s">
        <v>2911</v>
      </c>
      <c r="E309" s="14" t="s">
        <v>310</v>
      </c>
      <c r="F309" s="13">
        <v>94.48</v>
      </c>
      <c r="G309" s="14" t="s">
        <v>3502</v>
      </c>
      <c r="H309" s="13">
        <v>16127</v>
      </c>
      <c r="I309" s="14" t="s">
        <v>3503</v>
      </c>
      <c r="J309" s="14" t="s">
        <v>3504</v>
      </c>
      <c r="K309" s="478">
        <v>0.24</v>
      </c>
      <c r="L309" s="220">
        <v>23.76</v>
      </c>
      <c r="M309" s="473" t="s">
        <v>3505</v>
      </c>
      <c r="N309" s="479" t="s">
        <v>2937</v>
      </c>
      <c r="O309" s="480" t="s">
        <v>2976</v>
      </c>
      <c r="P309" s="14" t="s">
        <v>273</v>
      </c>
      <c r="Q309" s="14" t="s">
        <v>3530</v>
      </c>
      <c r="R309" s="14">
        <v>0.45</v>
      </c>
      <c r="S309" s="14">
        <f t="shared" si="210"/>
        <v>0.10692000000000002</v>
      </c>
      <c r="T309" s="220">
        <f t="shared" si="321"/>
        <v>100.75999999999999</v>
      </c>
      <c r="U309" s="14">
        <f t="shared" si="322"/>
        <v>0.44660579595077415</v>
      </c>
      <c r="V309" s="220">
        <f t="shared" si="330"/>
        <v>1.1369378473976757</v>
      </c>
      <c r="W309" s="14" t="s">
        <v>273</v>
      </c>
      <c r="X309" s="500">
        <f t="shared" si="323"/>
        <v>0.27286508337544213</v>
      </c>
      <c r="Y309" s="504">
        <f t="shared" ref="Y309:AA309" si="340">X309</f>
        <v>0.27286508337544213</v>
      </c>
      <c r="Z309" s="501">
        <f t="shared" si="340"/>
        <v>0.27286508337544213</v>
      </c>
      <c r="AA309" s="792">
        <f t="shared" si="340"/>
        <v>0.27286508337544213</v>
      </c>
      <c r="AB309" s="458" t="s">
        <v>273</v>
      </c>
      <c r="AC309" s="13" t="s">
        <v>215</v>
      </c>
      <c r="AD309" s="13" t="s">
        <v>3007</v>
      </c>
      <c r="AE309" s="12">
        <v>5.0851930036188197E-3</v>
      </c>
      <c r="AF309" s="12">
        <v>5.9995417730640897E-2</v>
      </c>
      <c r="AG309" s="12">
        <v>3.4699999999999998E-4</v>
      </c>
      <c r="AH309" s="12">
        <v>4.5318147816043826E-4</v>
      </c>
    </row>
    <row r="310" spans="1:34" ht="14.25">
      <c r="A310" s="14" t="s">
        <v>3501</v>
      </c>
      <c r="B310" s="24" t="s">
        <v>2580</v>
      </c>
      <c r="C310" s="14" t="s">
        <v>2595</v>
      </c>
      <c r="D310" s="14" t="s">
        <v>2911</v>
      </c>
      <c r="E310" s="14" t="s">
        <v>310</v>
      </c>
      <c r="F310" s="13">
        <v>94.48</v>
      </c>
      <c r="G310" s="14" t="s">
        <v>3502</v>
      </c>
      <c r="H310" s="13">
        <v>16127</v>
      </c>
      <c r="I310" s="14" t="s">
        <v>3503</v>
      </c>
      <c r="J310" s="14" t="s">
        <v>3504</v>
      </c>
      <c r="K310" s="478">
        <v>0.24</v>
      </c>
      <c r="L310" s="220">
        <v>23.76</v>
      </c>
      <c r="M310" s="473" t="s">
        <v>3505</v>
      </c>
      <c r="N310" s="479" t="s">
        <v>2937</v>
      </c>
      <c r="O310" s="480" t="s">
        <v>2976</v>
      </c>
      <c r="P310" s="489" t="s">
        <v>3531</v>
      </c>
      <c r="Q310" s="489" t="s">
        <v>3532</v>
      </c>
      <c r="R310" s="522">
        <v>0.67</v>
      </c>
      <c r="S310" s="522">
        <f t="shared" si="210"/>
        <v>0.15919200000000003</v>
      </c>
      <c r="T310" s="523">
        <f t="shared" si="321"/>
        <v>100.75999999999999</v>
      </c>
      <c r="U310" s="522">
        <f t="shared" si="322"/>
        <v>0.66494640730448595</v>
      </c>
      <c r="V310" s="523">
        <f>U310*100/SUM(U293:U296,U298:U319)</f>
        <v>1.6645962732919255</v>
      </c>
      <c r="W310" s="515" t="s">
        <v>3533</v>
      </c>
      <c r="X310" s="524">
        <f t="shared" si="323"/>
        <v>0.39950310559006208</v>
      </c>
      <c r="Y310" s="470" t="s">
        <v>1666</v>
      </c>
      <c r="Z310" s="470" t="s">
        <v>1666</v>
      </c>
      <c r="AA310" s="810" t="s">
        <v>1666</v>
      </c>
      <c r="AB310" s="811" t="s">
        <v>1666</v>
      </c>
      <c r="AC310" s="469" t="str">
        <f t="shared" ref="AC310:AH310" si="341">AB310</f>
        <v>*</v>
      </c>
      <c r="AD310" s="469" t="str">
        <f t="shared" si="341"/>
        <v>*</v>
      </c>
      <c r="AE310" s="457" t="str">
        <f t="shared" si="341"/>
        <v>*</v>
      </c>
      <c r="AF310" s="457" t="str">
        <f t="shared" si="341"/>
        <v>*</v>
      </c>
      <c r="AG310" s="457" t="str">
        <f t="shared" si="341"/>
        <v>*</v>
      </c>
      <c r="AH310" s="457" t="str">
        <f t="shared" si="341"/>
        <v>*</v>
      </c>
    </row>
    <row r="311" spans="1:34" ht="14.25">
      <c r="A311" s="14" t="s">
        <v>3501</v>
      </c>
      <c r="B311" s="24" t="s">
        <v>2580</v>
      </c>
      <c r="C311" s="14" t="s">
        <v>2595</v>
      </c>
      <c r="D311" s="14" t="s">
        <v>2911</v>
      </c>
      <c r="E311" s="14" t="s">
        <v>310</v>
      </c>
      <c r="F311" s="13">
        <v>94.48</v>
      </c>
      <c r="G311" s="14" t="s">
        <v>3502</v>
      </c>
      <c r="H311" s="13">
        <v>16127</v>
      </c>
      <c r="I311" s="14" t="s">
        <v>3503</v>
      </c>
      <c r="J311" s="14" t="s">
        <v>3504</v>
      </c>
      <c r="K311" s="478">
        <v>0.24</v>
      </c>
      <c r="L311" s="220">
        <v>23.76</v>
      </c>
      <c r="M311" s="473" t="s">
        <v>3505</v>
      </c>
      <c r="N311" s="479" t="s">
        <v>2937</v>
      </c>
      <c r="O311" s="480" t="s">
        <v>2976</v>
      </c>
      <c r="P311" s="14" t="s">
        <v>3531</v>
      </c>
      <c r="Q311" s="24" t="s">
        <v>3534</v>
      </c>
      <c r="R311" s="14">
        <v>0.05</v>
      </c>
      <c r="S311" s="14">
        <f t="shared" si="210"/>
        <v>1.1880000000000002E-2</v>
      </c>
      <c r="T311" s="220">
        <f t="shared" si="321"/>
        <v>100.75999999999999</v>
      </c>
      <c r="U311" s="14">
        <f t="shared" si="322"/>
        <v>4.9622866216752687E-2</v>
      </c>
      <c r="V311" s="123">
        <f t="shared" ref="V311:V319" si="342">U311*100/SUM(U$293:U$296,U$298:U$309,U$311:U$319)</f>
        <v>0.12632642748863063</v>
      </c>
      <c r="W311" s="17" t="s">
        <v>3535</v>
      </c>
      <c r="X311" s="500">
        <f t="shared" si="323"/>
        <v>3.0318342597271349E-2</v>
      </c>
      <c r="Y311" s="504">
        <f>SUM(X311,X318)</f>
        <v>0.33350176856998481</v>
      </c>
      <c r="Z311" s="501">
        <f t="shared" ref="Z311:AA311" si="343">Y311</f>
        <v>0.33350176856998481</v>
      </c>
      <c r="AA311" s="792">
        <f t="shared" si="343"/>
        <v>0.33350176856998481</v>
      </c>
      <c r="AB311" s="18" t="s">
        <v>2526</v>
      </c>
      <c r="AC311" s="13" t="s">
        <v>215</v>
      </c>
      <c r="AD311" s="13" t="s">
        <v>3007</v>
      </c>
      <c r="AE311" s="12">
        <v>5.0851930036188197E-3</v>
      </c>
      <c r="AF311" s="12">
        <v>5.9995417730640897E-2</v>
      </c>
      <c r="AG311" s="12">
        <v>3.4699999999999998E-4</v>
      </c>
      <c r="AH311" s="12">
        <v>2.9762429672480995E-4</v>
      </c>
    </row>
    <row r="312" spans="1:34" ht="14.25">
      <c r="A312" s="14" t="s">
        <v>3501</v>
      </c>
      <c r="B312" s="10" t="s">
        <v>2580</v>
      </c>
      <c r="C312" s="14" t="s">
        <v>2595</v>
      </c>
      <c r="D312" s="14" t="s">
        <v>2911</v>
      </c>
      <c r="E312" s="14" t="s">
        <v>310</v>
      </c>
      <c r="F312" s="13">
        <v>94.48</v>
      </c>
      <c r="G312" s="14" t="s">
        <v>3502</v>
      </c>
      <c r="H312" s="13">
        <v>16127</v>
      </c>
      <c r="I312" s="13" t="s">
        <v>3503</v>
      </c>
      <c r="J312" s="14" t="s">
        <v>3504</v>
      </c>
      <c r="K312" s="873">
        <v>0.24</v>
      </c>
      <c r="L312" s="220">
        <v>23.76</v>
      </c>
      <c r="M312" s="473" t="s">
        <v>3505</v>
      </c>
      <c r="N312" s="521" t="s">
        <v>2937</v>
      </c>
      <c r="O312" s="480" t="s">
        <v>2976</v>
      </c>
      <c r="P312" s="14" t="s">
        <v>3531</v>
      </c>
      <c r="Q312" s="24" t="s">
        <v>3534</v>
      </c>
      <c r="R312" s="220">
        <v>7.0000000000000007E-2</v>
      </c>
      <c r="S312" s="220">
        <f t="shared" si="210"/>
        <v>1.6632000000000004E-2</v>
      </c>
      <c r="T312" s="220">
        <f t="shared" si="321"/>
        <v>100.75999999999999</v>
      </c>
      <c r="U312" s="220">
        <f t="shared" si="322"/>
        <v>6.9472012703453767E-2</v>
      </c>
      <c r="V312" s="123">
        <f t="shared" si="342"/>
        <v>0.1768569984840829</v>
      </c>
      <c r="W312" s="17" t="s">
        <v>3536</v>
      </c>
      <c r="X312" s="501">
        <f t="shared" si="323"/>
        <v>4.2445679636179894E-2</v>
      </c>
      <c r="Y312" s="220" t="s">
        <v>1666</v>
      </c>
      <c r="Z312" s="501">
        <f>SUM(X312,X321)</f>
        <v>47.042445679636181</v>
      </c>
      <c r="AA312" s="792">
        <f>Z312</f>
        <v>47.042445679636181</v>
      </c>
      <c r="AB312" s="18" t="s">
        <v>308</v>
      </c>
      <c r="AC312" s="13" t="str">
        <f t="shared" ref="AC312:AD312" si="344">AB312</f>
        <v>soybeans</v>
      </c>
      <c r="AD312" s="13" t="str">
        <f t="shared" si="344"/>
        <v>soybeans</v>
      </c>
      <c r="AE312" s="12">
        <v>5.0661296264537621E-3</v>
      </c>
      <c r="AF312" s="12">
        <v>4.1132611249310447E-2</v>
      </c>
      <c r="AG312" s="12">
        <v>8.190476190476189E-5</v>
      </c>
      <c r="AH312" s="12">
        <v>6.4489013651634311E-4</v>
      </c>
    </row>
    <row r="313" spans="1:34" ht="14.25">
      <c r="A313" s="14" t="s">
        <v>3501</v>
      </c>
      <c r="B313" s="10" t="s">
        <v>2580</v>
      </c>
      <c r="C313" s="14" t="s">
        <v>2595</v>
      </c>
      <c r="D313" s="14" t="s">
        <v>2911</v>
      </c>
      <c r="E313" s="14" t="s">
        <v>310</v>
      </c>
      <c r="F313" s="13">
        <v>94.48</v>
      </c>
      <c r="G313" s="14" t="s">
        <v>3502</v>
      </c>
      <c r="H313" s="13">
        <v>16127</v>
      </c>
      <c r="I313" s="14" t="s">
        <v>3503</v>
      </c>
      <c r="J313" s="14" t="s">
        <v>3504</v>
      </c>
      <c r="K313" s="873">
        <v>0.24</v>
      </c>
      <c r="L313" s="220">
        <v>23.76</v>
      </c>
      <c r="M313" s="473" t="s">
        <v>3505</v>
      </c>
      <c r="N313" s="521" t="s">
        <v>2937</v>
      </c>
      <c r="O313" s="480" t="s">
        <v>2976</v>
      </c>
      <c r="P313" s="14" t="s">
        <v>3531</v>
      </c>
      <c r="Q313" s="24" t="s">
        <v>3534</v>
      </c>
      <c r="R313" s="220">
        <v>7.0000000000000007E-2</v>
      </c>
      <c r="S313" s="220">
        <f t="shared" si="210"/>
        <v>1.6632000000000004E-2</v>
      </c>
      <c r="T313" s="220">
        <f t="shared" si="321"/>
        <v>100.75999999999999</v>
      </c>
      <c r="U313" s="220">
        <f t="shared" si="322"/>
        <v>6.9472012703453767E-2</v>
      </c>
      <c r="V313" s="123">
        <f t="shared" si="342"/>
        <v>0.1768569984840829</v>
      </c>
      <c r="W313" s="17" t="s">
        <v>3537</v>
      </c>
      <c r="X313" s="501">
        <f t="shared" si="323"/>
        <v>4.2445679636179894E-2</v>
      </c>
      <c r="Y313" s="220" t="s">
        <v>1666</v>
      </c>
      <c r="Z313" s="501" t="s">
        <v>1666</v>
      </c>
      <c r="AA313" s="792" t="s">
        <v>1666</v>
      </c>
      <c r="AB313" s="18" t="s">
        <v>1666</v>
      </c>
      <c r="AC313" s="13" t="str">
        <f t="shared" ref="AC313:AH313" si="345">AB313</f>
        <v>*</v>
      </c>
      <c r="AD313" s="13" t="str">
        <f t="shared" si="345"/>
        <v>*</v>
      </c>
      <c r="AE313" s="454" t="str">
        <f t="shared" si="345"/>
        <v>*</v>
      </c>
      <c r="AF313" s="454" t="str">
        <f t="shared" si="345"/>
        <v>*</v>
      </c>
      <c r="AG313" s="454" t="str">
        <f t="shared" si="345"/>
        <v>*</v>
      </c>
      <c r="AH313" s="454" t="str">
        <f t="shared" si="345"/>
        <v>*</v>
      </c>
    </row>
    <row r="314" spans="1:34" ht="14.25">
      <c r="A314" s="14" t="s">
        <v>3501</v>
      </c>
      <c r="B314" s="10" t="s">
        <v>2580</v>
      </c>
      <c r="C314" s="14" t="s">
        <v>2595</v>
      </c>
      <c r="D314" s="14" t="s">
        <v>2911</v>
      </c>
      <c r="E314" s="14" t="s">
        <v>310</v>
      </c>
      <c r="F314" s="13">
        <v>94.48</v>
      </c>
      <c r="G314" s="14" t="s">
        <v>3502</v>
      </c>
      <c r="H314" s="13">
        <v>16127</v>
      </c>
      <c r="I314" s="14" t="s">
        <v>3503</v>
      </c>
      <c r="J314" s="14" t="s">
        <v>3504</v>
      </c>
      <c r="K314" s="873">
        <v>0.24</v>
      </c>
      <c r="L314" s="220">
        <v>23.76</v>
      </c>
      <c r="M314" s="473" t="s">
        <v>3505</v>
      </c>
      <c r="N314" s="521" t="s">
        <v>2937</v>
      </c>
      <c r="O314" s="480" t="s">
        <v>2976</v>
      </c>
      <c r="P314" s="490" t="s">
        <v>3531</v>
      </c>
      <c r="Q314" s="525" t="s">
        <v>3534</v>
      </c>
      <c r="R314" s="589">
        <v>0.14000000000000001</v>
      </c>
      <c r="S314" s="589">
        <f t="shared" si="210"/>
        <v>3.3264000000000009E-2</v>
      </c>
      <c r="T314" s="589">
        <f t="shared" si="321"/>
        <v>100.75999999999999</v>
      </c>
      <c r="U314" s="589">
        <f t="shared" si="322"/>
        <v>0.13894402540690753</v>
      </c>
      <c r="V314" s="526">
        <f t="shared" si="342"/>
        <v>0.3537139969681658</v>
      </c>
      <c r="W314" s="17" t="s">
        <v>3538</v>
      </c>
      <c r="X314" s="501">
        <f t="shared" si="323"/>
        <v>8.4891359272359787E-2</v>
      </c>
      <c r="Y314" s="504">
        <f t="shared" ref="Y314:AA314" si="346">X314</f>
        <v>8.4891359272359787E-2</v>
      </c>
      <c r="Z314" s="501">
        <f t="shared" si="346"/>
        <v>8.4891359272359787E-2</v>
      </c>
      <c r="AA314" s="792">
        <f t="shared" si="346"/>
        <v>8.4891359272359787E-2</v>
      </c>
      <c r="AB314" s="18" t="s">
        <v>83</v>
      </c>
      <c r="AC314" s="14" t="s">
        <v>83</v>
      </c>
      <c r="AD314" s="14" t="s">
        <v>2951</v>
      </c>
      <c r="AE314" s="12">
        <v>0</v>
      </c>
      <c r="AF314" s="12">
        <v>0</v>
      </c>
      <c r="AG314" s="12">
        <v>0</v>
      </c>
      <c r="AH314" s="12">
        <v>0</v>
      </c>
    </row>
    <row r="315" spans="1:34" ht="14.25">
      <c r="A315" s="14" t="s">
        <v>3501</v>
      </c>
      <c r="B315" s="24" t="s">
        <v>2580</v>
      </c>
      <c r="C315" s="14" t="s">
        <v>2595</v>
      </c>
      <c r="D315" s="14" t="s">
        <v>2911</v>
      </c>
      <c r="E315" s="14" t="s">
        <v>310</v>
      </c>
      <c r="F315" s="13">
        <v>94.48</v>
      </c>
      <c r="G315" s="14" t="s">
        <v>3502</v>
      </c>
      <c r="H315" s="13">
        <v>16127</v>
      </c>
      <c r="I315" s="14" t="s">
        <v>3503</v>
      </c>
      <c r="J315" s="14" t="s">
        <v>3504</v>
      </c>
      <c r="K315" s="478">
        <v>0.24</v>
      </c>
      <c r="L315" s="220">
        <v>23.76</v>
      </c>
      <c r="M315" s="473" t="s">
        <v>3505</v>
      </c>
      <c r="N315" s="479" t="s">
        <v>2937</v>
      </c>
      <c r="O315" s="480" t="s">
        <v>2976</v>
      </c>
      <c r="P315" s="14" t="s">
        <v>2584</v>
      </c>
      <c r="Q315" s="486" t="s">
        <v>3423</v>
      </c>
      <c r="R315" s="14">
        <v>1</v>
      </c>
      <c r="S315" s="14">
        <f t="shared" si="210"/>
        <v>0.23760000000000003</v>
      </c>
      <c r="T315" s="220">
        <f t="shared" si="321"/>
        <v>100.75999999999999</v>
      </c>
      <c r="U315" s="14">
        <f t="shared" si="322"/>
        <v>0.99245732433505374</v>
      </c>
      <c r="V315" s="123">
        <f t="shared" si="342"/>
        <v>2.5265285497726122</v>
      </c>
      <c r="W315" s="14" t="s">
        <v>2584</v>
      </c>
      <c r="X315" s="500">
        <f t="shared" si="323"/>
        <v>0.60636685194542694</v>
      </c>
      <c r="Y315" s="501">
        <f t="shared" ref="Y315:Y316" si="347">X315</f>
        <v>0.60636685194542694</v>
      </c>
      <c r="Z315" s="220" t="s">
        <v>1666</v>
      </c>
      <c r="AA315" s="792" t="str">
        <f t="shared" ref="AA315:AH315" si="348">Z315</f>
        <v>*</v>
      </c>
      <c r="AB315" s="458" t="str">
        <f t="shared" si="348"/>
        <v>*</v>
      </c>
      <c r="AC315" s="497" t="str">
        <f t="shared" si="348"/>
        <v>*</v>
      </c>
      <c r="AD315" s="497" t="str">
        <f t="shared" si="348"/>
        <v>*</v>
      </c>
      <c r="AE315" s="454" t="str">
        <f t="shared" si="348"/>
        <v>*</v>
      </c>
      <c r="AF315" s="454" t="str">
        <f t="shared" si="348"/>
        <v>*</v>
      </c>
      <c r="AG315" s="454" t="str">
        <f t="shared" si="348"/>
        <v>*</v>
      </c>
      <c r="AH315" s="454" t="str">
        <f t="shared" si="348"/>
        <v>*</v>
      </c>
    </row>
    <row r="316" spans="1:34" ht="14.25">
      <c r="A316" s="14" t="s">
        <v>3501</v>
      </c>
      <c r="B316" s="24" t="s">
        <v>2580</v>
      </c>
      <c r="C316" s="14" t="s">
        <v>2595</v>
      </c>
      <c r="D316" s="14" t="s">
        <v>2911</v>
      </c>
      <c r="E316" s="14" t="s">
        <v>310</v>
      </c>
      <c r="F316" s="13">
        <v>94.48</v>
      </c>
      <c r="G316" s="14" t="s">
        <v>3502</v>
      </c>
      <c r="H316" s="13">
        <v>16127</v>
      </c>
      <c r="I316" s="14" t="s">
        <v>3503</v>
      </c>
      <c r="J316" s="14" t="s">
        <v>3504</v>
      </c>
      <c r="K316" s="478">
        <v>0.24</v>
      </c>
      <c r="L316" s="220">
        <v>23.76</v>
      </c>
      <c r="M316" s="473" t="s">
        <v>3505</v>
      </c>
      <c r="N316" s="479" t="s">
        <v>2937</v>
      </c>
      <c r="O316" s="480" t="s">
        <v>2976</v>
      </c>
      <c r="P316" s="14" t="s">
        <v>85</v>
      </c>
      <c r="Q316" s="14" t="s">
        <v>3539</v>
      </c>
      <c r="R316" s="14">
        <v>1</v>
      </c>
      <c r="S316" s="14">
        <f t="shared" si="210"/>
        <v>0.23760000000000003</v>
      </c>
      <c r="T316" s="220">
        <f t="shared" si="321"/>
        <v>100.75999999999999</v>
      </c>
      <c r="U316" s="14">
        <f t="shared" si="322"/>
        <v>0.99245732433505374</v>
      </c>
      <c r="V316" s="123">
        <f t="shared" si="342"/>
        <v>2.5265285497726122</v>
      </c>
      <c r="W316" s="14" t="s">
        <v>85</v>
      </c>
      <c r="X316" s="500">
        <f t="shared" si="323"/>
        <v>0.60636685194542694</v>
      </c>
      <c r="Y316" s="504">
        <f t="shared" si="347"/>
        <v>0.60636685194542694</v>
      </c>
      <c r="Z316" s="501">
        <f t="shared" ref="Z316:AA316" si="349">Y316</f>
        <v>0.60636685194542694</v>
      </c>
      <c r="AA316" s="792">
        <f t="shared" si="349"/>
        <v>0.60636685194542694</v>
      </c>
      <c r="AB316" s="458" t="s">
        <v>85</v>
      </c>
      <c r="AC316" s="14" t="s">
        <v>18</v>
      </c>
      <c r="AD316" s="14" t="s">
        <v>3144</v>
      </c>
      <c r="AE316" s="12">
        <v>2.0262392565709405E-4</v>
      </c>
      <c r="AF316" s="12">
        <v>1.0885928720785719E-2</v>
      </c>
      <c r="AG316" s="12">
        <v>6.2837933649623454E-6</v>
      </c>
      <c r="AH316" s="12">
        <v>4.6142098112569087E-5</v>
      </c>
    </row>
    <row r="317" spans="1:34" ht="14.25">
      <c r="A317" s="14" t="s">
        <v>3501</v>
      </c>
      <c r="B317" s="24" t="s">
        <v>2580</v>
      </c>
      <c r="C317" s="14" t="s">
        <v>2595</v>
      </c>
      <c r="D317" s="14" t="s">
        <v>2911</v>
      </c>
      <c r="E317" s="14" t="s">
        <v>310</v>
      </c>
      <c r="F317" s="13">
        <v>94.48</v>
      </c>
      <c r="G317" s="14" t="s">
        <v>3502</v>
      </c>
      <c r="H317" s="13">
        <v>16127</v>
      </c>
      <c r="I317" s="14" t="s">
        <v>3503</v>
      </c>
      <c r="J317" s="14" t="s">
        <v>3504</v>
      </c>
      <c r="K317" s="478">
        <v>0.24</v>
      </c>
      <c r="L317" s="220">
        <v>23.76</v>
      </c>
      <c r="M317" s="473" t="s">
        <v>3505</v>
      </c>
      <c r="N317" s="479" t="s">
        <v>2937</v>
      </c>
      <c r="O317" s="480" t="s">
        <v>2976</v>
      </c>
      <c r="P317" s="655" t="s">
        <v>2977</v>
      </c>
      <c r="Q317" s="527" t="s">
        <v>2978</v>
      </c>
      <c r="R317" s="14">
        <v>0.75</v>
      </c>
      <c r="S317" s="14">
        <f t="shared" si="210"/>
        <v>0.1782</v>
      </c>
      <c r="T317" s="220">
        <f t="shared" si="321"/>
        <v>100.75999999999999</v>
      </c>
      <c r="U317" s="14">
        <f t="shared" si="322"/>
        <v>0.74434299325129027</v>
      </c>
      <c r="V317" s="123">
        <f t="shared" si="342"/>
        <v>1.8948964123294594</v>
      </c>
      <c r="W317" s="14" t="s">
        <v>227</v>
      </c>
      <c r="X317" s="500">
        <f t="shared" si="323"/>
        <v>0.45477513895907024</v>
      </c>
      <c r="Y317" s="220" t="s">
        <v>1624</v>
      </c>
      <c r="Z317" s="501">
        <f>X317</f>
        <v>0.45477513895907024</v>
      </c>
      <c r="AA317" s="792">
        <f>Z317</f>
        <v>0.45477513895907024</v>
      </c>
      <c r="AB317" s="458" t="s">
        <v>227</v>
      </c>
      <c r="AC317" s="13" t="s">
        <v>55</v>
      </c>
      <c r="AD317" s="13" t="s">
        <v>2979</v>
      </c>
      <c r="AE317" s="12">
        <v>2.5055367220000002E-3</v>
      </c>
      <c r="AF317" s="12">
        <v>3.8459841414181101E-2</v>
      </c>
      <c r="AG317" s="12">
        <v>1.1035422343324251E-4</v>
      </c>
      <c r="AH317" s="12">
        <v>8.109653861711444E-4</v>
      </c>
    </row>
    <row r="318" spans="1:34" ht="14.25">
      <c r="A318" s="14" t="s">
        <v>3501</v>
      </c>
      <c r="B318" s="24" t="s">
        <v>2580</v>
      </c>
      <c r="C318" s="14" t="s">
        <v>2595</v>
      </c>
      <c r="D318" s="14" t="s">
        <v>2911</v>
      </c>
      <c r="E318" s="14" t="s">
        <v>310</v>
      </c>
      <c r="F318" s="13">
        <v>94.48</v>
      </c>
      <c r="G318" s="14" t="s">
        <v>3502</v>
      </c>
      <c r="H318" s="13">
        <v>16127</v>
      </c>
      <c r="I318" s="14" t="s">
        <v>3503</v>
      </c>
      <c r="J318" s="14" t="s">
        <v>3504</v>
      </c>
      <c r="K318" s="478">
        <v>0.24</v>
      </c>
      <c r="L318" s="220">
        <v>23.76</v>
      </c>
      <c r="M318" s="473" t="s">
        <v>3505</v>
      </c>
      <c r="N318" s="479" t="s">
        <v>2937</v>
      </c>
      <c r="O318" s="480" t="s">
        <v>2976</v>
      </c>
      <c r="P318" s="655" t="s">
        <v>3005</v>
      </c>
      <c r="Q318" s="486" t="s">
        <v>3006</v>
      </c>
      <c r="R318" s="14">
        <v>0.5</v>
      </c>
      <c r="S318" s="14">
        <f t="shared" si="210"/>
        <v>0.11880000000000002</v>
      </c>
      <c r="T318" s="220">
        <f t="shared" si="321"/>
        <v>100.75999999999999</v>
      </c>
      <c r="U318" s="14">
        <f t="shared" si="322"/>
        <v>0.49622866216752687</v>
      </c>
      <c r="V318" s="123">
        <f t="shared" si="342"/>
        <v>1.2632642748863061</v>
      </c>
      <c r="W318" s="14" t="s">
        <v>2779</v>
      </c>
      <c r="X318" s="500">
        <f t="shared" si="323"/>
        <v>0.30318342597271347</v>
      </c>
      <c r="Y318" s="220" t="s">
        <v>1666</v>
      </c>
      <c r="Z318" s="220" t="s">
        <v>1666</v>
      </c>
      <c r="AA318" s="792" t="s">
        <v>1666</v>
      </c>
      <c r="AB318" s="458" t="s">
        <v>1666</v>
      </c>
      <c r="AC318" s="458" t="s">
        <v>1666</v>
      </c>
      <c r="AD318" s="458" t="s">
        <v>1666</v>
      </c>
      <c r="AE318" s="462" t="s">
        <v>1666</v>
      </c>
      <c r="AF318" s="462" t="s">
        <v>1666</v>
      </c>
      <c r="AG318" s="462" t="s">
        <v>1666</v>
      </c>
      <c r="AH318" s="462" t="s">
        <v>1666</v>
      </c>
    </row>
    <row r="319" spans="1:34" ht="14.25">
      <c r="A319" s="14" t="s">
        <v>3501</v>
      </c>
      <c r="B319" s="24" t="s">
        <v>2580</v>
      </c>
      <c r="C319" s="14" t="s">
        <v>2595</v>
      </c>
      <c r="D319" s="14" t="s">
        <v>2911</v>
      </c>
      <c r="E319" s="14" t="s">
        <v>310</v>
      </c>
      <c r="F319" s="13">
        <v>94.48</v>
      </c>
      <c r="G319" s="14" t="s">
        <v>3502</v>
      </c>
      <c r="H319" s="13">
        <v>16127</v>
      </c>
      <c r="I319" s="135" t="s">
        <v>3503</v>
      </c>
      <c r="J319" s="135" t="s">
        <v>3504</v>
      </c>
      <c r="K319" s="475">
        <v>0.24</v>
      </c>
      <c r="L319" s="476">
        <v>23.76</v>
      </c>
      <c r="M319" s="492" t="s">
        <v>3505</v>
      </c>
      <c r="N319" s="493" t="s">
        <v>2937</v>
      </c>
      <c r="O319" s="494" t="s">
        <v>2976</v>
      </c>
      <c r="P319" s="135" t="s">
        <v>3072</v>
      </c>
      <c r="Q319" s="135" t="s">
        <v>3073</v>
      </c>
      <c r="R319" s="135">
        <v>0.1</v>
      </c>
      <c r="S319" s="135">
        <f t="shared" si="210"/>
        <v>2.3760000000000003E-2</v>
      </c>
      <c r="T319" s="476">
        <f t="shared" si="321"/>
        <v>100.75999999999999</v>
      </c>
      <c r="U319" s="135">
        <f t="shared" si="322"/>
        <v>9.9245732433505374E-2</v>
      </c>
      <c r="V319" s="123">
        <f t="shared" si="342"/>
        <v>0.25265285497726125</v>
      </c>
      <c r="W319" s="17" t="s">
        <v>343</v>
      </c>
      <c r="X319" s="500">
        <f t="shared" si="323"/>
        <v>6.0636685194542697E-2</v>
      </c>
      <c r="Y319" s="220" t="s">
        <v>1666</v>
      </c>
      <c r="Z319" s="501">
        <f t="shared" ref="Z319:Z320" si="350">X319</f>
        <v>6.0636685194542697E-2</v>
      </c>
      <c r="AA319" s="792">
        <f t="shared" ref="AA319:AA320" si="351">Z319</f>
        <v>6.0636685194542697E-2</v>
      </c>
      <c r="AB319" s="458" t="s">
        <v>2597</v>
      </c>
      <c r="AC319" s="13" t="s">
        <v>2982</v>
      </c>
      <c r="AD319" s="13" t="s">
        <v>2983</v>
      </c>
      <c r="AE319" s="12">
        <v>2.9691872042618299E-2</v>
      </c>
      <c r="AF319" s="12">
        <v>7.5368545517799299E-2</v>
      </c>
      <c r="AG319" s="12">
        <v>2.9014018691588786E-4</v>
      </c>
      <c r="AH319" s="12">
        <v>1.4770983615231311E-3</v>
      </c>
    </row>
    <row r="320" spans="1:34" ht="12.75">
      <c r="A320" s="14" t="s">
        <v>3501</v>
      </c>
      <c r="B320" s="13" t="s">
        <v>2580</v>
      </c>
      <c r="C320" s="14" t="s">
        <v>2595</v>
      </c>
      <c r="D320" s="14" t="s">
        <v>2911</v>
      </c>
      <c r="E320" s="14" t="s">
        <v>310</v>
      </c>
      <c r="F320" s="13">
        <v>94.48</v>
      </c>
      <c r="G320" s="14" t="s">
        <v>3502</v>
      </c>
      <c r="H320" s="13">
        <v>16127</v>
      </c>
      <c r="I320" s="135" t="s">
        <v>310</v>
      </c>
      <c r="J320" s="135" t="s">
        <v>3540</v>
      </c>
      <c r="K320" s="475">
        <v>0.28999999999999998</v>
      </c>
      <c r="L320" s="476">
        <v>28.42</v>
      </c>
      <c r="M320" s="492" t="s">
        <v>3541</v>
      </c>
      <c r="N320" s="492"/>
      <c r="O320" s="494" t="s">
        <v>3542</v>
      </c>
      <c r="P320" s="135" t="s">
        <v>310</v>
      </c>
      <c r="Q320" s="135" t="s">
        <v>3543</v>
      </c>
      <c r="R320" s="135">
        <v>100</v>
      </c>
      <c r="S320" s="135">
        <f t="shared" si="210"/>
        <v>28.42</v>
      </c>
      <c r="T320" s="528">
        <v>100</v>
      </c>
      <c r="U320" s="298">
        <f t="shared" ref="U320:U326" si="352">R320</f>
        <v>100</v>
      </c>
      <c r="V320" s="528">
        <f t="shared" ref="V320:V365" si="353">U320</f>
        <v>100</v>
      </c>
      <c r="W320" s="298" t="s">
        <v>310</v>
      </c>
      <c r="X320" s="500">
        <f t="shared" si="323"/>
        <v>28.999999999999996</v>
      </c>
      <c r="Y320" s="220" t="s">
        <v>1666</v>
      </c>
      <c r="Z320" s="501">
        <f t="shared" si="350"/>
        <v>28.999999999999996</v>
      </c>
      <c r="AA320" s="792">
        <f t="shared" si="351"/>
        <v>28.999999999999996</v>
      </c>
      <c r="AB320" s="18" t="s">
        <v>310</v>
      </c>
      <c r="AC320" s="13" t="s">
        <v>310</v>
      </c>
      <c r="AD320" s="13" t="s">
        <v>3544</v>
      </c>
      <c r="AE320" s="12">
        <v>4.3502453187736897E-3</v>
      </c>
      <c r="AF320" s="12">
        <v>1.10424718876256E-2</v>
      </c>
      <c r="AG320" s="12">
        <v>8.2999999999999998E-5</v>
      </c>
      <c r="AH320" s="12">
        <v>7.0547981445880884E-4</v>
      </c>
    </row>
    <row r="321" spans="1:34" ht="12.75">
      <c r="A321" s="617" t="s">
        <v>3501</v>
      </c>
      <c r="B321" s="799" t="s">
        <v>2580</v>
      </c>
      <c r="C321" s="617" t="s">
        <v>2595</v>
      </c>
      <c r="D321" s="617" t="s">
        <v>2911</v>
      </c>
      <c r="E321" s="617" t="s">
        <v>310</v>
      </c>
      <c r="F321" s="799">
        <v>94.48</v>
      </c>
      <c r="G321" s="617" t="s">
        <v>3502</v>
      </c>
      <c r="H321" s="799">
        <v>16127</v>
      </c>
      <c r="I321" s="617" t="s">
        <v>2941</v>
      </c>
      <c r="J321" s="617" t="s">
        <v>3545</v>
      </c>
      <c r="K321" s="838">
        <v>0.47</v>
      </c>
      <c r="L321" s="725">
        <v>42.3</v>
      </c>
      <c r="M321" s="850" t="s">
        <v>3546</v>
      </c>
      <c r="N321" s="850"/>
      <c r="O321" s="842"/>
      <c r="P321" s="617" t="s">
        <v>2941</v>
      </c>
      <c r="Q321" s="617" t="s">
        <v>3547</v>
      </c>
      <c r="R321" s="617">
        <v>100</v>
      </c>
      <c r="S321" s="617">
        <f t="shared" si="210"/>
        <v>42.3</v>
      </c>
      <c r="T321" s="725">
        <v>100</v>
      </c>
      <c r="U321" s="617">
        <f t="shared" si="352"/>
        <v>100</v>
      </c>
      <c r="V321" s="725">
        <f t="shared" si="353"/>
        <v>100</v>
      </c>
      <c r="W321" s="617" t="s">
        <v>3548</v>
      </c>
      <c r="X321" s="855">
        <f t="shared" si="323"/>
        <v>47</v>
      </c>
      <c r="Y321" s="725" t="s">
        <v>1666</v>
      </c>
      <c r="Z321" s="725" t="s">
        <v>1666</v>
      </c>
      <c r="AA321" s="455" t="s">
        <v>1666</v>
      </c>
      <c r="AB321" s="793" t="s">
        <v>1666</v>
      </c>
      <c r="AC321" s="799" t="str">
        <f t="shared" ref="AC321:AH321" si="354">AB321</f>
        <v>*</v>
      </c>
      <c r="AD321" s="799" t="str">
        <f t="shared" si="354"/>
        <v>*</v>
      </c>
      <c r="AE321" s="808" t="str">
        <f t="shared" si="354"/>
        <v>*</v>
      </c>
      <c r="AF321" s="808" t="str">
        <f t="shared" si="354"/>
        <v>*</v>
      </c>
      <c r="AG321" s="808" t="str">
        <f t="shared" si="354"/>
        <v>*</v>
      </c>
      <c r="AH321" s="808" t="str">
        <f t="shared" si="354"/>
        <v>*</v>
      </c>
    </row>
    <row r="322" spans="1:34" ht="12.75">
      <c r="A322" s="14" t="s">
        <v>3549</v>
      </c>
      <c r="B322" s="13" t="s">
        <v>2580</v>
      </c>
      <c r="C322" s="14" t="s">
        <v>2598</v>
      </c>
      <c r="D322" s="14" t="s">
        <v>2911</v>
      </c>
      <c r="E322" s="14" t="s">
        <v>299</v>
      </c>
      <c r="F322" s="13">
        <v>81.25</v>
      </c>
      <c r="G322" s="14" t="s">
        <v>3195</v>
      </c>
      <c r="H322" s="13">
        <v>11313</v>
      </c>
      <c r="I322" s="135" t="s">
        <v>299</v>
      </c>
      <c r="J322" s="135" t="s">
        <v>3550</v>
      </c>
      <c r="K322" s="475">
        <v>0.75</v>
      </c>
      <c r="L322" s="476">
        <v>60</v>
      </c>
      <c r="M322" s="492" t="s">
        <v>3551</v>
      </c>
      <c r="N322" s="492"/>
      <c r="O322" s="494"/>
      <c r="P322" s="135" t="s">
        <v>299</v>
      </c>
      <c r="Q322" s="135" t="s">
        <v>3552</v>
      </c>
      <c r="R322" s="135">
        <v>100</v>
      </c>
      <c r="S322" s="135">
        <f t="shared" si="210"/>
        <v>60</v>
      </c>
      <c r="T322" s="476">
        <v>100</v>
      </c>
      <c r="U322" s="135">
        <f t="shared" si="352"/>
        <v>100</v>
      </c>
      <c r="V322" s="476">
        <f t="shared" si="353"/>
        <v>100</v>
      </c>
      <c r="W322" s="135" t="s">
        <v>299</v>
      </c>
      <c r="X322" s="220">
        <f t="shared" si="323"/>
        <v>75</v>
      </c>
      <c r="Y322" s="220">
        <f t="shared" ref="Y322:AA322" si="355">X322</f>
        <v>75</v>
      </c>
      <c r="Z322" s="220">
        <f t="shared" si="355"/>
        <v>75</v>
      </c>
      <c r="AA322" s="792">
        <f t="shared" si="355"/>
        <v>75</v>
      </c>
      <c r="AB322" s="18" t="s">
        <v>299</v>
      </c>
      <c r="AC322" s="13" t="s">
        <v>299</v>
      </c>
      <c r="AD322" s="13" t="s">
        <v>3553</v>
      </c>
      <c r="AE322" s="12">
        <v>3.3715510380578286E-3</v>
      </c>
      <c r="AF322" s="12">
        <v>1.5399705979103718E-2</v>
      </c>
      <c r="AG322" s="12">
        <v>1.8383838383838382E-4</v>
      </c>
      <c r="AH322" s="12">
        <v>8.3632217061965959E-4</v>
      </c>
    </row>
    <row r="323" spans="1:34" ht="12.75">
      <c r="A323" s="617" t="s">
        <v>3549</v>
      </c>
      <c r="B323" s="799" t="s">
        <v>2580</v>
      </c>
      <c r="C323" s="617" t="s">
        <v>2598</v>
      </c>
      <c r="D323" s="617" t="s">
        <v>2911</v>
      </c>
      <c r="E323" s="617" t="s">
        <v>299</v>
      </c>
      <c r="F323" s="799">
        <v>81.25</v>
      </c>
      <c r="G323" s="617" t="s">
        <v>3195</v>
      </c>
      <c r="H323" s="799">
        <v>11313</v>
      </c>
      <c r="I323" s="617" t="s">
        <v>3554</v>
      </c>
      <c r="J323" s="617" t="s">
        <v>3555</v>
      </c>
      <c r="K323" s="838">
        <v>0.25</v>
      </c>
      <c r="L323" s="725">
        <v>21.25</v>
      </c>
      <c r="M323" s="850" t="s">
        <v>3556</v>
      </c>
      <c r="N323" s="850"/>
      <c r="O323" s="842"/>
      <c r="P323" s="617" t="s">
        <v>3554</v>
      </c>
      <c r="Q323" s="617" t="s">
        <v>3557</v>
      </c>
      <c r="R323" s="617">
        <v>100</v>
      </c>
      <c r="S323" s="617">
        <f t="shared" si="210"/>
        <v>21.25</v>
      </c>
      <c r="T323" s="725">
        <v>100</v>
      </c>
      <c r="U323" s="617">
        <f t="shared" si="352"/>
        <v>100</v>
      </c>
      <c r="V323" s="725">
        <f t="shared" si="353"/>
        <v>100</v>
      </c>
      <c r="W323" s="617" t="s">
        <v>294</v>
      </c>
      <c r="X323" s="725">
        <f t="shared" si="323"/>
        <v>25</v>
      </c>
      <c r="Y323" s="725">
        <f t="shared" ref="Y323:AA323" si="356">X323</f>
        <v>25</v>
      </c>
      <c r="Z323" s="725">
        <f t="shared" si="356"/>
        <v>25</v>
      </c>
      <c r="AA323" s="455">
        <f t="shared" si="356"/>
        <v>25</v>
      </c>
      <c r="AB323" s="793" t="s">
        <v>293</v>
      </c>
      <c r="AC323" s="799" t="s">
        <v>3459</v>
      </c>
      <c r="AD323" s="799" t="s">
        <v>3460</v>
      </c>
      <c r="AE323" s="635">
        <v>6.7171636864411322E-3</v>
      </c>
      <c r="AF323" s="635">
        <v>8.9019074055687111E-2</v>
      </c>
      <c r="AG323" s="635">
        <v>2.2314159292035395E-4</v>
      </c>
      <c r="AH323" s="635">
        <v>6.959199386544721E-4</v>
      </c>
    </row>
    <row r="324" spans="1:34" ht="12.75">
      <c r="A324" s="617" t="s">
        <v>3558</v>
      </c>
      <c r="B324" s="799" t="s">
        <v>2580</v>
      </c>
      <c r="C324" s="617" t="s">
        <v>2599</v>
      </c>
      <c r="D324" s="617" t="s">
        <v>2911</v>
      </c>
      <c r="E324" s="617" t="s">
        <v>3559</v>
      </c>
      <c r="F324" s="799">
        <v>78</v>
      </c>
      <c r="G324" s="617" t="s">
        <v>3195</v>
      </c>
      <c r="H324" s="799">
        <v>11091</v>
      </c>
      <c r="I324" s="617" t="s">
        <v>3559</v>
      </c>
      <c r="J324" s="617" t="s">
        <v>3560</v>
      </c>
      <c r="K324" s="838">
        <v>1</v>
      </c>
      <c r="L324" s="725">
        <v>78</v>
      </c>
      <c r="M324" s="850" t="s">
        <v>3561</v>
      </c>
      <c r="N324" s="850"/>
      <c r="O324" s="842"/>
      <c r="P324" s="617" t="s">
        <v>3559</v>
      </c>
      <c r="Q324" s="617" t="s">
        <v>3562</v>
      </c>
      <c r="R324" s="617">
        <v>100</v>
      </c>
      <c r="S324" s="617">
        <f t="shared" si="210"/>
        <v>78</v>
      </c>
      <c r="T324" s="725">
        <f t="shared" ref="T324:T326" si="357">R324</f>
        <v>100</v>
      </c>
      <c r="U324" s="617">
        <f t="shared" si="352"/>
        <v>100</v>
      </c>
      <c r="V324" s="725">
        <f t="shared" si="353"/>
        <v>100</v>
      </c>
      <c r="W324" s="617" t="s">
        <v>444</v>
      </c>
      <c r="X324" s="725">
        <f t="shared" si="323"/>
        <v>100</v>
      </c>
      <c r="Y324" s="725">
        <f t="shared" ref="Y324:AA324" si="358">X324</f>
        <v>100</v>
      </c>
      <c r="Z324" s="725">
        <f t="shared" si="358"/>
        <v>100</v>
      </c>
      <c r="AA324" s="455">
        <f t="shared" si="358"/>
        <v>100</v>
      </c>
      <c r="AB324" s="793" t="s">
        <v>444</v>
      </c>
      <c r="AC324" s="617" t="s">
        <v>3563</v>
      </c>
      <c r="AD324" s="617" t="s">
        <v>3564</v>
      </c>
      <c r="AE324" s="635">
        <v>1.5085859519408502E-3</v>
      </c>
      <c r="AF324" s="635">
        <v>3.1939309919901404E-2</v>
      </c>
      <c r="AG324" s="635">
        <v>3.4426229508196721E-5</v>
      </c>
      <c r="AH324" s="635">
        <v>5.7826098360655735E-4</v>
      </c>
    </row>
    <row r="325" spans="1:34" ht="12.75">
      <c r="A325" s="617" t="s">
        <v>3565</v>
      </c>
      <c r="B325" s="799" t="s">
        <v>2580</v>
      </c>
      <c r="C325" s="617" t="s">
        <v>2600</v>
      </c>
      <c r="D325" s="617" t="s">
        <v>2911</v>
      </c>
      <c r="E325" s="617" t="s">
        <v>3566</v>
      </c>
      <c r="F325" s="799">
        <v>62</v>
      </c>
      <c r="G325" s="617" t="s">
        <v>3195</v>
      </c>
      <c r="H325" s="799">
        <v>11136</v>
      </c>
      <c r="I325" s="617" t="s">
        <v>3566</v>
      </c>
      <c r="J325" s="617" t="s">
        <v>3567</v>
      </c>
      <c r="K325" s="838">
        <v>1</v>
      </c>
      <c r="L325" s="725">
        <v>62</v>
      </c>
      <c r="M325" s="850" t="s">
        <v>3568</v>
      </c>
      <c r="N325" s="850"/>
      <c r="O325" s="842"/>
      <c r="P325" s="617" t="s">
        <v>3566</v>
      </c>
      <c r="Q325" s="617" t="s">
        <v>3569</v>
      </c>
      <c r="R325" s="617">
        <v>100</v>
      </c>
      <c r="S325" s="617">
        <f t="shared" si="210"/>
        <v>62</v>
      </c>
      <c r="T325" s="725">
        <f t="shared" si="357"/>
        <v>100</v>
      </c>
      <c r="U325" s="617">
        <f t="shared" si="352"/>
        <v>100</v>
      </c>
      <c r="V325" s="725">
        <f t="shared" si="353"/>
        <v>100</v>
      </c>
      <c r="W325" s="617" t="s">
        <v>457</v>
      </c>
      <c r="X325" s="725">
        <f t="shared" si="323"/>
        <v>100</v>
      </c>
      <c r="Y325" s="725">
        <f t="shared" ref="Y325:AA325" si="359">X325</f>
        <v>100</v>
      </c>
      <c r="Z325" s="725">
        <f t="shared" si="359"/>
        <v>100</v>
      </c>
      <c r="AA325" s="455">
        <f t="shared" si="359"/>
        <v>100</v>
      </c>
      <c r="AB325" s="793" t="s">
        <v>457</v>
      </c>
      <c r="AC325" s="799" t="s">
        <v>3570</v>
      </c>
      <c r="AD325" s="799" t="s">
        <v>3571</v>
      </c>
      <c r="AE325" s="635">
        <v>2.14888098999473E-3</v>
      </c>
      <c r="AF325" s="635">
        <v>5.1770668773038403E-2</v>
      </c>
      <c r="AG325" s="635">
        <v>4.6666666666666665E-5</v>
      </c>
      <c r="AH325" s="635">
        <v>6.8588177777777789E-4</v>
      </c>
    </row>
    <row r="326" spans="1:34" ht="12.75">
      <c r="A326" s="14" t="s">
        <v>3572</v>
      </c>
      <c r="B326" s="13" t="s">
        <v>2580</v>
      </c>
      <c r="C326" s="14" t="s">
        <v>2601</v>
      </c>
      <c r="D326" s="14" t="s">
        <v>2911</v>
      </c>
      <c r="E326" s="14" t="s">
        <v>3573</v>
      </c>
      <c r="F326" s="13">
        <v>70.23</v>
      </c>
      <c r="G326" s="14" t="s">
        <v>3195</v>
      </c>
      <c r="H326" s="13">
        <v>11110</v>
      </c>
      <c r="I326" s="135" t="s">
        <v>3573</v>
      </c>
      <c r="J326" s="135" t="s">
        <v>3574</v>
      </c>
      <c r="K326" s="475">
        <v>0.47</v>
      </c>
      <c r="L326" s="476">
        <v>35.25</v>
      </c>
      <c r="M326" s="492" t="s">
        <v>3575</v>
      </c>
      <c r="N326" s="492"/>
      <c r="O326" s="494"/>
      <c r="P326" s="135" t="s">
        <v>3573</v>
      </c>
      <c r="Q326" s="14" t="s">
        <v>3576</v>
      </c>
      <c r="R326" s="135">
        <v>100</v>
      </c>
      <c r="S326" s="135">
        <f t="shared" si="210"/>
        <v>35.25</v>
      </c>
      <c r="T326" s="476">
        <f t="shared" si="357"/>
        <v>100</v>
      </c>
      <c r="U326" s="135">
        <f t="shared" si="352"/>
        <v>100</v>
      </c>
      <c r="V326" s="476">
        <f t="shared" si="353"/>
        <v>100</v>
      </c>
      <c r="W326" s="135" t="s">
        <v>450</v>
      </c>
      <c r="X326" s="220">
        <f t="shared" si="323"/>
        <v>47</v>
      </c>
      <c r="Y326" s="220">
        <f>SUM(X326:X327)</f>
        <v>81.10891089108911</v>
      </c>
      <c r="Z326" s="220">
        <f t="shared" ref="Z326:AA326" si="360">Y326</f>
        <v>81.10891089108911</v>
      </c>
      <c r="AA326" s="792">
        <f t="shared" si="360"/>
        <v>81.10891089108911</v>
      </c>
      <c r="AB326" s="18" t="s">
        <v>450</v>
      </c>
      <c r="AC326" s="13" t="s">
        <v>3573</v>
      </c>
      <c r="AD326" s="13" t="s">
        <v>3577</v>
      </c>
      <c r="AE326" s="12">
        <v>5.8916802021295798E-4</v>
      </c>
      <c r="AF326" s="12">
        <v>1.0256873007279099E-2</v>
      </c>
      <c r="AG326" s="12">
        <v>3.2911392405063288E-5</v>
      </c>
      <c r="AH326" s="12">
        <v>1.6743949367088607E-4</v>
      </c>
    </row>
    <row r="327" spans="1:34" ht="12.75">
      <c r="A327" s="14" t="s">
        <v>3572</v>
      </c>
      <c r="B327" s="24" t="s">
        <v>2580</v>
      </c>
      <c r="C327" s="14" t="s">
        <v>2601</v>
      </c>
      <c r="D327" s="14" t="s">
        <v>2911</v>
      </c>
      <c r="E327" s="14" t="s">
        <v>3573</v>
      </c>
      <c r="F327" s="13">
        <v>70.23</v>
      </c>
      <c r="G327" s="14" t="s">
        <v>3195</v>
      </c>
      <c r="H327" s="13">
        <v>11110</v>
      </c>
      <c r="I327" s="14" t="s">
        <v>3578</v>
      </c>
      <c r="J327" s="14" t="s">
        <v>3579</v>
      </c>
      <c r="K327" s="478">
        <v>0.53</v>
      </c>
      <c r="L327" s="220">
        <v>34.979999999999997</v>
      </c>
      <c r="M327" s="473" t="s">
        <v>3580</v>
      </c>
      <c r="N327" s="473"/>
      <c r="O327" s="480" t="s">
        <v>3581</v>
      </c>
      <c r="P327" s="14" t="s">
        <v>3573</v>
      </c>
      <c r="Q327" s="874" t="s">
        <v>3576</v>
      </c>
      <c r="R327" s="14">
        <v>65</v>
      </c>
      <c r="S327" s="14">
        <f t="shared" si="210"/>
        <v>22.736999999999998</v>
      </c>
      <c r="T327" s="487">
        <f t="shared" ref="T327:T330" si="361">SUM($R$327:$R$337)-$R$331</f>
        <v>101</v>
      </c>
      <c r="U327" s="14">
        <f t="shared" ref="U327:U337" si="362">R327*100/T327</f>
        <v>64.356435643564353</v>
      </c>
      <c r="V327" s="220">
        <f t="shared" si="353"/>
        <v>64.356435643564353</v>
      </c>
      <c r="W327" s="14" t="s">
        <v>450</v>
      </c>
      <c r="X327" s="220">
        <f t="shared" si="323"/>
        <v>34.10891089108911</v>
      </c>
      <c r="Y327" s="220" t="s">
        <v>1666</v>
      </c>
      <c r="Z327" s="220" t="str">
        <f t="shared" ref="Z327:AA327" si="363">Y327</f>
        <v>*</v>
      </c>
      <c r="AA327" s="792" t="str">
        <f t="shared" si="363"/>
        <v>*</v>
      </c>
      <c r="AB327" s="18" t="s">
        <v>1666</v>
      </c>
      <c r="AC327" s="13" t="str">
        <f t="shared" ref="AC327:AH327" si="364">AB327</f>
        <v>*</v>
      </c>
      <c r="AD327" s="13" t="str">
        <f t="shared" si="364"/>
        <v>*</v>
      </c>
      <c r="AE327" s="454" t="str">
        <f t="shared" si="364"/>
        <v>*</v>
      </c>
      <c r="AF327" s="454" t="str">
        <f t="shared" si="364"/>
        <v>*</v>
      </c>
      <c r="AG327" s="454" t="str">
        <f t="shared" si="364"/>
        <v>*</v>
      </c>
      <c r="AH327" s="454" t="str">
        <f t="shared" si="364"/>
        <v>*</v>
      </c>
    </row>
    <row r="328" spans="1:34" ht="12.75">
      <c r="A328" s="14" t="s">
        <v>3572</v>
      </c>
      <c r="B328" s="24" t="s">
        <v>2580</v>
      </c>
      <c r="C328" s="14" t="s">
        <v>2601</v>
      </c>
      <c r="D328" s="14" t="s">
        <v>2911</v>
      </c>
      <c r="E328" s="14" t="s">
        <v>3573</v>
      </c>
      <c r="F328" s="13">
        <v>70.23</v>
      </c>
      <c r="G328" s="14" t="s">
        <v>3195</v>
      </c>
      <c r="H328" s="13">
        <v>11110</v>
      </c>
      <c r="I328" s="14" t="s">
        <v>3578</v>
      </c>
      <c r="J328" s="14" t="s">
        <v>3579</v>
      </c>
      <c r="K328" s="478">
        <v>0.53</v>
      </c>
      <c r="L328" s="220">
        <v>34.979999999999997</v>
      </c>
      <c r="M328" s="473" t="s">
        <v>3580</v>
      </c>
      <c r="N328" s="473"/>
      <c r="O328" s="480" t="s">
        <v>3581</v>
      </c>
      <c r="P328" s="14" t="s">
        <v>3582</v>
      </c>
      <c r="Q328" s="14" t="s">
        <v>3583</v>
      </c>
      <c r="R328" s="14">
        <v>9</v>
      </c>
      <c r="S328" s="14">
        <f t="shared" si="210"/>
        <v>3.1481999999999997</v>
      </c>
      <c r="T328" s="487">
        <f t="shared" si="361"/>
        <v>101</v>
      </c>
      <c r="U328" s="14">
        <f t="shared" si="362"/>
        <v>8.9108910891089117</v>
      </c>
      <c r="V328" s="220">
        <f t="shared" si="353"/>
        <v>8.9108910891089117</v>
      </c>
      <c r="W328" s="14" t="s">
        <v>3584</v>
      </c>
      <c r="X328" s="220">
        <f t="shared" si="323"/>
        <v>4.7227722772277234</v>
      </c>
      <c r="Y328" s="220">
        <f t="shared" ref="Y328:AA328" si="365">X328</f>
        <v>4.7227722772277234</v>
      </c>
      <c r="Z328" s="220">
        <f t="shared" si="365"/>
        <v>4.7227722772277234</v>
      </c>
      <c r="AA328" s="792">
        <f t="shared" si="365"/>
        <v>4.7227722772277234</v>
      </c>
      <c r="AB328" s="18" t="s">
        <v>569</v>
      </c>
      <c r="AC328" s="13" t="s">
        <v>3399</v>
      </c>
      <c r="AD328" s="13" t="s">
        <v>3400</v>
      </c>
      <c r="AE328" s="12">
        <v>5.4980000000000003E-4</v>
      </c>
      <c r="AF328" s="12">
        <v>1.010611E-2</v>
      </c>
      <c r="AG328" s="12">
        <v>3.4146341463414633E-5</v>
      </c>
      <c r="AH328" s="12">
        <v>1.3442804878048784E-4</v>
      </c>
    </row>
    <row r="329" spans="1:34" ht="12.75">
      <c r="A329" s="14" t="s">
        <v>3572</v>
      </c>
      <c r="B329" s="24" t="s">
        <v>2580</v>
      </c>
      <c r="C329" s="14" t="s">
        <v>2601</v>
      </c>
      <c r="D329" s="14" t="s">
        <v>2911</v>
      </c>
      <c r="E329" s="14" t="s">
        <v>3573</v>
      </c>
      <c r="F329" s="13">
        <v>70.23</v>
      </c>
      <c r="G329" s="14" t="s">
        <v>3195</v>
      </c>
      <c r="H329" s="13">
        <v>11110</v>
      </c>
      <c r="I329" s="14" t="s">
        <v>3578</v>
      </c>
      <c r="J329" s="14" t="s">
        <v>3579</v>
      </c>
      <c r="K329" s="478">
        <v>0.53</v>
      </c>
      <c r="L329" s="220">
        <v>34.979999999999997</v>
      </c>
      <c r="M329" s="473" t="s">
        <v>3580</v>
      </c>
      <c r="N329" s="473"/>
      <c r="O329" s="480" t="s">
        <v>3581</v>
      </c>
      <c r="P329" s="14" t="s">
        <v>2584</v>
      </c>
      <c r="Q329" s="486" t="s">
        <v>3423</v>
      </c>
      <c r="R329" s="14">
        <v>4.5999999999999996</v>
      </c>
      <c r="S329" s="14">
        <f t="shared" si="210"/>
        <v>1.6090799999999998</v>
      </c>
      <c r="T329" s="487">
        <f t="shared" si="361"/>
        <v>101</v>
      </c>
      <c r="U329" s="14">
        <f t="shared" si="362"/>
        <v>4.5544554455445541</v>
      </c>
      <c r="V329" s="220">
        <f t="shared" si="353"/>
        <v>4.5544554455445541</v>
      </c>
      <c r="W329" s="14" t="s">
        <v>2584</v>
      </c>
      <c r="X329" s="220">
        <f t="shared" si="323"/>
        <v>2.4138613861386138</v>
      </c>
      <c r="Y329" s="499">
        <f t="shared" ref="Y329:AA329" si="366">X329</f>
        <v>2.4138613861386138</v>
      </c>
      <c r="Z329" s="220">
        <f t="shared" si="366"/>
        <v>2.4138613861386138</v>
      </c>
      <c r="AA329" s="792">
        <f t="shared" si="366"/>
        <v>2.4138613861386138</v>
      </c>
      <c r="AB329" s="18" t="s">
        <v>2584</v>
      </c>
      <c r="AC329" s="13" t="s">
        <v>3424</v>
      </c>
      <c r="AD329" s="13" t="s">
        <v>3425</v>
      </c>
      <c r="AE329" s="12">
        <v>4.7754773653722405E-4</v>
      </c>
      <c r="AF329" s="12">
        <v>9.9048845026103102E-3</v>
      </c>
      <c r="AG329" s="12">
        <v>1.1598405219282348E-5</v>
      </c>
      <c r="AH329" s="12">
        <v>9.908404494382022E-5</v>
      </c>
    </row>
    <row r="330" spans="1:34" ht="12.75">
      <c r="A330" s="14" t="s">
        <v>3572</v>
      </c>
      <c r="B330" s="24" t="s">
        <v>2580</v>
      </c>
      <c r="C330" s="14" t="s">
        <v>2601</v>
      </c>
      <c r="D330" s="14" t="s">
        <v>2911</v>
      </c>
      <c r="E330" s="14" t="s">
        <v>3573</v>
      </c>
      <c r="F330" s="13">
        <v>70.23</v>
      </c>
      <c r="G330" s="14" t="s">
        <v>3195</v>
      </c>
      <c r="H330" s="13">
        <v>11110</v>
      </c>
      <c r="I330" s="14" t="s">
        <v>3578</v>
      </c>
      <c r="J330" s="14" t="s">
        <v>3579</v>
      </c>
      <c r="K330" s="478">
        <v>0.53</v>
      </c>
      <c r="L330" s="220">
        <v>34.979999999999997</v>
      </c>
      <c r="M330" s="473" t="s">
        <v>3580</v>
      </c>
      <c r="N330" s="473"/>
      <c r="O330" s="480" t="s">
        <v>3581</v>
      </c>
      <c r="P330" s="489" t="s">
        <v>3585</v>
      </c>
      <c r="Q330" s="489" t="s">
        <v>3586</v>
      </c>
      <c r="R330" s="14">
        <f>12*0.875</f>
        <v>10.5</v>
      </c>
      <c r="S330" s="14">
        <f t="shared" si="210"/>
        <v>3.6728999999999994</v>
      </c>
      <c r="T330" s="487">
        <f t="shared" si="361"/>
        <v>101</v>
      </c>
      <c r="U330" s="14">
        <f t="shared" si="362"/>
        <v>10.396039603960396</v>
      </c>
      <c r="V330" s="220">
        <f t="shared" si="353"/>
        <v>10.396039603960396</v>
      </c>
      <c r="W330" s="14" t="s">
        <v>346</v>
      </c>
      <c r="X330" s="220">
        <f t="shared" si="323"/>
        <v>5.5099009900990108</v>
      </c>
      <c r="Y330" s="220">
        <f>SUM(X330,X336)</f>
        <v>5.7198019801980209</v>
      </c>
      <c r="Z330" s="220">
        <f t="shared" ref="Z330:AA330" si="367">Y330</f>
        <v>5.7198019801980209</v>
      </c>
      <c r="AA330" s="792">
        <f t="shared" si="367"/>
        <v>5.7198019801980209</v>
      </c>
      <c r="AB330" s="18" t="s">
        <v>346</v>
      </c>
      <c r="AC330" s="13" t="s">
        <v>2982</v>
      </c>
      <c r="AD330" s="13" t="s">
        <v>2983</v>
      </c>
      <c r="AE330" s="12">
        <v>2.9691872042618299E-2</v>
      </c>
      <c r="AF330" s="12">
        <v>7.5368545517799299E-2</v>
      </c>
      <c r="AG330" s="12">
        <v>2.9014018691588786E-4</v>
      </c>
      <c r="AH330" s="12">
        <v>1.4770983615231311E-3</v>
      </c>
    </row>
    <row r="331" spans="1:34" ht="12.75">
      <c r="A331" s="14" t="s">
        <v>3572</v>
      </c>
      <c r="B331" s="24" t="s">
        <v>2580</v>
      </c>
      <c r="C331" s="14" t="s">
        <v>2601</v>
      </c>
      <c r="D331" s="14" t="s">
        <v>2911</v>
      </c>
      <c r="E331" s="14" t="s">
        <v>3573</v>
      </c>
      <c r="F331" s="13">
        <v>70.23</v>
      </c>
      <c r="G331" s="14" t="s">
        <v>3195</v>
      </c>
      <c r="H331" s="13">
        <v>11110</v>
      </c>
      <c r="I331" s="14" t="s">
        <v>3578</v>
      </c>
      <c r="J331" s="14" t="s">
        <v>3579</v>
      </c>
      <c r="K331" s="478">
        <v>0.53</v>
      </c>
      <c r="L331" s="220">
        <v>34.979999999999997</v>
      </c>
      <c r="M331" s="473" t="s">
        <v>3580</v>
      </c>
      <c r="N331" s="473"/>
      <c r="O331" s="480" t="s">
        <v>3581</v>
      </c>
      <c r="P331" s="14" t="s">
        <v>3585</v>
      </c>
      <c r="Q331" s="14" t="s">
        <v>3586</v>
      </c>
      <c r="R331" s="482">
        <f>12*0.16</f>
        <v>1.92</v>
      </c>
      <c r="S331" s="482">
        <f t="shared" si="210"/>
        <v>0.67161599999999988</v>
      </c>
      <c r="T331" s="529">
        <v>100</v>
      </c>
      <c r="U331" s="482">
        <f t="shared" si="362"/>
        <v>1.92</v>
      </c>
      <c r="V331" s="481">
        <f t="shared" si="353"/>
        <v>1.92</v>
      </c>
      <c r="W331" s="482" t="s">
        <v>72</v>
      </c>
      <c r="X331" s="481">
        <f t="shared" si="323"/>
        <v>1.0176000000000001</v>
      </c>
      <c r="Y331" s="481">
        <f t="shared" ref="Y331:AA331" si="368">X331</f>
        <v>1.0176000000000001</v>
      </c>
      <c r="Z331" s="481">
        <f t="shared" si="368"/>
        <v>1.0176000000000001</v>
      </c>
      <c r="AA331" s="796">
        <f t="shared" si="368"/>
        <v>1.0176000000000001</v>
      </c>
      <c r="AB331" s="456" t="s">
        <v>72</v>
      </c>
      <c r="AC331" s="469" t="s">
        <v>2938</v>
      </c>
      <c r="AD331" s="469" t="s">
        <v>2940</v>
      </c>
      <c r="AE331" s="457">
        <v>0</v>
      </c>
      <c r="AF331" s="457">
        <v>0</v>
      </c>
      <c r="AG331" s="457">
        <v>0</v>
      </c>
      <c r="AH331" s="457">
        <v>0</v>
      </c>
    </row>
    <row r="332" spans="1:34" ht="12.75">
      <c r="A332" s="14" t="s">
        <v>3572</v>
      </c>
      <c r="B332" s="24" t="s">
        <v>2580</v>
      </c>
      <c r="C332" s="14" t="s">
        <v>2601</v>
      </c>
      <c r="D332" s="14" t="s">
        <v>2911</v>
      </c>
      <c r="E332" s="14" t="s">
        <v>3573</v>
      </c>
      <c r="F332" s="13">
        <v>70.23</v>
      </c>
      <c r="G332" s="14" t="s">
        <v>3195</v>
      </c>
      <c r="H332" s="13">
        <v>11110</v>
      </c>
      <c r="I332" s="14" t="s">
        <v>3578</v>
      </c>
      <c r="J332" s="14" t="s">
        <v>3579</v>
      </c>
      <c r="K332" s="478">
        <v>0.53</v>
      </c>
      <c r="L332" s="220">
        <v>34.979999999999997</v>
      </c>
      <c r="M332" s="473" t="s">
        <v>3580</v>
      </c>
      <c r="N332" s="473"/>
      <c r="O332" s="480" t="s">
        <v>3581</v>
      </c>
      <c r="P332" s="14" t="s">
        <v>3585</v>
      </c>
      <c r="Q332" s="14" t="s">
        <v>3586</v>
      </c>
      <c r="R332" s="14">
        <f>12*0.082</f>
        <v>0.98399999999999999</v>
      </c>
      <c r="S332" s="14">
        <f t="shared" si="210"/>
        <v>0.34420319999999999</v>
      </c>
      <c r="T332" s="487">
        <f t="shared" ref="T332:T337" si="369">SUM($R$327:$R$337)-$R$331</f>
        <v>101</v>
      </c>
      <c r="U332" s="14">
        <f t="shared" si="362"/>
        <v>0.97425742574257435</v>
      </c>
      <c r="V332" s="220">
        <f t="shared" si="353"/>
        <v>0.97425742574257435</v>
      </c>
      <c r="W332" s="14" t="s">
        <v>139</v>
      </c>
      <c r="X332" s="220">
        <f t="shared" si="323"/>
        <v>0.51635643564356448</v>
      </c>
      <c r="Y332" s="499">
        <f t="shared" ref="Y332:AA332" si="370">X332</f>
        <v>0.51635643564356448</v>
      </c>
      <c r="Z332" s="220">
        <f t="shared" si="370"/>
        <v>0.51635643564356448</v>
      </c>
      <c r="AA332" s="792">
        <f t="shared" si="370"/>
        <v>0.51635643564356448</v>
      </c>
      <c r="AB332" s="18" t="s">
        <v>139</v>
      </c>
      <c r="AC332" s="13" t="s">
        <v>138</v>
      </c>
      <c r="AD332" s="13" t="s">
        <v>3019</v>
      </c>
      <c r="AE332" s="12">
        <v>4.0165275294130297E-3</v>
      </c>
      <c r="AF332" s="12">
        <v>3.2725331200335404E-2</v>
      </c>
      <c r="AG332" s="12">
        <v>2.4399999999999999E-4</v>
      </c>
      <c r="AH332" s="12">
        <v>2.0392735E-3</v>
      </c>
    </row>
    <row r="333" spans="1:34" ht="12.75">
      <c r="A333" s="14" t="s">
        <v>3572</v>
      </c>
      <c r="B333" s="24" t="s">
        <v>2580</v>
      </c>
      <c r="C333" s="14" t="s">
        <v>2601</v>
      </c>
      <c r="D333" s="14" t="s">
        <v>2911</v>
      </c>
      <c r="E333" s="14" t="s">
        <v>3573</v>
      </c>
      <c r="F333" s="13">
        <v>70.23</v>
      </c>
      <c r="G333" s="14" t="s">
        <v>3195</v>
      </c>
      <c r="H333" s="13">
        <v>11110</v>
      </c>
      <c r="I333" s="14" t="s">
        <v>3578</v>
      </c>
      <c r="J333" s="14" t="s">
        <v>3579</v>
      </c>
      <c r="K333" s="478">
        <v>0.53</v>
      </c>
      <c r="L333" s="220">
        <v>34.979999999999997</v>
      </c>
      <c r="M333" s="473" t="s">
        <v>3580</v>
      </c>
      <c r="N333" s="473"/>
      <c r="O333" s="480" t="s">
        <v>3581</v>
      </c>
      <c r="P333" s="490" t="s">
        <v>3585</v>
      </c>
      <c r="Q333" s="490" t="s">
        <v>3586</v>
      </c>
      <c r="R333" s="14">
        <f>12*0.043</f>
        <v>0.51600000000000001</v>
      </c>
      <c r="S333" s="14">
        <f t="shared" si="210"/>
        <v>0.18049680000000001</v>
      </c>
      <c r="T333" s="487">
        <f t="shared" si="369"/>
        <v>101</v>
      </c>
      <c r="U333" s="14">
        <f t="shared" si="362"/>
        <v>0.5108910891089109</v>
      </c>
      <c r="V333" s="220">
        <f t="shared" si="353"/>
        <v>0.5108910891089109</v>
      </c>
      <c r="W333" s="14" t="s">
        <v>2518</v>
      </c>
      <c r="X333" s="220">
        <f t="shared" si="323"/>
        <v>0.27077227722772279</v>
      </c>
      <c r="Y333" s="499">
        <f t="shared" ref="Y333:AA333" si="371">X333</f>
        <v>0.27077227722772279</v>
      </c>
      <c r="Z333" s="220">
        <f t="shared" si="371"/>
        <v>0.27077227722772279</v>
      </c>
      <c r="AA333" s="792">
        <f t="shared" si="371"/>
        <v>0.27077227722772279</v>
      </c>
      <c r="AB333" s="809" t="s">
        <v>2594</v>
      </c>
      <c r="AC333" s="511" t="s">
        <v>3174</v>
      </c>
      <c r="AD333" s="511" t="s">
        <v>3174</v>
      </c>
      <c r="AE333" s="461">
        <v>2.2073766211046637E-2</v>
      </c>
      <c r="AF333" s="461">
        <v>8.7246004352723297E-2</v>
      </c>
      <c r="AG333" s="461">
        <v>5.8202330775582959E-4</v>
      </c>
      <c r="AH333" s="461">
        <v>2.670351142205461E-3</v>
      </c>
    </row>
    <row r="334" spans="1:34" ht="12.75">
      <c r="A334" s="14" t="s">
        <v>3572</v>
      </c>
      <c r="B334" s="24" t="s">
        <v>2580</v>
      </c>
      <c r="C334" s="14" t="s">
        <v>2601</v>
      </c>
      <c r="D334" s="14" t="s">
        <v>2911</v>
      </c>
      <c r="E334" s="14" t="s">
        <v>3573</v>
      </c>
      <c r="F334" s="13">
        <v>70.23</v>
      </c>
      <c r="G334" s="14" t="s">
        <v>3195</v>
      </c>
      <c r="H334" s="13">
        <v>11110</v>
      </c>
      <c r="I334" s="14" t="s">
        <v>3578</v>
      </c>
      <c r="J334" s="14" t="s">
        <v>3579</v>
      </c>
      <c r="K334" s="478">
        <v>0.53</v>
      </c>
      <c r="L334" s="220">
        <v>34.979999999999997</v>
      </c>
      <c r="M334" s="473" t="s">
        <v>3580</v>
      </c>
      <c r="N334" s="473"/>
      <c r="O334" s="480" t="s">
        <v>3581</v>
      </c>
      <c r="P334" s="14" t="s">
        <v>2945</v>
      </c>
      <c r="Q334" s="14" t="s">
        <v>2946</v>
      </c>
      <c r="R334" s="14">
        <v>9.5</v>
      </c>
      <c r="S334" s="14">
        <f t="shared" si="210"/>
        <v>3.3230999999999997</v>
      </c>
      <c r="T334" s="487">
        <f t="shared" si="369"/>
        <v>101</v>
      </c>
      <c r="U334" s="14">
        <f t="shared" si="362"/>
        <v>9.4059405940594054</v>
      </c>
      <c r="V334" s="220">
        <f t="shared" si="353"/>
        <v>9.4059405940594054</v>
      </c>
      <c r="W334" s="14" t="s">
        <v>433</v>
      </c>
      <c r="X334" s="220">
        <f t="shared" si="323"/>
        <v>4.9851485148514847</v>
      </c>
      <c r="Y334" s="220">
        <f t="shared" ref="Y334:AA334" si="372">X334</f>
        <v>4.9851485148514847</v>
      </c>
      <c r="Z334" s="220">
        <f t="shared" si="372"/>
        <v>4.9851485148514847</v>
      </c>
      <c r="AA334" s="792">
        <f t="shared" si="372"/>
        <v>4.9851485148514847</v>
      </c>
      <c r="AB334" s="18" t="s">
        <v>433</v>
      </c>
      <c r="AC334" s="13" t="s">
        <v>433</v>
      </c>
      <c r="AD334" s="13" t="s">
        <v>2947</v>
      </c>
      <c r="AE334" s="12">
        <v>3.0104466724907065E-4</v>
      </c>
      <c r="AF334" s="12">
        <v>1.2500000000000001E-2</v>
      </c>
      <c r="AG334" s="12">
        <v>5.1818181818181835E-4</v>
      </c>
      <c r="AH334" s="12">
        <v>4.0084080366977777E-4</v>
      </c>
    </row>
    <row r="335" spans="1:34" ht="12.75">
      <c r="A335" s="14" t="s">
        <v>3572</v>
      </c>
      <c r="B335" s="24" t="s">
        <v>2580</v>
      </c>
      <c r="C335" s="14" t="s">
        <v>2601</v>
      </c>
      <c r="D335" s="14" t="s">
        <v>2911</v>
      </c>
      <c r="E335" s="14" t="s">
        <v>3573</v>
      </c>
      <c r="F335" s="13">
        <v>70.23</v>
      </c>
      <c r="G335" s="14" t="s">
        <v>3195</v>
      </c>
      <c r="H335" s="13">
        <v>11110</v>
      </c>
      <c r="I335" s="14" t="s">
        <v>3578</v>
      </c>
      <c r="J335" s="14" t="s">
        <v>3579</v>
      </c>
      <c r="K335" s="478">
        <v>0.53</v>
      </c>
      <c r="L335" s="220">
        <v>34.979999999999997</v>
      </c>
      <c r="M335" s="473" t="s">
        <v>3580</v>
      </c>
      <c r="N335" s="473"/>
      <c r="O335" s="480" t="s">
        <v>3581</v>
      </c>
      <c r="P335" s="14" t="s">
        <v>83</v>
      </c>
      <c r="Q335" s="527" t="s">
        <v>3430</v>
      </c>
      <c r="R335" s="14">
        <v>0.4</v>
      </c>
      <c r="S335" s="14">
        <f t="shared" si="210"/>
        <v>0.13991999999999999</v>
      </c>
      <c r="T335" s="487">
        <f t="shared" si="369"/>
        <v>101</v>
      </c>
      <c r="U335" s="14">
        <f t="shared" si="362"/>
        <v>0.39603960396039606</v>
      </c>
      <c r="V335" s="220">
        <f t="shared" si="353"/>
        <v>0.39603960396039606</v>
      </c>
      <c r="W335" s="14" t="s">
        <v>83</v>
      </c>
      <c r="X335" s="220">
        <f t="shared" si="323"/>
        <v>0.20990099009900992</v>
      </c>
      <c r="Y335" s="499">
        <f t="shared" ref="Y335:AA335" si="373">X335</f>
        <v>0.20990099009900992</v>
      </c>
      <c r="Z335" s="220">
        <f t="shared" si="373"/>
        <v>0.20990099009900992</v>
      </c>
      <c r="AA335" s="792">
        <f t="shared" si="373"/>
        <v>0.20990099009900992</v>
      </c>
      <c r="AB335" s="18" t="s">
        <v>83</v>
      </c>
      <c r="AC335" s="14" t="s">
        <v>83</v>
      </c>
      <c r="AD335" s="14" t="s">
        <v>2951</v>
      </c>
      <c r="AE335" s="12">
        <v>0</v>
      </c>
      <c r="AF335" s="12">
        <v>0</v>
      </c>
      <c r="AG335" s="12">
        <v>0</v>
      </c>
      <c r="AH335" s="12">
        <v>0</v>
      </c>
    </row>
    <row r="336" spans="1:34" ht="12.75">
      <c r="A336" s="14" t="s">
        <v>3572</v>
      </c>
      <c r="B336" s="24" t="s">
        <v>2580</v>
      </c>
      <c r="C336" s="14" t="s">
        <v>2601</v>
      </c>
      <c r="D336" s="14" t="s">
        <v>2911</v>
      </c>
      <c r="E336" s="14" t="s">
        <v>3573</v>
      </c>
      <c r="F336" s="13">
        <v>70.23</v>
      </c>
      <c r="G336" s="14" t="s">
        <v>3195</v>
      </c>
      <c r="H336" s="13">
        <v>11110</v>
      </c>
      <c r="I336" s="14" t="s">
        <v>3578</v>
      </c>
      <c r="J336" s="14" t="s">
        <v>3579</v>
      </c>
      <c r="K336" s="478">
        <v>0.53</v>
      </c>
      <c r="L336" s="220">
        <v>34.979999999999997</v>
      </c>
      <c r="M336" s="473" t="s">
        <v>3580</v>
      </c>
      <c r="N336" s="473"/>
      <c r="O336" s="480" t="s">
        <v>3581</v>
      </c>
      <c r="P336" s="14" t="s">
        <v>3021</v>
      </c>
      <c r="Q336" s="486" t="s">
        <v>3022</v>
      </c>
      <c r="R336" s="14">
        <v>0.4</v>
      </c>
      <c r="S336" s="14">
        <f t="shared" si="210"/>
        <v>0.13991999999999999</v>
      </c>
      <c r="T336" s="487">
        <f t="shared" si="369"/>
        <v>101</v>
      </c>
      <c r="U336" s="14">
        <f t="shared" si="362"/>
        <v>0.39603960396039606</v>
      </c>
      <c r="V336" s="220">
        <f t="shared" si="353"/>
        <v>0.39603960396039606</v>
      </c>
      <c r="W336" s="14" t="s">
        <v>346</v>
      </c>
      <c r="X336" s="220">
        <f t="shared" si="323"/>
        <v>0.20990099009900992</v>
      </c>
      <c r="Y336" s="220" t="s">
        <v>1666</v>
      </c>
      <c r="Z336" s="220" t="s">
        <v>1666</v>
      </c>
      <c r="AA336" s="792" t="str">
        <f t="shared" ref="AA336:AH336" si="374">Z336</f>
        <v>*</v>
      </c>
      <c r="AB336" s="458" t="str">
        <f t="shared" si="374"/>
        <v>*</v>
      </c>
      <c r="AC336" s="497" t="str">
        <f t="shared" si="374"/>
        <v>*</v>
      </c>
      <c r="AD336" s="497" t="str">
        <f t="shared" si="374"/>
        <v>*</v>
      </c>
      <c r="AE336" s="454" t="str">
        <f t="shared" si="374"/>
        <v>*</v>
      </c>
      <c r="AF336" s="454" t="str">
        <f t="shared" si="374"/>
        <v>*</v>
      </c>
      <c r="AG336" s="454" t="str">
        <f t="shared" si="374"/>
        <v>*</v>
      </c>
      <c r="AH336" s="454" t="str">
        <f t="shared" si="374"/>
        <v>*</v>
      </c>
    </row>
    <row r="337" spans="1:34" ht="12.75">
      <c r="A337" s="617" t="s">
        <v>3572</v>
      </c>
      <c r="B337" s="794" t="s">
        <v>2580</v>
      </c>
      <c r="C337" s="617" t="s">
        <v>2601</v>
      </c>
      <c r="D337" s="617" t="s">
        <v>2911</v>
      </c>
      <c r="E337" s="617" t="s">
        <v>3573</v>
      </c>
      <c r="F337" s="799">
        <v>70.23</v>
      </c>
      <c r="G337" s="617" t="s">
        <v>3195</v>
      </c>
      <c r="H337" s="799">
        <v>11110</v>
      </c>
      <c r="I337" s="617" t="s">
        <v>3578</v>
      </c>
      <c r="J337" s="617" t="s">
        <v>3579</v>
      </c>
      <c r="K337" s="838">
        <v>0.53</v>
      </c>
      <c r="L337" s="725">
        <v>34.979999999999997</v>
      </c>
      <c r="M337" s="850" t="s">
        <v>3580</v>
      </c>
      <c r="N337" s="850"/>
      <c r="O337" s="842" t="s">
        <v>3581</v>
      </c>
      <c r="P337" s="849" t="s">
        <v>2977</v>
      </c>
      <c r="Q337" s="617" t="s">
        <v>2978</v>
      </c>
      <c r="R337" s="617">
        <v>0.1</v>
      </c>
      <c r="S337" s="617">
        <f t="shared" si="210"/>
        <v>3.4979999999999997E-2</v>
      </c>
      <c r="T337" s="875">
        <f t="shared" si="369"/>
        <v>101</v>
      </c>
      <c r="U337" s="617">
        <f t="shared" si="362"/>
        <v>9.9009900990099015E-2</v>
      </c>
      <c r="V337" s="725">
        <f t="shared" si="353"/>
        <v>9.9009900990099015E-2</v>
      </c>
      <c r="W337" s="617" t="s">
        <v>227</v>
      </c>
      <c r="X337" s="725">
        <f t="shared" si="323"/>
        <v>5.247524752475248E-2</v>
      </c>
      <c r="Y337" s="862">
        <f t="shared" ref="Y337:AA337" si="375">X337</f>
        <v>5.247524752475248E-2</v>
      </c>
      <c r="Z337" s="725">
        <f t="shared" si="375"/>
        <v>5.247524752475248E-2</v>
      </c>
      <c r="AA337" s="455">
        <f t="shared" si="375"/>
        <v>5.247524752475248E-2</v>
      </c>
      <c r="AB337" s="793" t="s">
        <v>227</v>
      </c>
      <c r="AC337" s="799" t="s">
        <v>55</v>
      </c>
      <c r="AD337" s="799" t="s">
        <v>2979</v>
      </c>
      <c r="AE337" s="635">
        <v>2.5055367220000002E-3</v>
      </c>
      <c r="AF337" s="635">
        <v>3.8459841414181101E-2</v>
      </c>
      <c r="AG337" s="635">
        <v>1.1035422343324251E-4</v>
      </c>
      <c r="AH337" s="635">
        <v>8.109653861711444E-4</v>
      </c>
    </row>
    <row r="338" spans="1:34" ht="12.75">
      <c r="A338" s="617" t="s">
        <v>3587</v>
      </c>
      <c r="B338" s="799" t="s">
        <v>2580</v>
      </c>
      <c r="C338" s="617" t="s">
        <v>2602</v>
      </c>
      <c r="D338" s="617" t="s">
        <v>2911</v>
      </c>
      <c r="E338" s="617" t="s">
        <v>3588</v>
      </c>
      <c r="F338" s="799">
        <v>78</v>
      </c>
      <c r="G338" s="617" t="s">
        <v>3195</v>
      </c>
      <c r="H338" s="799">
        <v>11101</v>
      </c>
      <c r="I338" s="617" t="s">
        <v>3588</v>
      </c>
      <c r="J338" s="617" t="s">
        <v>3589</v>
      </c>
      <c r="K338" s="838">
        <v>1</v>
      </c>
      <c r="L338" s="725">
        <v>78</v>
      </c>
      <c r="M338" s="850" t="s">
        <v>3590</v>
      </c>
      <c r="N338" s="850"/>
      <c r="O338" s="842"/>
      <c r="P338" s="617" t="s">
        <v>3588</v>
      </c>
      <c r="Q338" s="617" t="s">
        <v>3591</v>
      </c>
      <c r="R338" s="617">
        <v>100</v>
      </c>
      <c r="S338" s="617">
        <f t="shared" si="210"/>
        <v>78</v>
      </c>
      <c r="T338" s="725">
        <f t="shared" ref="T338:T341" si="376">R338</f>
        <v>100</v>
      </c>
      <c r="U338" s="617">
        <f t="shared" ref="U338:U341" si="377">R338</f>
        <v>100</v>
      </c>
      <c r="V338" s="725">
        <f t="shared" si="353"/>
        <v>100</v>
      </c>
      <c r="W338" s="617" t="s">
        <v>3592</v>
      </c>
      <c r="X338" s="725">
        <f t="shared" si="323"/>
        <v>100</v>
      </c>
      <c r="Y338" s="725">
        <f t="shared" ref="Y338:AA338" si="378">X338</f>
        <v>100</v>
      </c>
      <c r="Z338" s="725">
        <f t="shared" si="378"/>
        <v>100</v>
      </c>
      <c r="AA338" s="455">
        <f t="shared" si="378"/>
        <v>100</v>
      </c>
      <c r="AB338" s="793" t="s">
        <v>447</v>
      </c>
      <c r="AC338" s="799" t="s">
        <v>3593</v>
      </c>
      <c r="AD338" s="799" t="s">
        <v>3594</v>
      </c>
      <c r="AE338" s="635">
        <v>8.1081081081081077E-4</v>
      </c>
      <c r="AF338" s="635">
        <v>2.8510934410257097E-2</v>
      </c>
      <c r="AG338" s="635">
        <v>2.8378378378378378E-5</v>
      </c>
      <c r="AH338" s="635">
        <v>3.5750594594594591E-4</v>
      </c>
    </row>
    <row r="339" spans="1:34" ht="12.75">
      <c r="A339" s="617" t="s">
        <v>3595</v>
      </c>
      <c r="B339" s="799" t="s">
        <v>2580</v>
      </c>
      <c r="C339" s="617" t="s">
        <v>2603</v>
      </c>
      <c r="D339" s="617" t="s">
        <v>2911</v>
      </c>
      <c r="E339" s="617" t="s">
        <v>3582</v>
      </c>
      <c r="F339" s="799">
        <v>36</v>
      </c>
      <c r="G339" s="617" t="s">
        <v>3596</v>
      </c>
      <c r="H339" s="799">
        <v>11124</v>
      </c>
      <c r="I339" s="617" t="s">
        <v>3582</v>
      </c>
      <c r="J339" s="617" t="s">
        <v>3597</v>
      </c>
      <c r="K339" s="838">
        <v>1</v>
      </c>
      <c r="L339" s="725">
        <v>36</v>
      </c>
      <c r="M339" s="850" t="s">
        <v>3598</v>
      </c>
      <c r="N339" s="850"/>
      <c r="O339" s="842"/>
      <c r="P339" s="617" t="s">
        <v>3582</v>
      </c>
      <c r="Q339" s="617" t="s">
        <v>3583</v>
      </c>
      <c r="R339" s="617">
        <v>100</v>
      </c>
      <c r="S339" s="617">
        <f t="shared" si="210"/>
        <v>36</v>
      </c>
      <c r="T339" s="725">
        <f t="shared" si="376"/>
        <v>100</v>
      </c>
      <c r="U339" s="617">
        <f t="shared" si="377"/>
        <v>100</v>
      </c>
      <c r="V339" s="725">
        <f t="shared" si="353"/>
        <v>100</v>
      </c>
      <c r="W339" s="617" t="s">
        <v>3584</v>
      </c>
      <c r="X339" s="725">
        <f t="shared" si="323"/>
        <v>100</v>
      </c>
      <c r="Y339" s="725">
        <f t="shared" ref="Y339:AA339" si="379">X339</f>
        <v>100</v>
      </c>
      <c r="Z339" s="725">
        <f t="shared" si="379"/>
        <v>100</v>
      </c>
      <c r="AA339" s="455">
        <f t="shared" si="379"/>
        <v>100</v>
      </c>
      <c r="AB339" s="793" t="s">
        <v>2604</v>
      </c>
      <c r="AC339" s="799" t="s">
        <v>3599</v>
      </c>
      <c r="AD339" s="799" t="s">
        <v>3600</v>
      </c>
      <c r="AE339" s="635">
        <v>5.4980000000000003E-4</v>
      </c>
      <c r="AF339" s="635">
        <v>1.010611E-2</v>
      </c>
      <c r="AG339" s="635">
        <v>3.4146341463414633E-5</v>
      </c>
      <c r="AH339" s="635">
        <v>1.3442804878048784E-4</v>
      </c>
    </row>
    <row r="340" spans="1:34" ht="12.75">
      <c r="A340" s="617" t="s">
        <v>3601</v>
      </c>
      <c r="B340" s="799" t="s">
        <v>2580</v>
      </c>
      <c r="C340" s="617" t="s">
        <v>2605</v>
      </c>
      <c r="D340" s="617" t="s">
        <v>2911</v>
      </c>
      <c r="E340" s="617" t="s">
        <v>3602</v>
      </c>
      <c r="F340" s="799">
        <v>78</v>
      </c>
      <c r="G340" s="617" t="s">
        <v>3195</v>
      </c>
      <c r="H340" s="799">
        <v>11125</v>
      </c>
      <c r="I340" s="617" t="s">
        <v>3602</v>
      </c>
      <c r="J340" s="617" t="s">
        <v>3603</v>
      </c>
      <c r="K340" s="838">
        <v>1</v>
      </c>
      <c r="L340" s="725">
        <v>78</v>
      </c>
      <c r="M340" s="850" t="s">
        <v>3604</v>
      </c>
      <c r="N340" s="850"/>
      <c r="O340" s="842"/>
      <c r="P340" s="617" t="s">
        <v>3602</v>
      </c>
      <c r="Q340" s="617" t="s">
        <v>3605</v>
      </c>
      <c r="R340" s="617">
        <v>100</v>
      </c>
      <c r="S340" s="617">
        <f t="shared" si="210"/>
        <v>78</v>
      </c>
      <c r="T340" s="725">
        <f t="shared" si="376"/>
        <v>100</v>
      </c>
      <c r="U340" s="617">
        <f t="shared" si="377"/>
        <v>100</v>
      </c>
      <c r="V340" s="725">
        <f t="shared" si="353"/>
        <v>100</v>
      </c>
      <c r="W340" s="617" t="s">
        <v>2606</v>
      </c>
      <c r="X340" s="725">
        <f t="shared" si="323"/>
        <v>100</v>
      </c>
      <c r="Y340" s="725">
        <f t="shared" ref="Y340:AA340" si="380">X340</f>
        <v>100</v>
      </c>
      <c r="Z340" s="725">
        <f t="shared" si="380"/>
        <v>100</v>
      </c>
      <c r="AA340" s="455">
        <f t="shared" si="380"/>
        <v>100</v>
      </c>
      <c r="AB340" s="793" t="s">
        <v>2606</v>
      </c>
      <c r="AC340" s="799" t="s">
        <v>3606</v>
      </c>
      <c r="AD340" s="799" t="s">
        <v>3607</v>
      </c>
      <c r="AE340" s="635">
        <v>4.6934146341463416E-4</v>
      </c>
      <c r="AF340" s="635">
        <v>8.6271670731707314E-3</v>
      </c>
      <c r="AG340" s="635">
        <v>2.9149315883402736E-5</v>
      </c>
      <c r="AH340" s="635">
        <v>1.1475565139797742E-4</v>
      </c>
    </row>
    <row r="341" spans="1:34" ht="12.75">
      <c r="A341" s="617" t="s">
        <v>3608</v>
      </c>
      <c r="B341" s="799" t="s">
        <v>2580</v>
      </c>
      <c r="C341" s="617" t="s">
        <v>2607</v>
      </c>
      <c r="D341" s="617" t="s">
        <v>2911</v>
      </c>
      <c r="E341" s="617" t="s">
        <v>55</v>
      </c>
      <c r="F341" s="799">
        <v>82</v>
      </c>
      <c r="G341" s="617" t="s">
        <v>3195</v>
      </c>
      <c r="H341" s="799">
        <v>11179</v>
      </c>
      <c r="I341" s="617" t="s">
        <v>55</v>
      </c>
      <c r="J341" s="617" t="s">
        <v>3609</v>
      </c>
      <c r="K341" s="838">
        <v>1</v>
      </c>
      <c r="L341" s="725">
        <v>82</v>
      </c>
      <c r="M341" s="850" t="s">
        <v>3610</v>
      </c>
      <c r="N341" s="850"/>
      <c r="O341" s="842"/>
      <c r="P341" s="617" t="s">
        <v>55</v>
      </c>
      <c r="Q341" s="617" t="s">
        <v>3611</v>
      </c>
      <c r="R341" s="617">
        <v>100</v>
      </c>
      <c r="S341" s="617">
        <f t="shared" si="210"/>
        <v>82</v>
      </c>
      <c r="T341" s="725">
        <f t="shared" si="376"/>
        <v>100</v>
      </c>
      <c r="U341" s="617">
        <f t="shared" si="377"/>
        <v>100</v>
      </c>
      <c r="V341" s="725">
        <f t="shared" si="353"/>
        <v>100</v>
      </c>
      <c r="W341" s="617" t="s">
        <v>55</v>
      </c>
      <c r="X341" s="725">
        <f t="shared" si="323"/>
        <v>100</v>
      </c>
      <c r="Y341" s="725">
        <f t="shared" ref="Y341:AA341" si="381">X341</f>
        <v>100</v>
      </c>
      <c r="Z341" s="725">
        <f t="shared" si="381"/>
        <v>100</v>
      </c>
      <c r="AA341" s="455">
        <f t="shared" si="381"/>
        <v>100</v>
      </c>
      <c r="AB341" s="793" t="s">
        <v>2608</v>
      </c>
      <c r="AC341" s="799" t="s">
        <v>55</v>
      </c>
      <c r="AD341" s="799" t="s">
        <v>2979</v>
      </c>
      <c r="AE341" s="635">
        <v>1.8058607109686532E-2</v>
      </c>
      <c r="AF341" s="635">
        <v>0.29545309682941479</v>
      </c>
      <c r="AG341" s="635">
        <v>1.0435042177806379E-2</v>
      </c>
      <c r="AH341" s="635">
        <v>4.7661389143876732E-5</v>
      </c>
    </row>
    <row r="342" spans="1:34" ht="12.75">
      <c r="A342" s="14" t="s">
        <v>3612</v>
      </c>
      <c r="B342" s="24" t="s">
        <v>2580</v>
      </c>
      <c r="C342" s="14" t="s">
        <v>2609</v>
      </c>
      <c r="D342" s="14" t="s">
        <v>2911</v>
      </c>
      <c r="E342" s="14" t="s">
        <v>3613</v>
      </c>
      <c r="F342" s="13">
        <v>91</v>
      </c>
      <c r="G342" s="14" t="s">
        <v>3195</v>
      </c>
      <c r="H342" s="13">
        <v>11584</v>
      </c>
      <c r="I342" s="14" t="s">
        <v>3613</v>
      </c>
      <c r="J342" s="14" t="s">
        <v>3614</v>
      </c>
      <c r="K342" s="478">
        <v>1</v>
      </c>
      <c r="L342" s="220">
        <v>91</v>
      </c>
      <c r="M342" s="473" t="s">
        <v>3615</v>
      </c>
      <c r="N342" s="473"/>
      <c r="O342" s="480"/>
      <c r="P342" s="14" t="s">
        <v>3602</v>
      </c>
      <c r="Q342" s="10" t="s">
        <v>3605</v>
      </c>
      <c r="R342" s="14">
        <v>19</v>
      </c>
      <c r="S342" s="14">
        <f t="shared" si="210"/>
        <v>17.29</v>
      </c>
      <c r="T342" s="220">
        <f>SUM(R342:R347)</f>
        <v>96</v>
      </c>
      <c r="U342" s="14">
        <f t="shared" ref="U342:U347" si="382">R342*100/T342</f>
        <v>19.791666666666668</v>
      </c>
      <c r="V342" s="220">
        <f t="shared" si="353"/>
        <v>19.791666666666668</v>
      </c>
      <c r="W342" s="14" t="s">
        <v>2606</v>
      </c>
      <c r="X342" s="220">
        <f t="shared" si="323"/>
        <v>19.791666666666668</v>
      </c>
      <c r="Y342" s="220">
        <f t="shared" ref="Y342:AA342" si="383">X342</f>
        <v>19.791666666666668</v>
      </c>
      <c r="Z342" s="220">
        <f t="shared" si="383"/>
        <v>19.791666666666668</v>
      </c>
      <c r="AA342" s="792">
        <f t="shared" si="383"/>
        <v>19.791666666666668</v>
      </c>
      <c r="AB342" s="18" t="s">
        <v>2606</v>
      </c>
      <c r="AC342" s="13" t="s">
        <v>3606</v>
      </c>
      <c r="AD342" s="13" t="s">
        <v>3607</v>
      </c>
      <c r="AE342" s="12">
        <v>4.6934146341463416E-4</v>
      </c>
      <c r="AF342" s="12">
        <v>8.6271670731707314E-3</v>
      </c>
      <c r="AG342" s="12">
        <v>2.9149315883402736E-5</v>
      </c>
      <c r="AH342" s="12">
        <v>1.1475565139797742E-4</v>
      </c>
    </row>
    <row r="343" spans="1:34" ht="12.75">
      <c r="A343" s="14" t="s">
        <v>3612</v>
      </c>
      <c r="B343" s="24" t="s">
        <v>2580</v>
      </c>
      <c r="C343" s="14" t="s">
        <v>2609</v>
      </c>
      <c r="D343" s="14" t="s">
        <v>2911</v>
      </c>
      <c r="E343" s="14" t="s">
        <v>3613</v>
      </c>
      <c r="F343" s="13">
        <v>91</v>
      </c>
      <c r="G343" s="14" t="s">
        <v>3195</v>
      </c>
      <c r="H343" s="13">
        <v>11584</v>
      </c>
      <c r="I343" s="14" t="s">
        <v>3613</v>
      </c>
      <c r="J343" s="14" t="s">
        <v>3614</v>
      </c>
      <c r="K343" s="478">
        <v>1</v>
      </c>
      <c r="L343" s="220">
        <v>91</v>
      </c>
      <c r="M343" s="473" t="s">
        <v>3615</v>
      </c>
      <c r="N343" s="473"/>
      <c r="O343" s="480"/>
      <c r="P343" s="14" t="s">
        <v>299</v>
      </c>
      <c r="Q343" s="10" t="s">
        <v>3552</v>
      </c>
      <c r="R343" s="14">
        <v>19</v>
      </c>
      <c r="S343" s="14">
        <f t="shared" si="210"/>
        <v>17.29</v>
      </c>
      <c r="T343" s="220">
        <f>SUM(R342:R347)</f>
        <v>96</v>
      </c>
      <c r="U343" s="14">
        <f t="shared" si="382"/>
        <v>19.791666666666668</v>
      </c>
      <c r="V343" s="220">
        <f t="shared" si="353"/>
        <v>19.791666666666668</v>
      </c>
      <c r="W343" s="14" t="s">
        <v>299</v>
      </c>
      <c r="X343" s="220">
        <f t="shared" si="323"/>
        <v>19.791666666666668</v>
      </c>
      <c r="Y343" s="220">
        <f t="shared" ref="Y343:AA343" si="384">X343</f>
        <v>19.791666666666668</v>
      </c>
      <c r="Z343" s="220">
        <f t="shared" si="384"/>
        <v>19.791666666666668</v>
      </c>
      <c r="AA343" s="792">
        <f t="shared" si="384"/>
        <v>19.791666666666668</v>
      </c>
      <c r="AB343" s="18" t="s">
        <v>299</v>
      </c>
      <c r="AC343" s="13" t="s">
        <v>299</v>
      </c>
      <c r="AD343" s="13" t="s">
        <v>3553</v>
      </c>
      <c r="AE343" s="12">
        <v>3.3715510380578286E-3</v>
      </c>
      <c r="AF343" s="12">
        <v>1.5399705979103718E-2</v>
      </c>
      <c r="AG343" s="12">
        <v>1.8383838383838382E-4</v>
      </c>
      <c r="AH343" s="12">
        <v>8.3632217061965959E-4</v>
      </c>
    </row>
    <row r="344" spans="1:34" ht="12.75">
      <c r="A344" s="14" t="s">
        <v>3612</v>
      </c>
      <c r="B344" s="24" t="s">
        <v>2580</v>
      </c>
      <c r="C344" s="14" t="s">
        <v>2609</v>
      </c>
      <c r="D344" s="14" t="s">
        <v>2911</v>
      </c>
      <c r="E344" s="14" t="s">
        <v>3613</v>
      </c>
      <c r="F344" s="13">
        <v>91</v>
      </c>
      <c r="G344" s="14" t="s">
        <v>3195</v>
      </c>
      <c r="H344" s="13">
        <v>11584</v>
      </c>
      <c r="I344" s="14" t="s">
        <v>3613</v>
      </c>
      <c r="J344" s="14" t="s">
        <v>3614</v>
      </c>
      <c r="K344" s="478">
        <v>1</v>
      </c>
      <c r="L344" s="220">
        <v>91</v>
      </c>
      <c r="M344" s="473" t="s">
        <v>3615</v>
      </c>
      <c r="N344" s="473"/>
      <c r="O344" s="480"/>
      <c r="P344" s="14" t="s">
        <v>55</v>
      </c>
      <c r="Q344" s="14" t="s">
        <v>3611</v>
      </c>
      <c r="R344" s="14">
        <v>19</v>
      </c>
      <c r="S344" s="14">
        <f t="shared" si="210"/>
        <v>17.29</v>
      </c>
      <c r="T344" s="220">
        <f>SUM(R342:R347)</f>
        <v>96</v>
      </c>
      <c r="U344" s="14">
        <f t="shared" si="382"/>
        <v>19.791666666666668</v>
      </c>
      <c r="V344" s="220">
        <f t="shared" si="353"/>
        <v>19.791666666666668</v>
      </c>
      <c r="W344" s="14" t="s">
        <v>55</v>
      </c>
      <c r="X344" s="220">
        <f t="shared" si="323"/>
        <v>19.791666666666668</v>
      </c>
      <c r="Y344" s="220">
        <f t="shared" ref="Y344:AA344" si="385">X344</f>
        <v>19.791666666666668</v>
      </c>
      <c r="Z344" s="220">
        <f t="shared" si="385"/>
        <v>19.791666666666668</v>
      </c>
      <c r="AA344" s="792">
        <f t="shared" si="385"/>
        <v>19.791666666666668</v>
      </c>
      <c r="AB344" s="18" t="s">
        <v>2608</v>
      </c>
      <c r="AC344" s="13" t="s">
        <v>55</v>
      </c>
      <c r="AD344" s="13" t="s">
        <v>2979</v>
      </c>
      <c r="AE344" s="12">
        <v>1.8058607109686532E-2</v>
      </c>
      <c r="AF344" s="12">
        <v>0.29545309682941479</v>
      </c>
      <c r="AG344" s="12">
        <v>1.0435042177806379E-2</v>
      </c>
      <c r="AH344" s="12">
        <v>4.7661389143876732E-5</v>
      </c>
    </row>
    <row r="345" spans="1:34" ht="12.75">
      <c r="A345" s="14" t="s">
        <v>3612</v>
      </c>
      <c r="B345" s="24" t="s">
        <v>2580</v>
      </c>
      <c r="C345" s="14" t="s">
        <v>2609</v>
      </c>
      <c r="D345" s="14" t="s">
        <v>2911</v>
      </c>
      <c r="E345" s="14" t="s">
        <v>3613</v>
      </c>
      <c r="F345" s="13">
        <v>91</v>
      </c>
      <c r="G345" s="14" t="s">
        <v>3195</v>
      </c>
      <c r="H345" s="13">
        <v>11584</v>
      </c>
      <c r="I345" s="14" t="s">
        <v>3613</v>
      </c>
      <c r="J345" s="14" t="s">
        <v>3614</v>
      </c>
      <c r="K345" s="478">
        <v>1</v>
      </c>
      <c r="L345" s="220">
        <v>91</v>
      </c>
      <c r="M345" s="473" t="s">
        <v>3615</v>
      </c>
      <c r="N345" s="473"/>
      <c r="O345" s="480"/>
      <c r="P345" s="14" t="s">
        <v>3449</v>
      </c>
      <c r="Q345" s="10" t="s">
        <v>3452</v>
      </c>
      <c r="R345" s="14">
        <v>19</v>
      </c>
      <c r="S345" s="14">
        <f t="shared" si="210"/>
        <v>17.29</v>
      </c>
      <c r="T345" s="220">
        <f>SUM(R342:R347)</f>
        <v>96</v>
      </c>
      <c r="U345" s="14">
        <f t="shared" si="382"/>
        <v>19.791666666666668</v>
      </c>
      <c r="V345" s="220">
        <f t="shared" si="353"/>
        <v>19.791666666666668</v>
      </c>
      <c r="W345" s="14" t="s">
        <v>2589</v>
      </c>
      <c r="X345" s="220">
        <f t="shared" si="323"/>
        <v>19.791666666666668</v>
      </c>
      <c r="Y345" s="220">
        <f t="shared" ref="Y345:AA345" si="386">X345</f>
        <v>19.791666666666668</v>
      </c>
      <c r="Z345" s="220">
        <f t="shared" si="386"/>
        <v>19.791666666666668</v>
      </c>
      <c r="AA345" s="792">
        <f t="shared" si="386"/>
        <v>19.791666666666668</v>
      </c>
      <c r="AB345" s="18" t="s">
        <v>2589</v>
      </c>
      <c r="AC345" s="13" t="s">
        <v>3453</v>
      </c>
      <c r="AD345" s="13" t="s">
        <v>3454</v>
      </c>
      <c r="AE345" s="12">
        <v>2.9479682138342099E-3</v>
      </c>
      <c r="AF345" s="12">
        <v>2.6157365601107697E-2</v>
      </c>
      <c r="AG345" s="12">
        <v>6.1363636363636362E-5</v>
      </c>
      <c r="AH345" s="12">
        <v>3.5908655328750923E-4</v>
      </c>
    </row>
    <row r="346" spans="1:34" ht="12.75">
      <c r="A346" s="14" t="s">
        <v>3612</v>
      </c>
      <c r="B346" s="24" t="s">
        <v>2580</v>
      </c>
      <c r="C346" s="14" t="s">
        <v>2609</v>
      </c>
      <c r="D346" s="14" t="s">
        <v>2911</v>
      </c>
      <c r="E346" s="14" t="s">
        <v>3613</v>
      </c>
      <c r="F346" s="13">
        <v>91</v>
      </c>
      <c r="G346" s="14" t="s">
        <v>3195</v>
      </c>
      <c r="H346" s="13">
        <v>11584</v>
      </c>
      <c r="I346" s="14" t="s">
        <v>3613</v>
      </c>
      <c r="J346" s="14" t="s">
        <v>3614</v>
      </c>
      <c r="K346" s="478">
        <v>1</v>
      </c>
      <c r="L346" s="220">
        <v>91</v>
      </c>
      <c r="M346" s="473" t="s">
        <v>3615</v>
      </c>
      <c r="N346" s="473"/>
      <c r="O346" s="480"/>
      <c r="P346" s="14" t="s">
        <v>3554</v>
      </c>
      <c r="Q346" s="10" t="s">
        <v>3557</v>
      </c>
      <c r="R346" s="14">
        <v>19</v>
      </c>
      <c r="S346" s="14">
        <f t="shared" si="210"/>
        <v>17.29</v>
      </c>
      <c r="T346" s="220">
        <f>SUM(R342:R347)</f>
        <v>96</v>
      </c>
      <c r="U346" s="14">
        <f t="shared" si="382"/>
        <v>19.791666666666668</v>
      </c>
      <c r="V346" s="220">
        <f t="shared" si="353"/>
        <v>19.791666666666668</v>
      </c>
      <c r="W346" s="14" t="s">
        <v>294</v>
      </c>
      <c r="X346" s="220">
        <f t="shared" si="323"/>
        <v>19.791666666666668</v>
      </c>
      <c r="Y346" s="220">
        <f t="shared" ref="Y346:AA346" si="387">X346</f>
        <v>19.791666666666668</v>
      </c>
      <c r="Z346" s="220">
        <f t="shared" si="387"/>
        <v>19.791666666666668</v>
      </c>
      <c r="AA346" s="792">
        <f t="shared" si="387"/>
        <v>19.791666666666668</v>
      </c>
      <c r="AB346" s="18" t="s">
        <v>293</v>
      </c>
      <c r="AC346" s="13" t="s">
        <v>3459</v>
      </c>
      <c r="AD346" s="13" t="s">
        <v>3460</v>
      </c>
      <c r="AE346" s="12">
        <v>6.7171636864411322E-3</v>
      </c>
      <c r="AF346" s="12">
        <v>8.9019074055687111E-2</v>
      </c>
      <c r="AG346" s="12">
        <v>2.2314159292035395E-4</v>
      </c>
      <c r="AH346" s="12">
        <v>6.959199386544721E-4</v>
      </c>
    </row>
    <row r="347" spans="1:34" ht="12.75">
      <c r="A347" s="617" t="s">
        <v>3612</v>
      </c>
      <c r="B347" s="794" t="s">
        <v>2580</v>
      </c>
      <c r="C347" s="617" t="s">
        <v>2609</v>
      </c>
      <c r="D347" s="617" t="s">
        <v>2911</v>
      </c>
      <c r="E347" s="617" t="s">
        <v>3613</v>
      </c>
      <c r="F347" s="799">
        <v>91</v>
      </c>
      <c r="G347" s="617" t="s">
        <v>3195</v>
      </c>
      <c r="H347" s="799">
        <v>11584</v>
      </c>
      <c r="I347" s="617" t="s">
        <v>3613</v>
      </c>
      <c r="J347" s="617" t="s">
        <v>3614</v>
      </c>
      <c r="K347" s="838">
        <v>1</v>
      </c>
      <c r="L347" s="725">
        <v>91</v>
      </c>
      <c r="M347" s="850" t="s">
        <v>3615</v>
      </c>
      <c r="N347" s="850"/>
      <c r="O347" s="842"/>
      <c r="P347" s="617" t="s">
        <v>83</v>
      </c>
      <c r="Q347" s="876" t="s">
        <v>3430</v>
      </c>
      <c r="R347" s="617">
        <v>1</v>
      </c>
      <c r="S347" s="617">
        <f t="shared" si="210"/>
        <v>0.91</v>
      </c>
      <c r="T347" s="851">
        <f>SUM(R342:R347)</f>
        <v>96</v>
      </c>
      <c r="U347" s="617">
        <f t="shared" si="382"/>
        <v>1.0416666666666667</v>
      </c>
      <c r="V347" s="725">
        <f t="shared" si="353"/>
        <v>1.0416666666666667</v>
      </c>
      <c r="W347" s="617" t="s">
        <v>83</v>
      </c>
      <c r="X347" s="725">
        <f t="shared" si="323"/>
        <v>1.0416666666666667</v>
      </c>
      <c r="Y347" s="862">
        <f t="shared" ref="Y347:AA347" si="388">X347</f>
        <v>1.0416666666666667</v>
      </c>
      <c r="Z347" s="725">
        <f t="shared" si="388"/>
        <v>1.0416666666666667</v>
      </c>
      <c r="AA347" s="455">
        <f t="shared" si="388"/>
        <v>1.0416666666666667</v>
      </c>
      <c r="AB347" s="793" t="s">
        <v>83</v>
      </c>
      <c r="AC347" s="799" t="s">
        <v>83</v>
      </c>
      <c r="AD347" s="799" t="s">
        <v>2951</v>
      </c>
      <c r="AE347" s="635">
        <v>0</v>
      </c>
      <c r="AF347" s="635">
        <v>0</v>
      </c>
      <c r="AG347" s="635">
        <v>0</v>
      </c>
      <c r="AH347" s="635">
        <v>0</v>
      </c>
    </row>
    <row r="348" spans="1:34" ht="12.75">
      <c r="A348" s="14" t="s">
        <v>3616</v>
      </c>
      <c r="B348" s="13" t="s">
        <v>2580</v>
      </c>
      <c r="C348" s="14" t="s">
        <v>2610</v>
      </c>
      <c r="D348" s="14" t="s">
        <v>2911</v>
      </c>
      <c r="E348" s="14" t="s">
        <v>3617</v>
      </c>
      <c r="F348" s="13">
        <v>110.32</v>
      </c>
      <c r="G348" s="14" t="s">
        <v>3618</v>
      </c>
      <c r="H348" s="13">
        <v>11508</v>
      </c>
      <c r="I348" s="848" t="s">
        <v>3617</v>
      </c>
      <c r="J348" s="135" t="s">
        <v>3619</v>
      </c>
      <c r="K348" s="475">
        <v>0.77</v>
      </c>
      <c r="L348" s="476">
        <v>87.78</v>
      </c>
      <c r="M348" s="492" t="s">
        <v>3620</v>
      </c>
      <c r="N348" s="492"/>
      <c r="O348" s="494"/>
      <c r="P348" s="848" t="s">
        <v>3617</v>
      </c>
      <c r="Q348" s="135" t="s">
        <v>3621</v>
      </c>
      <c r="R348" s="135">
        <v>100</v>
      </c>
      <c r="S348" s="135">
        <f t="shared" si="210"/>
        <v>87.78</v>
      </c>
      <c r="T348" s="476">
        <f>R348</f>
        <v>100</v>
      </c>
      <c r="U348" s="135">
        <f t="shared" ref="U348:U365" si="389">R348</f>
        <v>100</v>
      </c>
      <c r="V348" s="476">
        <f t="shared" si="353"/>
        <v>100</v>
      </c>
      <c r="W348" s="135" t="s">
        <v>3619</v>
      </c>
      <c r="X348" s="220">
        <f t="shared" si="323"/>
        <v>77</v>
      </c>
      <c r="Y348" s="220">
        <f>SUM(X348,X349)</f>
        <v>100</v>
      </c>
      <c r="Z348" s="220">
        <f>Y348</f>
        <v>100</v>
      </c>
      <c r="AA348" s="792">
        <f>SUM(X348:X349)</f>
        <v>100</v>
      </c>
      <c r="AB348" s="18" t="s">
        <v>2611</v>
      </c>
      <c r="AC348" s="13" t="s">
        <v>3622</v>
      </c>
      <c r="AD348" s="13" t="s">
        <v>3623</v>
      </c>
      <c r="AE348" s="12">
        <v>2.3903313565692558E-3</v>
      </c>
      <c r="AF348" s="12">
        <v>1.6108439629147951E-2</v>
      </c>
      <c r="AG348" s="12">
        <v>5.4732558139534892E-6</v>
      </c>
      <c r="AH348" s="12">
        <v>4.5852507083720935E-4</v>
      </c>
    </row>
    <row r="349" spans="1:34" ht="12.75">
      <c r="A349" s="617" t="s">
        <v>3616</v>
      </c>
      <c r="B349" s="799" t="s">
        <v>2580</v>
      </c>
      <c r="C349" s="617" t="s">
        <v>2610</v>
      </c>
      <c r="D349" s="617" t="s">
        <v>2911</v>
      </c>
      <c r="E349" s="617" t="s">
        <v>3617</v>
      </c>
      <c r="F349" s="799">
        <v>110.32</v>
      </c>
      <c r="G349" s="799" t="s">
        <v>3618</v>
      </c>
      <c r="H349" s="799">
        <v>11508</v>
      </c>
      <c r="I349" s="617" t="s">
        <v>3624</v>
      </c>
      <c r="J349" s="617" t="s">
        <v>3625</v>
      </c>
      <c r="K349" s="838">
        <v>0.23</v>
      </c>
      <c r="L349" s="725">
        <v>22.54</v>
      </c>
      <c r="M349" s="850" t="s">
        <v>3626</v>
      </c>
      <c r="N349" s="850"/>
      <c r="O349" s="842"/>
      <c r="P349" s="617" t="s">
        <v>3627</v>
      </c>
      <c r="Q349" s="617" t="s">
        <v>3628</v>
      </c>
      <c r="R349" s="617">
        <v>100</v>
      </c>
      <c r="S349" s="617">
        <f t="shared" si="210"/>
        <v>22.54</v>
      </c>
      <c r="T349" s="725">
        <v>100</v>
      </c>
      <c r="U349" s="617">
        <f t="shared" si="389"/>
        <v>100</v>
      </c>
      <c r="V349" s="725">
        <f t="shared" si="353"/>
        <v>100</v>
      </c>
      <c r="W349" s="617" t="s">
        <v>3625</v>
      </c>
      <c r="X349" s="725">
        <f t="shared" si="323"/>
        <v>23</v>
      </c>
      <c r="Y349" s="725" t="s">
        <v>1666</v>
      </c>
      <c r="Z349" s="725" t="s">
        <v>1666</v>
      </c>
      <c r="AA349" s="455" t="s">
        <v>1666</v>
      </c>
      <c r="AB349" s="821" t="str">
        <f t="shared" ref="AB349:AH349" si="390">AA349</f>
        <v>*</v>
      </c>
      <c r="AC349" s="869" t="str">
        <f t="shared" si="390"/>
        <v>*</v>
      </c>
      <c r="AD349" s="869" t="str">
        <f t="shared" si="390"/>
        <v>*</v>
      </c>
      <c r="AE349" s="808" t="str">
        <f t="shared" si="390"/>
        <v>*</v>
      </c>
      <c r="AF349" s="808" t="str">
        <f t="shared" si="390"/>
        <v>*</v>
      </c>
      <c r="AG349" s="808" t="str">
        <f t="shared" si="390"/>
        <v>*</v>
      </c>
      <c r="AH349" s="808" t="str">
        <f t="shared" si="390"/>
        <v>*</v>
      </c>
    </row>
    <row r="350" spans="1:34" ht="12.75">
      <c r="A350" s="617" t="s">
        <v>3629</v>
      </c>
      <c r="B350" s="799" t="s">
        <v>2580</v>
      </c>
      <c r="C350" s="617" t="s">
        <v>2612</v>
      </c>
      <c r="D350" s="617" t="s">
        <v>2911</v>
      </c>
      <c r="E350" s="617" t="s">
        <v>3630</v>
      </c>
      <c r="F350" s="799">
        <v>102</v>
      </c>
      <c r="G350" s="617" t="s">
        <v>3195</v>
      </c>
      <c r="H350" s="799">
        <v>11644</v>
      </c>
      <c r="I350" s="617" t="s">
        <v>3630</v>
      </c>
      <c r="J350" s="617" t="s">
        <v>3631</v>
      </c>
      <c r="K350" s="838">
        <v>1</v>
      </c>
      <c r="L350" s="725">
        <v>102</v>
      </c>
      <c r="M350" s="850" t="s">
        <v>3632</v>
      </c>
      <c r="N350" s="850"/>
      <c r="O350" s="842"/>
      <c r="P350" s="617" t="s">
        <v>3630</v>
      </c>
      <c r="Q350" s="617" t="s">
        <v>3633</v>
      </c>
      <c r="R350" s="617">
        <v>100</v>
      </c>
      <c r="S350" s="617">
        <f t="shared" si="210"/>
        <v>102</v>
      </c>
      <c r="T350" s="725">
        <v>100</v>
      </c>
      <c r="U350" s="617">
        <f t="shared" si="389"/>
        <v>100</v>
      </c>
      <c r="V350" s="725">
        <f t="shared" si="353"/>
        <v>100</v>
      </c>
      <c r="W350" s="617" t="s">
        <v>3631</v>
      </c>
      <c r="X350" s="725">
        <f t="shared" si="323"/>
        <v>100</v>
      </c>
      <c r="Y350" s="725">
        <f t="shared" ref="Y350:AA350" si="391">X350</f>
        <v>100</v>
      </c>
      <c r="Z350" s="725">
        <f t="shared" si="391"/>
        <v>100</v>
      </c>
      <c r="AA350" s="455">
        <f t="shared" si="391"/>
        <v>100</v>
      </c>
      <c r="AB350" s="793" t="s">
        <v>2613</v>
      </c>
      <c r="AC350" s="799" t="s">
        <v>3634</v>
      </c>
      <c r="AD350" s="799" t="s">
        <v>3635</v>
      </c>
      <c r="AE350" s="635">
        <v>9.1578394306682969E-4</v>
      </c>
      <c r="AF350" s="635">
        <v>9.6000593053856727E-3</v>
      </c>
      <c r="AG350" s="635">
        <v>3.9975990396158467E-7</v>
      </c>
      <c r="AH350" s="635">
        <v>5.141025630252102E-6</v>
      </c>
    </row>
    <row r="351" spans="1:34" ht="12.75">
      <c r="A351" s="617" t="s">
        <v>3636</v>
      </c>
      <c r="B351" s="799" t="s">
        <v>2580</v>
      </c>
      <c r="C351" s="617" t="s">
        <v>2614</v>
      </c>
      <c r="D351" s="617" t="s">
        <v>2911</v>
      </c>
      <c r="E351" s="617" t="s">
        <v>3637</v>
      </c>
      <c r="F351" s="799">
        <v>90</v>
      </c>
      <c r="G351" s="617" t="s">
        <v>3195</v>
      </c>
      <c r="H351" s="799">
        <v>11478</v>
      </c>
      <c r="I351" s="617" t="s">
        <v>3637</v>
      </c>
      <c r="J351" s="617" t="s">
        <v>3638</v>
      </c>
      <c r="K351" s="838">
        <v>1</v>
      </c>
      <c r="L351" s="725">
        <v>90</v>
      </c>
      <c r="M351" s="850" t="s">
        <v>3639</v>
      </c>
      <c r="N351" s="850"/>
      <c r="O351" s="842"/>
      <c r="P351" s="617" t="s">
        <v>3637</v>
      </c>
      <c r="Q351" s="617" t="s">
        <v>3640</v>
      </c>
      <c r="R351" s="617">
        <v>100</v>
      </c>
      <c r="S351" s="617">
        <f t="shared" si="210"/>
        <v>90</v>
      </c>
      <c r="T351" s="725">
        <v>100</v>
      </c>
      <c r="U351" s="617">
        <f t="shared" si="389"/>
        <v>100</v>
      </c>
      <c r="V351" s="725">
        <f t="shared" si="353"/>
        <v>100</v>
      </c>
      <c r="W351" s="617" t="s">
        <v>3638</v>
      </c>
      <c r="X351" s="725">
        <f t="shared" si="323"/>
        <v>100</v>
      </c>
      <c r="Y351" s="725">
        <f t="shared" ref="Y351:AA351" si="392">X351</f>
        <v>100</v>
      </c>
      <c r="Z351" s="725">
        <f t="shared" si="392"/>
        <v>100</v>
      </c>
      <c r="AA351" s="455">
        <f t="shared" si="392"/>
        <v>100</v>
      </c>
      <c r="AB351" s="793" t="s">
        <v>2615</v>
      </c>
      <c r="AC351" s="799" t="s">
        <v>3641</v>
      </c>
      <c r="AD351" s="799" t="s">
        <v>3642</v>
      </c>
      <c r="AE351" s="635">
        <v>1.54102049293825E-3</v>
      </c>
      <c r="AF351" s="635">
        <v>1.7250530785562625E-2</v>
      </c>
      <c r="AG351" s="635">
        <v>3.1578947368421058E-5</v>
      </c>
      <c r="AH351" s="635">
        <v>4.641305263157895E-4</v>
      </c>
    </row>
    <row r="352" spans="1:34" ht="12.75">
      <c r="A352" s="14" t="s">
        <v>3643</v>
      </c>
      <c r="B352" s="13" t="s">
        <v>2580</v>
      </c>
      <c r="C352" s="14" t="s">
        <v>2616</v>
      </c>
      <c r="D352" s="14" t="s">
        <v>2911</v>
      </c>
      <c r="E352" s="14" t="s">
        <v>470</v>
      </c>
      <c r="F352" s="13">
        <v>68</v>
      </c>
      <c r="G352" s="14" t="s">
        <v>3195</v>
      </c>
      <c r="H352" s="13">
        <v>11234</v>
      </c>
      <c r="I352" s="848" t="s">
        <v>3644</v>
      </c>
      <c r="J352" s="135" t="s">
        <v>3645</v>
      </c>
      <c r="K352" s="475">
        <v>0.6</v>
      </c>
      <c r="L352" s="476">
        <v>42</v>
      </c>
      <c r="M352" s="492" t="s">
        <v>3646</v>
      </c>
      <c r="N352" s="492"/>
      <c r="O352" s="494"/>
      <c r="P352" s="848" t="s">
        <v>3644</v>
      </c>
      <c r="Q352" s="135" t="s">
        <v>3647</v>
      </c>
      <c r="R352" s="135">
        <v>100</v>
      </c>
      <c r="S352" s="135">
        <f t="shared" si="210"/>
        <v>42</v>
      </c>
      <c r="T352" s="476">
        <f>R352</f>
        <v>100</v>
      </c>
      <c r="U352" s="135">
        <f t="shared" si="389"/>
        <v>100</v>
      </c>
      <c r="V352" s="476">
        <f t="shared" si="353"/>
        <v>100</v>
      </c>
      <c r="W352" s="135" t="s">
        <v>3645</v>
      </c>
      <c r="X352" s="220">
        <f t="shared" si="323"/>
        <v>60</v>
      </c>
      <c r="Y352" s="839">
        <f t="shared" ref="Y352:Z352" si="393">X352</f>
        <v>60</v>
      </c>
      <c r="Z352" s="839">
        <f t="shared" si="393"/>
        <v>60</v>
      </c>
      <c r="AA352" s="463">
        <f t="shared" ref="AA352:AA353" si="394">X352</f>
        <v>60</v>
      </c>
      <c r="AB352" s="18" t="s">
        <v>481</v>
      </c>
      <c r="AC352" s="13" t="s">
        <v>470</v>
      </c>
      <c r="AD352" s="13" t="s">
        <v>3648</v>
      </c>
      <c r="AE352" s="12">
        <v>1.7421115507516912E-3</v>
      </c>
      <c r="AF352" s="12">
        <v>3.0263336086917496E-2</v>
      </c>
      <c r="AG352" s="12">
        <v>2.0588235294117645E-5</v>
      </c>
      <c r="AH352" s="12">
        <v>4.8631323529411762E-4</v>
      </c>
    </row>
    <row r="353" spans="1:34" ht="12.75">
      <c r="A353" s="617" t="s">
        <v>3643</v>
      </c>
      <c r="B353" s="799" t="s">
        <v>2580</v>
      </c>
      <c r="C353" s="617" t="s">
        <v>2616</v>
      </c>
      <c r="D353" s="617" t="s">
        <v>2911</v>
      </c>
      <c r="E353" s="617" t="s">
        <v>470</v>
      </c>
      <c r="F353" s="799">
        <v>68</v>
      </c>
      <c r="G353" s="617" t="s">
        <v>3195</v>
      </c>
      <c r="H353" s="799">
        <v>11234</v>
      </c>
      <c r="I353" s="617" t="s">
        <v>470</v>
      </c>
      <c r="J353" s="617" t="s">
        <v>3649</v>
      </c>
      <c r="K353" s="838">
        <v>0.4</v>
      </c>
      <c r="L353" s="725">
        <v>26</v>
      </c>
      <c r="M353" s="850" t="s">
        <v>3650</v>
      </c>
      <c r="N353" s="850"/>
      <c r="O353" s="842"/>
      <c r="P353" s="617" t="s">
        <v>470</v>
      </c>
      <c r="Q353" s="617" t="s">
        <v>3651</v>
      </c>
      <c r="R353" s="617">
        <v>100</v>
      </c>
      <c r="S353" s="617">
        <f t="shared" si="210"/>
        <v>26</v>
      </c>
      <c r="T353" s="725">
        <v>100</v>
      </c>
      <c r="U353" s="617">
        <f t="shared" si="389"/>
        <v>100</v>
      </c>
      <c r="V353" s="725">
        <f t="shared" si="353"/>
        <v>100</v>
      </c>
      <c r="W353" s="617" t="s">
        <v>3649</v>
      </c>
      <c r="X353" s="725">
        <f t="shared" si="323"/>
        <v>40</v>
      </c>
      <c r="Y353" s="725">
        <f t="shared" ref="Y353:Z353" si="395">X353</f>
        <v>40</v>
      </c>
      <c r="Z353" s="725">
        <f t="shared" si="395"/>
        <v>40</v>
      </c>
      <c r="AA353" s="455">
        <f t="shared" si="394"/>
        <v>40</v>
      </c>
      <c r="AB353" s="793" t="s">
        <v>470</v>
      </c>
      <c r="AC353" s="799" t="s">
        <v>470</v>
      </c>
      <c r="AD353" s="799" t="s">
        <v>3648</v>
      </c>
      <c r="AE353" s="635">
        <v>1.6008592628529055E-3</v>
      </c>
      <c r="AF353" s="635">
        <v>2.7809552079870136E-2</v>
      </c>
      <c r="AG353" s="635">
        <v>1.8918918918918918E-5</v>
      </c>
      <c r="AH353" s="635">
        <v>4.4688243243243248E-4</v>
      </c>
    </row>
    <row r="354" spans="1:34" ht="12.75">
      <c r="A354" s="617" t="s">
        <v>3652</v>
      </c>
      <c r="B354" s="799" t="s">
        <v>2580</v>
      </c>
      <c r="C354" s="617" t="s">
        <v>2617</v>
      </c>
      <c r="D354" s="617" t="s">
        <v>2911</v>
      </c>
      <c r="E354" s="617" t="s">
        <v>3495</v>
      </c>
      <c r="F354" s="799">
        <v>90</v>
      </c>
      <c r="G354" s="617" t="s">
        <v>3195</v>
      </c>
      <c r="H354" s="799">
        <v>11458</v>
      </c>
      <c r="I354" s="617" t="s">
        <v>3495</v>
      </c>
      <c r="J354" s="617" t="s">
        <v>3653</v>
      </c>
      <c r="K354" s="838">
        <v>1</v>
      </c>
      <c r="L354" s="725">
        <v>90</v>
      </c>
      <c r="M354" s="850" t="s">
        <v>3654</v>
      </c>
      <c r="N354" s="850"/>
      <c r="O354" s="842"/>
      <c r="P354" s="617" t="s">
        <v>3495</v>
      </c>
      <c r="Q354" s="617" t="s">
        <v>3496</v>
      </c>
      <c r="R354" s="617">
        <v>100</v>
      </c>
      <c r="S354" s="617">
        <f t="shared" si="210"/>
        <v>90</v>
      </c>
      <c r="T354" s="725">
        <v>100</v>
      </c>
      <c r="U354" s="617">
        <f t="shared" si="389"/>
        <v>100</v>
      </c>
      <c r="V354" s="725">
        <f t="shared" si="353"/>
        <v>100</v>
      </c>
      <c r="W354" s="617" t="s">
        <v>3653</v>
      </c>
      <c r="X354" s="725">
        <f t="shared" si="323"/>
        <v>100</v>
      </c>
      <c r="Y354" s="725">
        <f t="shared" ref="Y354:AA354" si="396">X354</f>
        <v>100</v>
      </c>
      <c r="Z354" s="725">
        <f t="shared" si="396"/>
        <v>100</v>
      </c>
      <c r="AA354" s="455">
        <f t="shared" si="396"/>
        <v>100</v>
      </c>
      <c r="AB354" s="793" t="s">
        <v>2618</v>
      </c>
      <c r="AC354" s="799" t="s">
        <v>3655</v>
      </c>
      <c r="AD354" s="799" t="s">
        <v>3656</v>
      </c>
      <c r="AE354" s="635">
        <v>1.1846358545111501E-3</v>
      </c>
      <c r="AF354" s="635">
        <v>2.0579068539103899E-2</v>
      </c>
      <c r="AG354" s="635">
        <v>1.8918918918918918E-5</v>
      </c>
      <c r="AH354" s="635">
        <v>4.4688243243243248E-4</v>
      </c>
    </row>
    <row r="355" spans="1:34" ht="12.75">
      <c r="A355" s="617" t="s">
        <v>3657</v>
      </c>
      <c r="B355" s="799" t="s">
        <v>2580</v>
      </c>
      <c r="C355" s="617" t="s">
        <v>2619</v>
      </c>
      <c r="D355" s="617" t="s">
        <v>2911</v>
      </c>
      <c r="E355" s="617" t="s">
        <v>3413</v>
      </c>
      <c r="F355" s="799">
        <v>30</v>
      </c>
      <c r="G355" s="617" t="s">
        <v>3658</v>
      </c>
      <c r="H355" s="799">
        <v>11457</v>
      </c>
      <c r="I355" s="617" t="s">
        <v>3413</v>
      </c>
      <c r="J355" s="617" t="s">
        <v>3659</v>
      </c>
      <c r="K355" s="838">
        <v>1</v>
      </c>
      <c r="L355" s="725">
        <v>30</v>
      </c>
      <c r="M355" s="850" t="s">
        <v>3660</v>
      </c>
      <c r="N355" s="850"/>
      <c r="O355" s="842"/>
      <c r="P355" s="617" t="s">
        <v>3413</v>
      </c>
      <c r="Q355" s="617" t="s">
        <v>3414</v>
      </c>
      <c r="R355" s="617">
        <v>100</v>
      </c>
      <c r="S355" s="617">
        <f t="shared" si="210"/>
        <v>30</v>
      </c>
      <c r="T355" s="725">
        <v>100</v>
      </c>
      <c r="U355" s="617">
        <f t="shared" si="389"/>
        <v>100</v>
      </c>
      <c r="V355" s="725">
        <f t="shared" si="353"/>
        <v>100</v>
      </c>
      <c r="W355" s="617" t="s">
        <v>3659</v>
      </c>
      <c r="X355" s="725">
        <f t="shared" si="323"/>
        <v>100</v>
      </c>
      <c r="Y355" s="725">
        <f t="shared" ref="Y355:AA355" si="397">X355</f>
        <v>100</v>
      </c>
      <c r="Z355" s="725">
        <f t="shared" si="397"/>
        <v>100</v>
      </c>
      <c r="AA355" s="455">
        <f t="shared" si="397"/>
        <v>100</v>
      </c>
      <c r="AB355" s="793" t="s">
        <v>2618</v>
      </c>
      <c r="AC355" s="799" t="s">
        <v>3661</v>
      </c>
      <c r="AD355" s="799" t="s">
        <v>3662</v>
      </c>
      <c r="AE355" s="635">
        <v>1.1846358545111501E-3</v>
      </c>
      <c r="AF355" s="635">
        <v>2.0579068539103899E-2</v>
      </c>
      <c r="AG355" s="635">
        <v>1.8918918918918918E-5</v>
      </c>
      <c r="AH355" s="635">
        <v>4.4688243243243248E-4</v>
      </c>
    </row>
    <row r="356" spans="1:34" ht="12.75">
      <c r="A356" s="617" t="s">
        <v>3663</v>
      </c>
      <c r="B356" s="799" t="s">
        <v>2580</v>
      </c>
      <c r="C356" s="617" t="s">
        <v>2620</v>
      </c>
      <c r="D356" s="617" t="s">
        <v>2911</v>
      </c>
      <c r="E356" s="617" t="s">
        <v>3411</v>
      </c>
      <c r="F356" s="799">
        <v>89</v>
      </c>
      <c r="G356" s="617" t="s">
        <v>3664</v>
      </c>
      <c r="H356" s="799">
        <v>11252</v>
      </c>
      <c r="I356" s="617" t="s">
        <v>3411</v>
      </c>
      <c r="J356" s="617" t="s">
        <v>3665</v>
      </c>
      <c r="K356" s="838">
        <v>1</v>
      </c>
      <c r="L356" s="725">
        <v>89</v>
      </c>
      <c r="M356" s="850" t="s">
        <v>3666</v>
      </c>
      <c r="N356" s="850"/>
      <c r="O356" s="842"/>
      <c r="P356" s="617" t="s">
        <v>3411</v>
      </c>
      <c r="Q356" s="617" t="s">
        <v>3412</v>
      </c>
      <c r="R356" s="617">
        <v>100</v>
      </c>
      <c r="S356" s="617">
        <f t="shared" si="210"/>
        <v>89</v>
      </c>
      <c r="T356" s="725">
        <v>100</v>
      </c>
      <c r="U356" s="617">
        <f t="shared" si="389"/>
        <v>100</v>
      </c>
      <c r="V356" s="725">
        <f t="shared" si="353"/>
        <v>100</v>
      </c>
      <c r="W356" s="617" t="s">
        <v>3665</v>
      </c>
      <c r="X356" s="725">
        <f t="shared" si="323"/>
        <v>100</v>
      </c>
      <c r="Y356" s="725">
        <f t="shared" ref="Y356:AA356" si="398">X356</f>
        <v>100</v>
      </c>
      <c r="Z356" s="725">
        <f t="shared" si="398"/>
        <v>100</v>
      </c>
      <c r="AA356" s="455">
        <f t="shared" si="398"/>
        <v>100</v>
      </c>
      <c r="AB356" s="793" t="s">
        <v>2621</v>
      </c>
      <c r="AC356" s="799" t="s">
        <v>3667</v>
      </c>
      <c r="AD356" s="799" t="s">
        <v>3668</v>
      </c>
      <c r="AE356" s="635">
        <v>3.7676505686062725E-4</v>
      </c>
      <c r="AF356" s="635">
        <v>3.9594550949037634E-3</v>
      </c>
      <c r="AG356" s="635">
        <v>1.4354578172208981E-4</v>
      </c>
      <c r="AH356" s="635">
        <v>2.6812945945945945E-4</v>
      </c>
    </row>
    <row r="357" spans="1:34" ht="12.75">
      <c r="A357" s="617" t="s">
        <v>3669</v>
      </c>
      <c r="B357" s="799" t="s">
        <v>2580</v>
      </c>
      <c r="C357" s="617" t="s">
        <v>2622</v>
      </c>
      <c r="D357" s="617" t="s">
        <v>2911</v>
      </c>
      <c r="E357" s="617" t="s">
        <v>3670</v>
      </c>
      <c r="F357" s="799">
        <v>85</v>
      </c>
      <c r="G357" s="617" t="s">
        <v>3664</v>
      </c>
      <c r="H357" s="799">
        <v>11251</v>
      </c>
      <c r="I357" s="617" t="s">
        <v>3670</v>
      </c>
      <c r="J357" s="617" t="s">
        <v>3671</v>
      </c>
      <c r="K357" s="838">
        <v>1</v>
      </c>
      <c r="L357" s="725">
        <v>85</v>
      </c>
      <c r="M357" s="850" t="s">
        <v>3672</v>
      </c>
      <c r="N357" s="850"/>
      <c r="O357" s="842"/>
      <c r="P357" s="617" t="s">
        <v>3670</v>
      </c>
      <c r="Q357" s="617" t="s">
        <v>3673</v>
      </c>
      <c r="R357" s="617">
        <v>100</v>
      </c>
      <c r="S357" s="617">
        <f t="shared" si="210"/>
        <v>85</v>
      </c>
      <c r="T357" s="725">
        <v>100</v>
      </c>
      <c r="U357" s="617">
        <f t="shared" si="389"/>
        <v>100</v>
      </c>
      <c r="V357" s="725">
        <f t="shared" si="353"/>
        <v>100</v>
      </c>
      <c r="W357" s="617" t="s">
        <v>3671</v>
      </c>
      <c r="X357" s="725">
        <f t="shared" si="323"/>
        <v>100</v>
      </c>
      <c r="Y357" s="725">
        <f t="shared" ref="Y357:AA357" si="399">X357</f>
        <v>100</v>
      </c>
      <c r="Z357" s="725">
        <f t="shared" si="399"/>
        <v>100</v>
      </c>
      <c r="AA357" s="455">
        <f t="shared" si="399"/>
        <v>100</v>
      </c>
      <c r="AB357" s="793" t="s">
        <v>2623</v>
      </c>
      <c r="AC357" s="799" t="s">
        <v>3674</v>
      </c>
      <c r="AD357" s="799" t="s">
        <v>3675</v>
      </c>
      <c r="AE357" s="635">
        <v>8.4376421531463298E-4</v>
      </c>
      <c r="AF357" s="635">
        <v>1.9553955016426601E-2</v>
      </c>
      <c r="AG357" s="635">
        <v>4.1791044776119397E-5</v>
      </c>
      <c r="AH357" s="635">
        <v>1.3820005970149253E-3</v>
      </c>
    </row>
    <row r="358" spans="1:34" ht="12.75">
      <c r="A358" s="617" t="s">
        <v>3676</v>
      </c>
      <c r="B358" s="799" t="s">
        <v>2580</v>
      </c>
      <c r="C358" s="617" t="s">
        <v>2624</v>
      </c>
      <c r="D358" s="617" t="s">
        <v>2911</v>
      </c>
      <c r="E358" s="617" t="s">
        <v>459</v>
      </c>
      <c r="F358" s="799">
        <v>20</v>
      </c>
      <c r="G358" s="617" t="s">
        <v>3318</v>
      </c>
      <c r="H358" s="799">
        <v>11143</v>
      </c>
      <c r="I358" s="617" t="s">
        <v>459</v>
      </c>
      <c r="J358" s="617" t="s">
        <v>3677</v>
      </c>
      <c r="K358" s="838">
        <v>1</v>
      </c>
      <c r="L358" s="725">
        <v>20</v>
      </c>
      <c r="M358" s="850" t="s">
        <v>3678</v>
      </c>
      <c r="N358" s="850"/>
      <c r="O358" s="842"/>
      <c r="P358" s="617" t="s">
        <v>459</v>
      </c>
      <c r="Q358" s="617" t="s">
        <v>3401</v>
      </c>
      <c r="R358" s="617">
        <v>100</v>
      </c>
      <c r="S358" s="617">
        <f t="shared" si="210"/>
        <v>20</v>
      </c>
      <c r="T358" s="725">
        <v>100</v>
      </c>
      <c r="U358" s="617">
        <f t="shared" si="389"/>
        <v>100</v>
      </c>
      <c r="V358" s="725">
        <f t="shared" si="353"/>
        <v>100</v>
      </c>
      <c r="W358" s="617" t="s">
        <v>3677</v>
      </c>
      <c r="X358" s="725">
        <f t="shared" si="323"/>
        <v>100</v>
      </c>
      <c r="Y358" s="725">
        <f t="shared" ref="Y358:AA358" si="400">X358</f>
        <v>100</v>
      </c>
      <c r="Z358" s="725">
        <f t="shared" si="400"/>
        <v>100</v>
      </c>
      <c r="AA358" s="455">
        <f t="shared" si="400"/>
        <v>100</v>
      </c>
      <c r="AB358" s="793" t="s">
        <v>459</v>
      </c>
      <c r="AC358" s="617" t="s">
        <v>3478</v>
      </c>
      <c r="AD358" s="617" t="s">
        <v>3479</v>
      </c>
      <c r="AE358" s="635">
        <v>2.8944733420025999E-4</v>
      </c>
      <c r="AF358" s="635">
        <v>9.8179453836150891E-3</v>
      </c>
      <c r="AG358" s="635">
        <v>1.0639011302594951E-5</v>
      </c>
      <c r="AH358" s="635">
        <v>1.4697466666666669E-4</v>
      </c>
    </row>
    <row r="359" spans="1:34" ht="12.75">
      <c r="A359" s="14" t="s">
        <v>3679</v>
      </c>
      <c r="B359" s="13" t="s">
        <v>2580</v>
      </c>
      <c r="C359" s="14" t="s">
        <v>2625</v>
      </c>
      <c r="D359" s="14" t="s">
        <v>2911</v>
      </c>
      <c r="E359" s="14" t="s">
        <v>3404</v>
      </c>
      <c r="F359" s="13">
        <v>20</v>
      </c>
      <c r="G359" s="14" t="s">
        <v>3680</v>
      </c>
      <c r="H359" s="13">
        <v>11333</v>
      </c>
      <c r="I359" s="135" t="s">
        <v>3404</v>
      </c>
      <c r="J359" s="135" t="s">
        <v>3681</v>
      </c>
      <c r="K359" s="475">
        <v>0.66</v>
      </c>
      <c r="L359" s="476">
        <v>13.2</v>
      </c>
      <c r="M359" s="477">
        <v>11333</v>
      </c>
      <c r="N359" s="477"/>
      <c r="O359" s="476"/>
      <c r="P359" s="135" t="s">
        <v>3404</v>
      </c>
      <c r="Q359" s="135" t="s">
        <v>3405</v>
      </c>
      <c r="R359" s="135">
        <v>100</v>
      </c>
      <c r="S359" s="135">
        <f t="shared" si="210"/>
        <v>13.2</v>
      </c>
      <c r="T359" s="476">
        <f>R359</f>
        <v>100</v>
      </c>
      <c r="U359" s="135">
        <f t="shared" si="389"/>
        <v>100</v>
      </c>
      <c r="V359" s="476">
        <f t="shared" si="353"/>
        <v>100</v>
      </c>
      <c r="W359" s="135" t="s">
        <v>3681</v>
      </c>
      <c r="X359" s="220">
        <f t="shared" si="323"/>
        <v>66</v>
      </c>
      <c r="Y359" s="839">
        <f t="shared" ref="Y359:Z359" si="401">X359</f>
        <v>66</v>
      </c>
      <c r="Z359" s="839">
        <f t="shared" si="401"/>
        <v>66</v>
      </c>
      <c r="AA359" s="463">
        <f t="shared" ref="AA359:AA360" si="402">X359</f>
        <v>66</v>
      </c>
      <c r="AB359" s="18" t="s">
        <v>2626</v>
      </c>
      <c r="AC359" s="13" t="s">
        <v>3443</v>
      </c>
      <c r="AD359" s="13" t="s">
        <v>3444</v>
      </c>
      <c r="AE359" s="454">
        <v>8.2739760746147598E-4</v>
      </c>
      <c r="AF359" s="454">
        <v>1.9887131659999998E-2</v>
      </c>
      <c r="AG359" s="454">
        <v>5.1219512195121953E-5</v>
      </c>
      <c r="AH359" s="454">
        <v>3.2262731707317075E-4</v>
      </c>
    </row>
    <row r="360" spans="1:34" ht="12.75">
      <c r="A360" s="617" t="s">
        <v>3679</v>
      </c>
      <c r="B360" s="799" t="s">
        <v>2580</v>
      </c>
      <c r="C360" s="617" t="s">
        <v>2625</v>
      </c>
      <c r="D360" s="617" t="s">
        <v>2911</v>
      </c>
      <c r="E360" s="617" t="s">
        <v>3404</v>
      </c>
      <c r="F360" s="799">
        <v>20</v>
      </c>
      <c r="G360" s="617" t="s">
        <v>3680</v>
      </c>
      <c r="H360" s="799">
        <v>11333</v>
      </c>
      <c r="I360" s="617" t="s">
        <v>3682</v>
      </c>
      <c r="J360" s="617" t="s">
        <v>3683</v>
      </c>
      <c r="K360" s="838">
        <v>0.34</v>
      </c>
      <c r="L360" s="725">
        <v>6.8</v>
      </c>
      <c r="M360" s="799">
        <v>11821</v>
      </c>
      <c r="N360" s="799"/>
      <c r="O360" s="725"/>
      <c r="P360" s="617" t="s">
        <v>3682</v>
      </c>
      <c r="Q360" s="617" t="s">
        <v>3684</v>
      </c>
      <c r="R360" s="617">
        <v>100</v>
      </c>
      <c r="S360" s="617">
        <f t="shared" si="210"/>
        <v>6.8</v>
      </c>
      <c r="T360" s="725">
        <v>100</v>
      </c>
      <c r="U360" s="617">
        <f t="shared" si="389"/>
        <v>100</v>
      </c>
      <c r="V360" s="725">
        <f t="shared" si="353"/>
        <v>100</v>
      </c>
      <c r="W360" s="617" t="s">
        <v>3683</v>
      </c>
      <c r="X360" s="725">
        <f t="shared" si="323"/>
        <v>34</v>
      </c>
      <c r="Y360" s="725">
        <f t="shared" ref="Y360:Z360" si="403">X360</f>
        <v>34</v>
      </c>
      <c r="Z360" s="725">
        <f t="shared" si="403"/>
        <v>34</v>
      </c>
      <c r="AA360" s="455">
        <f t="shared" si="402"/>
        <v>34</v>
      </c>
      <c r="AB360" s="793" t="s">
        <v>2627</v>
      </c>
      <c r="AC360" s="799" t="s">
        <v>3443</v>
      </c>
      <c r="AD360" s="799" t="s">
        <v>3444</v>
      </c>
      <c r="AE360" s="808">
        <v>8.2739760746147598E-4</v>
      </c>
      <c r="AF360" s="808">
        <v>1.9887131659999998E-2</v>
      </c>
      <c r="AG360" s="808">
        <v>5.1219512195121953E-5</v>
      </c>
      <c r="AH360" s="808">
        <v>3.2262731707317075E-4</v>
      </c>
    </row>
    <row r="361" spans="1:34" ht="12.75">
      <c r="A361" s="617" t="s">
        <v>3685</v>
      </c>
      <c r="B361" s="799" t="s">
        <v>2580</v>
      </c>
      <c r="C361" s="617" t="s">
        <v>2628</v>
      </c>
      <c r="D361" s="617" t="s">
        <v>2911</v>
      </c>
      <c r="E361" s="617" t="s">
        <v>2584</v>
      </c>
      <c r="F361" s="799">
        <v>13.97</v>
      </c>
      <c r="G361" s="617" t="s">
        <v>3686</v>
      </c>
      <c r="H361" s="799">
        <v>11282</v>
      </c>
      <c r="I361" s="617" t="s">
        <v>2584</v>
      </c>
      <c r="J361" s="617" t="s">
        <v>3687</v>
      </c>
      <c r="K361" s="838">
        <v>1</v>
      </c>
      <c r="L361" s="725">
        <v>13.97</v>
      </c>
      <c r="M361" s="799">
        <v>11282</v>
      </c>
      <c r="N361" s="799"/>
      <c r="O361" s="725"/>
      <c r="P361" s="617" t="s">
        <v>2584</v>
      </c>
      <c r="Q361" s="617" t="s">
        <v>3688</v>
      </c>
      <c r="R361" s="617">
        <v>100</v>
      </c>
      <c r="S361" s="617">
        <f t="shared" si="210"/>
        <v>13.97</v>
      </c>
      <c r="T361" s="725">
        <v>100</v>
      </c>
      <c r="U361" s="617">
        <f t="shared" si="389"/>
        <v>100</v>
      </c>
      <c r="V361" s="725">
        <f t="shared" si="353"/>
        <v>100</v>
      </c>
      <c r="W361" s="617" t="s">
        <v>3687</v>
      </c>
      <c r="X361" s="725">
        <f t="shared" si="323"/>
        <v>100</v>
      </c>
      <c r="Y361" s="725">
        <f t="shared" ref="Y361:AA361" si="404">X361</f>
        <v>100</v>
      </c>
      <c r="Z361" s="725">
        <f t="shared" si="404"/>
        <v>100</v>
      </c>
      <c r="AA361" s="455">
        <f t="shared" si="404"/>
        <v>100</v>
      </c>
      <c r="AB361" s="793" t="s">
        <v>2584</v>
      </c>
      <c r="AC361" s="13" t="s">
        <v>3424</v>
      </c>
      <c r="AD361" s="13" t="s">
        <v>3425</v>
      </c>
      <c r="AE361" s="12">
        <v>4.7754773653722405E-4</v>
      </c>
      <c r="AF361" s="12">
        <v>9.9048845026103102E-3</v>
      </c>
      <c r="AG361" s="12">
        <v>1.1598405219282348E-5</v>
      </c>
      <c r="AH361" s="12">
        <v>9.908404494382022E-5</v>
      </c>
    </row>
    <row r="362" spans="1:34" ht="12.75">
      <c r="A362" s="617" t="s">
        <v>3689</v>
      </c>
      <c r="B362" s="799" t="s">
        <v>2580</v>
      </c>
      <c r="C362" s="799" t="s">
        <v>2629</v>
      </c>
      <c r="D362" s="617" t="s">
        <v>2911</v>
      </c>
      <c r="E362" s="617" t="s">
        <v>2584</v>
      </c>
      <c r="F362" s="799">
        <v>110</v>
      </c>
      <c r="G362" s="617" t="s">
        <v>3255</v>
      </c>
      <c r="H362" s="799">
        <v>11282</v>
      </c>
      <c r="I362" s="617" t="s">
        <v>2584</v>
      </c>
      <c r="J362" s="617" t="s">
        <v>3687</v>
      </c>
      <c r="K362" s="838">
        <v>1</v>
      </c>
      <c r="L362" s="725">
        <v>110</v>
      </c>
      <c r="M362" s="799">
        <v>11282</v>
      </c>
      <c r="N362" s="799"/>
      <c r="O362" s="725"/>
      <c r="P362" s="617" t="s">
        <v>2584</v>
      </c>
      <c r="Q362" s="617" t="s">
        <v>3690</v>
      </c>
      <c r="R362" s="617">
        <v>100</v>
      </c>
      <c r="S362" s="617">
        <f t="shared" si="210"/>
        <v>110</v>
      </c>
      <c r="T362" s="725">
        <v>100</v>
      </c>
      <c r="U362" s="617">
        <f t="shared" si="389"/>
        <v>100</v>
      </c>
      <c r="V362" s="725">
        <f t="shared" si="353"/>
        <v>100</v>
      </c>
      <c r="W362" s="617" t="s">
        <v>3687</v>
      </c>
      <c r="X362" s="725">
        <f t="shared" si="323"/>
        <v>100</v>
      </c>
      <c r="Y362" s="725">
        <f t="shared" ref="Y362:AA362" si="405">X362</f>
        <v>100</v>
      </c>
      <c r="Z362" s="725">
        <f t="shared" si="405"/>
        <v>100</v>
      </c>
      <c r="AA362" s="455">
        <f t="shared" si="405"/>
        <v>100</v>
      </c>
      <c r="AB362" s="793" t="s">
        <v>2584</v>
      </c>
      <c r="AC362" s="805" t="s">
        <v>3424</v>
      </c>
      <c r="AD362" s="805" t="s">
        <v>3425</v>
      </c>
      <c r="AE362" s="804">
        <v>4.7754773653722405E-4</v>
      </c>
      <c r="AF362" s="804">
        <v>9.9048845026103102E-3</v>
      </c>
      <c r="AG362" s="804">
        <v>1.1598405219282348E-5</v>
      </c>
      <c r="AH362" s="804">
        <v>9.908404494382022E-5</v>
      </c>
    </row>
    <row r="363" spans="1:34" ht="12.75">
      <c r="A363" s="617" t="s">
        <v>3691</v>
      </c>
      <c r="B363" s="799" t="s">
        <v>2630</v>
      </c>
      <c r="C363" s="617" t="s">
        <v>2631</v>
      </c>
      <c r="D363" s="617" t="s">
        <v>2911</v>
      </c>
      <c r="E363" s="617" t="s">
        <v>3692</v>
      </c>
      <c r="F363" s="799">
        <v>50</v>
      </c>
      <c r="G363" s="617" t="s">
        <v>3693</v>
      </c>
      <c r="H363" s="799" t="s">
        <v>1624</v>
      </c>
      <c r="I363" s="617" t="s">
        <v>3692</v>
      </c>
      <c r="J363" s="617" t="s">
        <v>3694</v>
      </c>
      <c r="K363" s="838">
        <v>1</v>
      </c>
      <c r="L363" s="725">
        <v>50</v>
      </c>
      <c r="M363" s="799" t="s">
        <v>1624</v>
      </c>
      <c r="N363" s="799"/>
      <c r="O363" s="725"/>
      <c r="P363" s="617" t="s">
        <v>3692</v>
      </c>
      <c r="Q363" s="617" t="s">
        <v>3695</v>
      </c>
      <c r="R363" s="617">
        <v>100</v>
      </c>
      <c r="S363" s="617">
        <f t="shared" si="210"/>
        <v>50</v>
      </c>
      <c r="T363" s="725">
        <v>100</v>
      </c>
      <c r="U363" s="617">
        <f t="shared" si="389"/>
        <v>100</v>
      </c>
      <c r="V363" s="725">
        <f t="shared" si="353"/>
        <v>100</v>
      </c>
      <c r="W363" s="617" t="s">
        <v>3694</v>
      </c>
      <c r="X363" s="725">
        <f t="shared" si="323"/>
        <v>100</v>
      </c>
      <c r="Y363" s="725">
        <f t="shared" ref="Y363:AA363" si="406">X363</f>
        <v>100</v>
      </c>
      <c r="Z363" s="725">
        <f t="shared" si="406"/>
        <v>100</v>
      </c>
      <c r="AA363" s="455">
        <f t="shared" si="406"/>
        <v>100</v>
      </c>
      <c r="AB363" s="793" t="s">
        <v>2632</v>
      </c>
      <c r="AC363" s="799" t="s">
        <v>3696</v>
      </c>
      <c r="AD363" s="799" t="s">
        <v>3697</v>
      </c>
      <c r="AE363" s="635">
        <v>4.0165275294130297E-3</v>
      </c>
      <c r="AF363" s="635">
        <v>3.2725331200335404E-2</v>
      </c>
      <c r="AG363" s="635">
        <v>2.4399999999999999E-4</v>
      </c>
      <c r="AH363" s="635">
        <v>2.0392735E-3</v>
      </c>
    </row>
    <row r="364" spans="1:34" ht="12.75">
      <c r="A364" s="617" t="s">
        <v>3698</v>
      </c>
      <c r="B364" s="799" t="s">
        <v>2630</v>
      </c>
      <c r="C364" s="617" t="s">
        <v>2633</v>
      </c>
      <c r="D364" s="617" t="s">
        <v>2911</v>
      </c>
      <c r="E364" s="617" t="s">
        <v>139</v>
      </c>
      <c r="F364" s="799">
        <v>50</v>
      </c>
      <c r="G364" s="617" t="s">
        <v>3693</v>
      </c>
      <c r="H364" s="799">
        <v>1123</v>
      </c>
      <c r="I364" s="617" t="s">
        <v>139</v>
      </c>
      <c r="J364" s="617" t="s">
        <v>3699</v>
      </c>
      <c r="K364" s="838">
        <v>1</v>
      </c>
      <c r="L364" s="725">
        <v>50</v>
      </c>
      <c r="M364" s="799">
        <v>1123</v>
      </c>
      <c r="N364" s="799"/>
      <c r="O364" s="725"/>
      <c r="P364" s="617" t="s">
        <v>3700</v>
      </c>
      <c r="Q364" s="617" t="s">
        <v>3701</v>
      </c>
      <c r="R364" s="617">
        <v>100</v>
      </c>
      <c r="S364" s="617">
        <f t="shared" si="210"/>
        <v>50</v>
      </c>
      <c r="T364" s="725">
        <v>100</v>
      </c>
      <c r="U364" s="617">
        <f t="shared" si="389"/>
        <v>100</v>
      </c>
      <c r="V364" s="725">
        <f t="shared" si="353"/>
        <v>100</v>
      </c>
      <c r="W364" s="617" t="s">
        <v>3699</v>
      </c>
      <c r="X364" s="725">
        <f t="shared" si="323"/>
        <v>100</v>
      </c>
      <c r="Y364" s="725">
        <f t="shared" ref="Y364:AA364" si="407">X364</f>
        <v>100</v>
      </c>
      <c r="Z364" s="725">
        <f t="shared" si="407"/>
        <v>100</v>
      </c>
      <c r="AA364" s="455">
        <f t="shared" si="407"/>
        <v>100</v>
      </c>
      <c r="AB364" s="793" t="s">
        <v>139</v>
      </c>
      <c r="AC364" s="799" t="s">
        <v>138</v>
      </c>
      <c r="AD364" s="799" t="s">
        <v>3019</v>
      </c>
      <c r="AE364" s="635">
        <v>4.0165275294130297E-3</v>
      </c>
      <c r="AF364" s="635">
        <v>3.2725331200335404E-2</v>
      </c>
      <c r="AG364" s="635">
        <v>2.4399999999999999E-4</v>
      </c>
      <c r="AH364" s="635">
        <v>2.0392735E-3</v>
      </c>
    </row>
    <row r="365" spans="1:34" ht="12.75">
      <c r="A365" s="14" t="s">
        <v>3702</v>
      </c>
      <c r="B365" s="13" t="s">
        <v>2630</v>
      </c>
      <c r="C365" s="14" t="s">
        <v>2634</v>
      </c>
      <c r="D365" s="14" t="s">
        <v>2911</v>
      </c>
      <c r="E365" s="14" t="s">
        <v>3703</v>
      </c>
      <c r="F365" s="13">
        <v>46.05</v>
      </c>
      <c r="G365" s="14" t="s">
        <v>3704</v>
      </c>
      <c r="H365" s="13">
        <v>7022</v>
      </c>
      <c r="I365" s="135" t="s">
        <v>3703</v>
      </c>
      <c r="J365" s="135" t="s">
        <v>3705</v>
      </c>
      <c r="K365" s="475">
        <v>0.79</v>
      </c>
      <c r="L365" s="476">
        <v>35.549999999999997</v>
      </c>
      <c r="M365" s="492" t="s">
        <v>3706</v>
      </c>
      <c r="N365" s="492"/>
      <c r="O365" s="494"/>
      <c r="P365" s="135" t="s">
        <v>3703</v>
      </c>
      <c r="Q365" s="135" t="s">
        <v>3707</v>
      </c>
      <c r="R365" s="135">
        <v>100</v>
      </c>
      <c r="S365" s="135">
        <f t="shared" si="210"/>
        <v>35.549999999999997</v>
      </c>
      <c r="T365" s="476">
        <v>100</v>
      </c>
      <c r="U365" s="135">
        <f t="shared" si="389"/>
        <v>100</v>
      </c>
      <c r="V365" s="476">
        <f t="shared" si="353"/>
        <v>100</v>
      </c>
      <c r="W365" s="135" t="s">
        <v>370</v>
      </c>
      <c r="X365" s="14">
        <f>U365*K365</f>
        <v>79</v>
      </c>
      <c r="Y365" s="220">
        <f>SUM(X365,X366,X377)</f>
        <v>83.625316455696193</v>
      </c>
      <c r="Z365" s="220">
        <f t="shared" ref="Z365:AA365" si="408">Y365</f>
        <v>83.625316455696193</v>
      </c>
      <c r="AA365" s="792">
        <f t="shared" si="408"/>
        <v>83.625316455696193</v>
      </c>
      <c r="AB365" s="18" t="s">
        <v>373</v>
      </c>
      <c r="AC365" s="13" t="s">
        <v>370</v>
      </c>
      <c r="AD365" s="13" t="s">
        <v>3708</v>
      </c>
      <c r="AE365" s="12">
        <v>0.68162031746031748</v>
      </c>
      <c r="AF365" s="12">
        <v>0.81774904761904776</v>
      </c>
      <c r="AG365" s="12">
        <v>7.6374403174603181E-3</v>
      </c>
      <c r="AH365" s="12">
        <v>2.7995230732492413E-2</v>
      </c>
    </row>
    <row r="366" spans="1:34" ht="12.75">
      <c r="A366" s="14" t="s">
        <v>3702</v>
      </c>
      <c r="B366" s="24" t="s">
        <v>2630</v>
      </c>
      <c r="C366" s="14" t="s">
        <v>2634</v>
      </c>
      <c r="D366" s="14" t="s">
        <v>2911</v>
      </c>
      <c r="E366" s="14" t="s">
        <v>3703</v>
      </c>
      <c r="F366" s="13">
        <v>46.05</v>
      </c>
      <c r="G366" s="14" t="s">
        <v>3704</v>
      </c>
      <c r="H366" s="13">
        <v>7022</v>
      </c>
      <c r="I366" s="14" t="s">
        <v>3709</v>
      </c>
      <c r="J366" s="14" t="s">
        <v>3710</v>
      </c>
      <c r="K366" s="478">
        <v>0.21</v>
      </c>
      <c r="L366" s="220">
        <v>10.5</v>
      </c>
      <c r="M366" s="473" t="s">
        <v>3711</v>
      </c>
      <c r="N366" s="473"/>
      <c r="O366" s="473" t="s">
        <v>3712</v>
      </c>
      <c r="P366" s="14" t="s">
        <v>370</v>
      </c>
      <c r="Q366" s="14" t="s">
        <v>3713</v>
      </c>
      <c r="R366" s="14">
        <v>8.5</v>
      </c>
      <c r="S366" s="14">
        <f t="shared" si="210"/>
        <v>0.89250000000000007</v>
      </c>
      <c r="T366" s="220">
        <f>SUM(R366:R377)</f>
        <v>95.5</v>
      </c>
      <c r="U366" s="14">
        <f t="shared" ref="U366:U377" si="409">R366*100/T366</f>
        <v>8.9005235602094235</v>
      </c>
      <c r="V366" s="220">
        <f>U366*100/SUM(U366:U367,U370:U377)</f>
        <v>21.518987341772156</v>
      </c>
      <c r="W366" s="14" t="s">
        <v>370</v>
      </c>
      <c r="X366" s="14">
        <f t="shared" ref="X366:X462" si="410">V366*K366</f>
        <v>4.5189873417721529</v>
      </c>
      <c r="Y366" s="220" t="s">
        <v>1666</v>
      </c>
      <c r="Z366" s="220" t="str">
        <f t="shared" ref="Z366:AH366" si="411">Y366</f>
        <v>*</v>
      </c>
      <c r="AA366" s="792" t="str">
        <f t="shared" si="411"/>
        <v>*</v>
      </c>
      <c r="AB366" s="458" t="str">
        <f t="shared" si="411"/>
        <v>*</v>
      </c>
      <c r="AC366" s="497" t="str">
        <f t="shared" si="411"/>
        <v>*</v>
      </c>
      <c r="AD366" s="497" t="str">
        <f t="shared" si="411"/>
        <v>*</v>
      </c>
      <c r="AE366" s="454" t="str">
        <f t="shared" si="411"/>
        <v>*</v>
      </c>
      <c r="AF366" s="454" t="str">
        <f t="shared" si="411"/>
        <v>*</v>
      </c>
      <c r="AG366" s="454" t="str">
        <f t="shared" si="411"/>
        <v>*</v>
      </c>
      <c r="AH366" s="454" t="str">
        <f t="shared" si="411"/>
        <v>*</v>
      </c>
    </row>
    <row r="367" spans="1:34" ht="12.75">
      <c r="A367" s="14" t="s">
        <v>3702</v>
      </c>
      <c r="B367" s="24" t="s">
        <v>2630</v>
      </c>
      <c r="C367" s="14" t="s">
        <v>2634</v>
      </c>
      <c r="D367" s="14" t="s">
        <v>2911</v>
      </c>
      <c r="E367" s="14" t="s">
        <v>3703</v>
      </c>
      <c r="F367" s="13">
        <v>46.05</v>
      </c>
      <c r="G367" s="14" t="s">
        <v>3704</v>
      </c>
      <c r="H367" s="13">
        <v>7022</v>
      </c>
      <c r="I367" s="14" t="s">
        <v>3709</v>
      </c>
      <c r="J367" s="14" t="s">
        <v>3710</v>
      </c>
      <c r="K367" s="478">
        <v>0.21</v>
      </c>
      <c r="L367" s="220">
        <v>10.5</v>
      </c>
      <c r="M367" s="473" t="s">
        <v>3711</v>
      </c>
      <c r="N367" s="473"/>
      <c r="O367" s="473" t="s">
        <v>3712</v>
      </c>
      <c r="P367" s="14" t="s">
        <v>379</v>
      </c>
      <c r="Q367" s="14" t="s">
        <v>3714</v>
      </c>
      <c r="R367" s="14">
        <v>8.5</v>
      </c>
      <c r="S367" s="14">
        <f t="shared" si="210"/>
        <v>0.89250000000000007</v>
      </c>
      <c r="T367" s="220">
        <f>SUM(R366:R377)</f>
        <v>95.5</v>
      </c>
      <c r="U367" s="14">
        <f t="shared" si="409"/>
        <v>8.9005235602094235</v>
      </c>
      <c r="V367" s="220">
        <f>U367*100/SUM(U366:U367,U370:U377)</f>
        <v>21.518987341772156</v>
      </c>
      <c r="W367" s="14" t="s">
        <v>379</v>
      </c>
      <c r="X367" s="14">
        <f t="shared" si="410"/>
        <v>4.5189873417721529</v>
      </c>
      <c r="Y367" s="220">
        <f t="shared" ref="Y367:AA367" si="412">X367</f>
        <v>4.5189873417721529</v>
      </c>
      <c r="Z367" s="220">
        <f t="shared" si="412"/>
        <v>4.5189873417721529</v>
      </c>
      <c r="AA367" s="792">
        <f t="shared" si="412"/>
        <v>4.5189873417721529</v>
      </c>
      <c r="AB367" s="18" t="s">
        <v>379</v>
      </c>
      <c r="AC367" s="13" t="s">
        <v>3481</v>
      </c>
      <c r="AD367" s="13" t="s">
        <v>3482</v>
      </c>
      <c r="AE367" s="12">
        <v>1.4413766233766232E-2</v>
      </c>
      <c r="AF367" s="12">
        <v>0.11750233766233766</v>
      </c>
      <c r="AG367" s="12">
        <v>5.1116805194805187E-4</v>
      </c>
      <c r="AH367" s="12">
        <v>7.1006085221503486E-3</v>
      </c>
    </row>
    <row r="368" spans="1:34" ht="12.75">
      <c r="A368" s="14" t="s">
        <v>3702</v>
      </c>
      <c r="B368" s="24" t="s">
        <v>2630</v>
      </c>
      <c r="C368" s="14" t="s">
        <v>2634</v>
      </c>
      <c r="D368" s="14" t="s">
        <v>2911</v>
      </c>
      <c r="E368" s="14" t="s">
        <v>3703</v>
      </c>
      <c r="F368" s="13">
        <v>46.05</v>
      </c>
      <c r="G368" s="14" t="s">
        <v>3704</v>
      </c>
      <c r="H368" s="13">
        <v>7022</v>
      </c>
      <c r="I368" s="14" t="s">
        <v>3709</v>
      </c>
      <c r="J368" s="14" t="s">
        <v>3710</v>
      </c>
      <c r="K368" s="478">
        <v>0.21</v>
      </c>
      <c r="L368" s="220">
        <v>10.5</v>
      </c>
      <c r="M368" s="473" t="s">
        <v>3711</v>
      </c>
      <c r="N368" s="473"/>
      <c r="O368" s="473" t="s">
        <v>3712</v>
      </c>
      <c r="P368" s="14" t="s">
        <v>2938</v>
      </c>
      <c r="Q368" s="435" t="s">
        <v>2939</v>
      </c>
      <c r="R368" s="14">
        <v>28</v>
      </c>
      <c r="S368" s="14">
        <f t="shared" si="210"/>
        <v>2.9400000000000004</v>
      </c>
      <c r="T368" s="220">
        <f>SUM(R366:R377)</f>
        <v>95.5</v>
      </c>
      <c r="U368" s="14">
        <f t="shared" si="409"/>
        <v>29.319371727748692</v>
      </c>
      <c r="V368" s="481">
        <f t="shared" ref="V368:V369" si="413">U368</f>
        <v>29.319371727748692</v>
      </c>
      <c r="W368" s="482" t="s">
        <v>72</v>
      </c>
      <c r="X368" s="482">
        <f t="shared" si="410"/>
        <v>6.157068062827225</v>
      </c>
      <c r="Y368" s="481">
        <f>SUM(X368:X369)</f>
        <v>12.31413612565445</v>
      </c>
      <c r="Z368" s="481">
        <f t="shared" ref="Z368:Z369" si="414">Y368</f>
        <v>12.31413612565445</v>
      </c>
      <c r="AA368" s="796">
        <f>Y368</f>
        <v>12.31413612565445</v>
      </c>
      <c r="AB368" s="456" t="s">
        <v>72</v>
      </c>
      <c r="AC368" s="469" t="s">
        <v>2938</v>
      </c>
      <c r="AD368" s="469" t="s">
        <v>2940</v>
      </c>
      <c r="AE368" s="457">
        <v>0</v>
      </c>
      <c r="AF368" s="457">
        <v>0</v>
      </c>
      <c r="AG368" s="457">
        <v>0</v>
      </c>
      <c r="AH368" s="457">
        <v>0</v>
      </c>
    </row>
    <row r="369" spans="1:34" ht="12.75">
      <c r="A369" s="14" t="s">
        <v>3702</v>
      </c>
      <c r="B369" s="24" t="s">
        <v>2630</v>
      </c>
      <c r="C369" s="14" t="s">
        <v>2634</v>
      </c>
      <c r="D369" s="14" t="s">
        <v>2911</v>
      </c>
      <c r="E369" s="14" t="s">
        <v>3703</v>
      </c>
      <c r="F369" s="13">
        <v>46.05</v>
      </c>
      <c r="G369" s="14" t="s">
        <v>3704</v>
      </c>
      <c r="H369" s="13">
        <v>7022</v>
      </c>
      <c r="I369" s="14" t="s">
        <v>3709</v>
      </c>
      <c r="J369" s="14" t="s">
        <v>3710</v>
      </c>
      <c r="K369" s="478">
        <v>0.21</v>
      </c>
      <c r="L369" s="220">
        <v>10.5</v>
      </c>
      <c r="M369" s="473" t="s">
        <v>3711</v>
      </c>
      <c r="N369" s="473"/>
      <c r="O369" s="473" t="s">
        <v>3712</v>
      </c>
      <c r="P369" s="14" t="s">
        <v>2938</v>
      </c>
      <c r="Q369" s="435" t="s">
        <v>2939</v>
      </c>
      <c r="R369" s="14">
        <v>28</v>
      </c>
      <c r="S369" s="14">
        <f t="shared" si="210"/>
        <v>2.9400000000000004</v>
      </c>
      <c r="T369" s="220">
        <f>SUM(R366:R377)</f>
        <v>95.5</v>
      </c>
      <c r="U369" s="14">
        <f t="shared" si="409"/>
        <v>29.319371727748692</v>
      </c>
      <c r="V369" s="481">
        <f t="shared" si="413"/>
        <v>29.319371727748692</v>
      </c>
      <c r="W369" s="482" t="s">
        <v>72</v>
      </c>
      <c r="X369" s="482">
        <f t="shared" si="410"/>
        <v>6.157068062827225</v>
      </c>
      <c r="Y369" s="220" t="s">
        <v>1666</v>
      </c>
      <c r="Z369" s="220" t="str">
        <f t="shared" si="414"/>
        <v>*</v>
      </c>
      <c r="AA369" s="792" t="str">
        <f t="shared" ref="AA369:AH369" si="415">Z369</f>
        <v>*</v>
      </c>
      <c r="AB369" s="458" t="str">
        <f t="shared" si="415"/>
        <v>*</v>
      </c>
      <c r="AC369" s="497" t="str">
        <f t="shared" si="415"/>
        <v>*</v>
      </c>
      <c r="AD369" s="497" t="str">
        <f t="shared" si="415"/>
        <v>*</v>
      </c>
      <c r="AE369" s="454" t="str">
        <f t="shared" si="415"/>
        <v>*</v>
      </c>
      <c r="AF369" s="454" t="str">
        <f t="shared" si="415"/>
        <v>*</v>
      </c>
      <c r="AG369" s="454" t="str">
        <f t="shared" si="415"/>
        <v>*</v>
      </c>
      <c r="AH369" s="454" t="str">
        <f t="shared" si="415"/>
        <v>*</v>
      </c>
    </row>
    <row r="370" spans="1:34" ht="12.75">
      <c r="A370" s="14" t="s">
        <v>3702</v>
      </c>
      <c r="B370" s="24" t="s">
        <v>2630</v>
      </c>
      <c r="C370" s="14" t="s">
        <v>2634</v>
      </c>
      <c r="D370" s="14" t="s">
        <v>2911</v>
      </c>
      <c r="E370" s="14" t="s">
        <v>3703</v>
      </c>
      <c r="F370" s="13">
        <v>46.05</v>
      </c>
      <c r="G370" s="14" t="s">
        <v>3704</v>
      </c>
      <c r="H370" s="13">
        <v>7022</v>
      </c>
      <c r="I370" s="14" t="s">
        <v>3709</v>
      </c>
      <c r="J370" s="14" t="s">
        <v>3710</v>
      </c>
      <c r="K370" s="478">
        <v>0.21</v>
      </c>
      <c r="L370" s="220">
        <v>10.5</v>
      </c>
      <c r="M370" s="473" t="s">
        <v>3711</v>
      </c>
      <c r="N370" s="473"/>
      <c r="O370" s="473" t="s">
        <v>3712</v>
      </c>
      <c r="P370" s="14" t="s">
        <v>3715</v>
      </c>
      <c r="Q370" s="486" t="s">
        <v>3716</v>
      </c>
      <c r="R370" s="14">
        <v>2</v>
      </c>
      <c r="S370" s="14">
        <f t="shared" si="210"/>
        <v>0.21</v>
      </c>
      <c r="T370" s="220">
        <f>SUM(R366:R377)</f>
        <v>95.5</v>
      </c>
      <c r="U370" s="14">
        <f t="shared" si="409"/>
        <v>2.0942408376963351</v>
      </c>
      <c r="V370" s="220">
        <f>U370*100/SUM(U366:U367,U370:U377)</f>
        <v>5.0632911392405076</v>
      </c>
      <c r="W370" s="14" t="s">
        <v>3717</v>
      </c>
      <c r="X370" s="14">
        <f t="shared" si="410"/>
        <v>1.0632911392405064</v>
      </c>
      <c r="Y370" s="499">
        <f t="shared" ref="Y370:Y371" si="416">X370</f>
        <v>1.0632911392405064</v>
      </c>
      <c r="Z370" s="220">
        <f>X370</f>
        <v>1.0632911392405064</v>
      </c>
      <c r="AA370" s="792">
        <f>Z370</f>
        <v>1.0632911392405064</v>
      </c>
      <c r="AB370" s="809" t="s">
        <v>2635</v>
      </c>
      <c r="AC370" s="511" t="s">
        <v>3174</v>
      </c>
      <c r="AD370" s="511" t="s">
        <v>3174</v>
      </c>
      <c r="AE370" s="461">
        <v>2.2073766211046637E-2</v>
      </c>
      <c r="AF370" s="461">
        <v>8.7246004352723297E-2</v>
      </c>
      <c r="AG370" s="461">
        <v>5.8202330775582959E-4</v>
      </c>
      <c r="AH370" s="461">
        <v>2.670351142205461E-3</v>
      </c>
    </row>
    <row r="371" spans="1:34" ht="12.75">
      <c r="A371" s="14" t="s">
        <v>3702</v>
      </c>
      <c r="B371" s="24" t="s">
        <v>2630</v>
      </c>
      <c r="C371" s="14" t="s">
        <v>2634</v>
      </c>
      <c r="D371" s="14" t="s">
        <v>2911</v>
      </c>
      <c r="E371" s="14" t="s">
        <v>3703</v>
      </c>
      <c r="F371" s="13">
        <v>46.05</v>
      </c>
      <c r="G371" s="14" t="s">
        <v>3704</v>
      </c>
      <c r="H371" s="13">
        <v>7022</v>
      </c>
      <c r="I371" s="14" t="s">
        <v>3709</v>
      </c>
      <c r="J371" s="14" t="s">
        <v>3710</v>
      </c>
      <c r="K371" s="478">
        <v>0.21</v>
      </c>
      <c r="L371" s="220">
        <v>10.5</v>
      </c>
      <c r="M371" s="473" t="s">
        <v>3711</v>
      </c>
      <c r="N371" s="473"/>
      <c r="O371" s="473" t="s">
        <v>3712</v>
      </c>
      <c r="P371" s="14" t="s">
        <v>360</v>
      </c>
      <c r="Q371" s="14" t="s">
        <v>3718</v>
      </c>
      <c r="R371" s="14">
        <v>9</v>
      </c>
      <c r="S371" s="14">
        <f t="shared" si="210"/>
        <v>0.94499999999999995</v>
      </c>
      <c r="T371" s="220">
        <f>SUM(R366:R377)</f>
        <v>95.5</v>
      </c>
      <c r="U371" s="14">
        <f t="shared" si="409"/>
        <v>9.4240837696335085</v>
      </c>
      <c r="V371" s="220">
        <f>U371*100/SUM(U366:U367,U370:U377)</f>
        <v>22.784810126582286</v>
      </c>
      <c r="W371" s="14" t="s">
        <v>360</v>
      </c>
      <c r="X371" s="14">
        <f t="shared" si="410"/>
        <v>4.78481012658228</v>
      </c>
      <c r="Y371" s="220">
        <f t="shared" si="416"/>
        <v>4.78481012658228</v>
      </c>
      <c r="Z371" s="220">
        <f t="shared" ref="Z371:AA371" si="417">Y371</f>
        <v>4.78481012658228</v>
      </c>
      <c r="AA371" s="792">
        <f t="shared" si="417"/>
        <v>4.78481012658228</v>
      </c>
      <c r="AB371" s="18" t="s">
        <v>360</v>
      </c>
      <c r="AC371" s="13" t="s">
        <v>18</v>
      </c>
      <c r="AD371" s="13" t="s">
        <v>18</v>
      </c>
      <c r="AE371" s="12">
        <v>1.284515625E-2</v>
      </c>
      <c r="AF371" s="12">
        <v>0.10467703125</v>
      </c>
      <c r="AG371" s="12">
        <v>4.5535921875000006E-4</v>
      </c>
      <c r="AH371" s="12">
        <v>7.1653738381629306E-3</v>
      </c>
    </row>
    <row r="372" spans="1:34" ht="12.75">
      <c r="A372" s="14" t="s">
        <v>3702</v>
      </c>
      <c r="B372" s="24" t="s">
        <v>2630</v>
      </c>
      <c r="C372" s="14" t="s">
        <v>2634</v>
      </c>
      <c r="D372" s="14" t="s">
        <v>2911</v>
      </c>
      <c r="E372" s="14" t="s">
        <v>3703</v>
      </c>
      <c r="F372" s="13">
        <v>46.05</v>
      </c>
      <c r="G372" s="14" t="s">
        <v>3704</v>
      </c>
      <c r="H372" s="13">
        <v>7022</v>
      </c>
      <c r="I372" s="14" t="s">
        <v>3709</v>
      </c>
      <c r="J372" s="14" t="s">
        <v>3710</v>
      </c>
      <c r="K372" s="478">
        <v>0.21</v>
      </c>
      <c r="L372" s="220">
        <v>10.5</v>
      </c>
      <c r="M372" s="473" t="s">
        <v>3711</v>
      </c>
      <c r="N372" s="473"/>
      <c r="O372" s="473" t="s">
        <v>3712</v>
      </c>
      <c r="P372" s="655" t="s">
        <v>2977</v>
      </c>
      <c r="Q372" s="486" t="s">
        <v>2978</v>
      </c>
      <c r="R372" s="14">
        <v>4</v>
      </c>
      <c r="S372" s="14">
        <f t="shared" si="210"/>
        <v>0.42</v>
      </c>
      <c r="T372" s="220">
        <f>SUM(R366:R377)</f>
        <v>95.5</v>
      </c>
      <c r="U372" s="14">
        <f t="shared" si="409"/>
        <v>4.1884816753926701</v>
      </c>
      <c r="V372" s="220">
        <f>U372*100/SUM(U366:U367,U370:U377)</f>
        <v>10.126582278481015</v>
      </c>
      <c r="W372" s="14" t="s">
        <v>227</v>
      </c>
      <c r="X372" s="14">
        <f t="shared" si="410"/>
        <v>2.1265822784810129</v>
      </c>
      <c r="Y372" s="220">
        <f>SUM(X372:X373)</f>
        <v>3.349367088607595</v>
      </c>
      <c r="Z372" s="220">
        <f t="shared" ref="Z372:Z373" si="418">X372</f>
        <v>2.1265822784810129</v>
      </c>
      <c r="AA372" s="792">
        <f t="shared" ref="AA372:AA373" si="419">Z372</f>
        <v>2.1265822784810129</v>
      </c>
      <c r="AB372" s="18" t="s">
        <v>227</v>
      </c>
      <c r="AC372" s="13" t="s">
        <v>55</v>
      </c>
      <c r="AD372" s="13" t="s">
        <v>2979</v>
      </c>
      <c r="AE372" s="12">
        <v>2.5055367220000002E-3</v>
      </c>
      <c r="AF372" s="12">
        <v>3.8459841414181101E-2</v>
      </c>
      <c r="AG372" s="12">
        <v>1.1035422343324251E-4</v>
      </c>
      <c r="AH372" s="12">
        <v>8.109653861711444E-4</v>
      </c>
    </row>
    <row r="373" spans="1:34" ht="12.75">
      <c r="A373" s="14" t="s">
        <v>3702</v>
      </c>
      <c r="B373" s="24" t="s">
        <v>2630</v>
      </c>
      <c r="C373" s="14" t="s">
        <v>2634</v>
      </c>
      <c r="D373" s="14" t="s">
        <v>2911</v>
      </c>
      <c r="E373" s="14" t="s">
        <v>3703</v>
      </c>
      <c r="F373" s="13">
        <v>46.05</v>
      </c>
      <c r="G373" s="14" t="s">
        <v>3704</v>
      </c>
      <c r="H373" s="13">
        <v>7022</v>
      </c>
      <c r="I373" s="14" t="s">
        <v>3709</v>
      </c>
      <c r="J373" s="14" t="s">
        <v>3710</v>
      </c>
      <c r="K373" s="478">
        <v>0.21</v>
      </c>
      <c r="L373" s="220">
        <v>10.5</v>
      </c>
      <c r="M373" s="473" t="s">
        <v>3711</v>
      </c>
      <c r="N373" s="473"/>
      <c r="O373" s="473" t="s">
        <v>3712</v>
      </c>
      <c r="P373" s="14" t="s">
        <v>2962</v>
      </c>
      <c r="Q373" s="14" t="s">
        <v>2963</v>
      </c>
      <c r="R373" s="14">
        <v>2.2999999999999998</v>
      </c>
      <c r="S373" s="14">
        <f t="shared" si="210"/>
        <v>0.24149999999999999</v>
      </c>
      <c r="T373" s="220">
        <f>SUM(R366:R377)</f>
        <v>95.5</v>
      </c>
      <c r="U373" s="14">
        <f t="shared" si="409"/>
        <v>2.408376963350785</v>
      </c>
      <c r="V373" s="220">
        <f>U373*100/SUM(U366:U367,U370:U377)</f>
        <v>5.8227848101265831</v>
      </c>
      <c r="W373" s="14" t="s">
        <v>425</v>
      </c>
      <c r="X373" s="14">
        <f t="shared" si="410"/>
        <v>1.2227848101265824</v>
      </c>
      <c r="Y373" s="220" t="s">
        <v>1624</v>
      </c>
      <c r="Z373" s="220">
        <f t="shared" si="418"/>
        <v>1.2227848101265824</v>
      </c>
      <c r="AA373" s="792">
        <f t="shared" si="419"/>
        <v>1.2227848101265824</v>
      </c>
      <c r="AB373" s="18" t="s">
        <v>425</v>
      </c>
      <c r="AC373" s="13" t="s">
        <v>2964</v>
      </c>
      <c r="AD373" s="13" t="s">
        <v>2965</v>
      </c>
      <c r="AE373" s="12">
        <v>3.8102374934982654E-3</v>
      </c>
      <c r="AF373" s="12">
        <v>0.20470422547079484</v>
      </c>
      <c r="AG373" s="12">
        <v>1.210810810810811E-4</v>
      </c>
      <c r="AH373" s="12">
        <v>1.0002400855855065E-3</v>
      </c>
    </row>
    <row r="374" spans="1:34" ht="12.75">
      <c r="A374" s="14" t="s">
        <v>3702</v>
      </c>
      <c r="B374" s="24" t="s">
        <v>2630</v>
      </c>
      <c r="C374" s="14" t="s">
        <v>2634</v>
      </c>
      <c r="D374" s="14" t="s">
        <v>2911</v>
      </c>
      <c r="E374" s="14" t="s">
        <v>3703</v>
      </c>
      <c r="F374" s="13">
        <v>46.05</v>
      </c>
      <c r="G374" s="14" t="s">
        <v>3704</v>
      </c>
      <c r="H374" s="13">
        <v>7022</v>
      </c>
      <c r="I374" s="14" t="s">
        <v>3709</v>
      </c>
      <c r="J374" s="14" t="s">
        <v>3710</v>
      </c>
      <c r="K374" s="478">
        <v>0.21</v>
      </c>
      <c r="L374" s="220">
        <v>10.5</v>
      </c>
      <c r="M374" s="473" t="s">
        <v>3711</v>
      </c>
      <c r="N374" s="473"/>
      <c r="O374" s="473" t="s">
        <v>3712</v>
      </c>
      <c r="P374" s="14" t="s">
        <v>2945</v>
      </c>
      <c r="Q374" s="14" t="s">
        <v>2946</v>
      </c>
      <c r="R374" s="14">
        <v>2</v>
      </c>
      <c r="S374" s="14">
        <f t="shared" si="210"/>
        <v>0.21</v>
      </c>
      <c r="T374" s="220">
        <f>SUM(R366:R377)</f>
        <v>95.5</v>
      </c>
      <c r="U374" s="14">
        <f t="shared" si="409"/>
        <v>2.0942408376963351</v>
      </c>
      <c r="V374" s="220">
        <f>U374*100/SUM(U366:U367,U370:U377)</f>
        <v>5.0632911392405076</v>
      </c>
      <c r="W374" s="14" t="s">
        <v>433</v>
      </c>
      <c r="X374" s="14">
        <f t="shared" si="410"/>
        <v>1.0632911392405064</v>
      </c>
      <c r="Y374" s="499">
        <f t="shared" ref="Y374:AA374" si="420">X374</f>
        <v>1.0632911392405064</v>
      </c>
      <c r="Z374" s="220">
        <f t="shared" si="420"/>
        <v>1.0632911392405064</v>
      </c>
      <c r="AA374" s="792">
        <f t="shared" si="420"/>
        <v>1.0632911392405064</v>
      </c>
      <c r="AB374" s="18" t="s">
        <v>433</v>
      </c>
      <c r="AC374" s="13" t="s">
        <v>433</v>
      </c>
      <c r="AD374" s="13" t="s">
        <v>2947</v>
      </c>
      <c r="AE374" s="12">
        <v>3.0104466724907065E-4</v>
      </c>
      <c r="AF374" s="12">
        <v>1.2500000000000001E-2</v>
      </c>
      <c r="AG374" s="12">
        <v>5.1818181818181835E-4</v>
      </c>
      <c r="AH374" s="12">
        <v>4.0084080366977777E-4</v>
      </c>
    </row>
    <row r="375" spans="1:34" ht="12.75">
      <c r="A375" s="14" t="s">
        <v>3702</v>
      </c>
      <c r="B375" s="24" t="s">
        <v>2630</v>
      </c>
      <c r="C375" s="14" t="s">
        <v>2634</v>
      </c>
      <c r="D375" s="14" t="s">
        <v>2911</v>
      </c>
      <c r="E375" s="14" t="s">
        <v>3703</v>
      </c>
      <c r="F375" s="13">
        <v>46.05</v>
      </c>
      <c r="G375" s="14" t="s">
        <v>3704</v>
      </c>
      <c r="H375" s="13">
        <v>7022</v>
      </c>
      <c r="I375" s="14" t="s">
        <v>3709</v>
      </c>
      <c r="J375" s="14" t="s">
        <v>3710</v>
      </c>
      <c r="K375" s="478">
        <v>0.21</v>
      </c>
      <c r="L375" s="220">
        <v>10.5</v>
      </c>
      <c r="M375" s="473" t="s">
        <v>3711</v>
      </c>
      <c r="N375" s="473"/>
      <c r="O375" s="473" t="s">
        <v>3712</v>
      </c>
      <c r="P375" s="14" t="s">
        <v>3483</v>
      </c>
      <c r="Q375" s="14" t="s">
        <v>3719</v>
      </c>
      <c r="R375" s="14">
        <v>2</v>
      </c>
      <c r="S375" s="14">
        <f t="shared" si="210"/>
        <v>0.21</v>
      </c>
      <c r="T375" s="220">
        <f>SUM(R366:R377)</f>
        <v>95.5</v>
      </c>
      <c r="U375" s="14">
        <f t="shared" si="409"/>
        <v>2.0942408376963351</v>
      </c>
      <c r="V375" s="220">
        <f>U375*100/SUM(U366:U367,U370:U377)</f>
        <v>5.0632911392405076</v>
      </c>
      <c r="W375" s="14" t="s">
        <v>3720</v>
      </c>
      <c r="X375" s="14">
        <f t="shared" si="410"/>
        <v>1.0632911392405064</v>
      </c>
      <c r="Y375" s="499">
        <f t="shared" ref="Y375:AA375" si="421">X375</f>
        <v>1.0632911392405064</v>
      </c>
      <c r="Z375" s="220">
        <f t="shared" si="421"/>
        <v>1.0632911392405064</v>
      </c>
      <c r="AA375" s="792">
        <f t="shared" si="421"/>
        <v>1.0632911392405064</v>
      </c>
      <c r="AB375" s="18" t="s">
        <v>301</v>
      </c>
      <c r="AC375" s="13" t="s">
        <v>3485</v>
      </c>
      <c r="AD375" s="13" t="s">
        <v>2944</v>
      </c>
      <c r="AE375" s="12">
        <v>4.7062756261925113E-3</v>
      </c>
      <c r="AF375" s="12">
        <v>3.8210906557435767E-2</v>
      </c>
      <c r="AG375" s="12">
        <v>7.6086956521739124E-5</v>
      </c>
      <c r="AH375" s="12">
        <v>5.9908272287602653E-4</v>
      </c>
    </row>
    <row r="376" spans="1:34" ht="12.75">
      <c r="A376" s="14" t="s">
        <v>3702</v>
      </c>
      <c r="B376" s="24" t="s">
        <v>2630</v>
      </c>
      <c r="C376" s="14" t="s">
        <v>2634</v>
      </c>
      <c r="D376" s="14" t="s">
        <v>2911</v>
      </c>
      <c r="E376" s="14" t="s">
        <v>3703</v>
      </c>
      <c r="F376" s="13">
        <v>46.05</v>
      </c>
      <c r="G376" s="14" t="s">
        <v>3704</v>
      </c>
      <c r="H376" s="13">
        <v>7022</v>
      </c>
      <c r="I376" s="14" t="s">
        <v>3709</v>
      </c>
      <c r="J376" s="14" t="s">
        <v>3710</v>
      </c>
      <c r="K376" s="478">
        <v>0.21</v>
      </c>
      <c r="L376" s="220">
        <v>10.5</v>
      </c>
      <c r="M376" s="473" t="s">
        <v>3711</v>
      </c>
      <c r="N376" s="473"/>
      <c r="O376" s="473" t="s">
        <v>3712</v>
      </c>
      <c r="P376" s="14" t="s">
        <v>83</v>
      </c>
      <c r="Q376" s="527" t="s">
        <v>3430</v>
      </c>
      <c r="R376" s="14">
        <v>1</v>
      </c>
      <c r="S376" s="14">
        <f t="shared" si="210"/>
        <v>0.105</v>
      </c>
      <c r="T376" s="220">
        <f>SUM(R366:R377)</f>
        <v>95.5</v>
      </c>
      <c r="U376" s="14">
        <f t="shared" si="409"/>
        <v>1.0471204188481675</v>
      </c>
      <c r="V376" s="220">
        <f>U376*100/SUM(U366:U367,U370:U377)</f>
        <v>2.5316455696202538</v>
      </c>
      <c r="W376" s="14" t="s">
        <v>83</v>
      </c>
      <c r="X376" s="14">
        <f t="shared" si="410"/>
        <v>0.53164556962025322</v>
      </c>
      <c r="Y376" s="499">
        <f t="shared" ref="Y376:AA376" si="422">X376</f>
        <v>0.53164556962025322</v>
      </c>
      <c r="Z376" s="220">
        <f t="shared" si="422"/>
        <v>0.53164556962025322</v>
      </c>
      <c r="AA376" s="792">
        <f t="shared" si="422"/>
        <v>0.53164556962025322</v>
      </c>
      <c r="AB376" s="148" t="s">
        <v>83</v>
      </c>
      <c r="AC376" s="14" t="s">
        <v>83</v>
      </c>
      <c r="AD376" s="14" t="s">
        <v>2951</v>
      </c>
      <c r="AE376" s="12">
        <v>0</v>
      </c>
      <c r="AF376" s="12">
        <v>0</v>
      </c>
      <c r="AG376" s="12">
        <v>0</v>
      </c>
      <c r="AH376" s="12">
        <v>0</v>
      </c>
    </row>
    <row r="377" spans="1:34" ht="6" customHeight="1">
      <c r="A377" s="617" t="s">
        <v>3702</v>
      </c>
      <c r="B377" s="794" t="s">
        <v>2630</v>
      </c>
      <c r="C377" s="617" t="s">
        <v>2634</v>
      </c>
      <c r="D377" s="617" t="s">
        <v>2911</v>
      </c>
      <c r="E377" s="617" t="s">
        <v>3703</v>
      </c>
      <c r="F377" s="799">
        <v>46.05</v>
      </c>
      <c r="G377" s="617" t="s">
        <v>3704</v>
      </c>
      <c r="H377" s="799">
        <v>7022</v>
      </c>
      <c r="I377" s="617" t="s">
        <v>3709</v>
      </c>
      <c r="J377" s="617" t="s">
        <v>3710</v>
      </c>
      <c r="K377" s="838">
        <v>0.21</v>
      </c>
      <c r="L377" s="725">
        <v>10.5</v>
      </c>
      <c r="M377" s="850" t="s">
        <v>3711</v>
      </c>
      <c r="N377" s="850"/>
      <c r="O377" s="850" t="s">
        <v>3712</v>
      </c>
      <c r="P377" s="617" t="s">
        <v>370</v>
      </c>
      <c r="Q377" s="617" t="s">
        <v>3713</v>
      </c>
      <c r="R377" s="617">
        <v>0.2</v>
      </c>
      <c r="S377" s="617">
        <f t="shared" si="210"/>
        <v>2.1000000000000001E-2</v>
      </c>
      <c r="T377" s="851">
        <f>SUM(R366:R377)</f>
        <v>95.5</v>
      </c>
      <c r="U377" s="617">
        <f t="shared" si="409"/>
        <v>0.20942408376963351</v>
      </c>
      <c r="V377" s="725">
        <f>U377*100/SUM(U366:U367,U370:U377)</f>
        <v>0.50632911392405067</v>
      </c>
      <c r="W377" s="617" t="s">
        <v>370</v>
      </c>
      <c r="X377" s="617">
        <f t="shared" si="410"/>
        <v>0.10632911392405063</v>
      </c>
      <c r="Y377" s="725" t="s">
        <v>1666</v>
      </c>
      <c r="Z377" s="725" t="str">
        <f t="shared" ref="Z377:AH377" si="423">Y377</f>
        <v>*</v>
      </c>
      <c r="AA377" s="455" t="str">
        <f t="shared" si="423"/>
        <v>*</v>
      </c>
      <c r="AB377" s="821" t="str">
        <f t="shared" si="423"/>
        <v>*</v>
      </c>
      <c r="AC377" s="869" t="str">
        <f t="shared" si="423"/>
        <v>*</v>
      </c>
      <c r="AD377" s="869" t="str">
        <f t="shared" si="423"/>
        <v>*</v>
      </c>
      <c r="AE377" s="808" t="str">
        <f t="shared" si="423"/>
        <v>*</v>
      </c>
      <c r="AF377" s="808" t="str">
        <f t="shared" si="423"/>
        <v>*</v>
      </c>
      <c r="AG377" s="808" t="str">
        <f t="shared" si="423"/>
        <v>*</v>
      </c>
      <c r="AH377" s="808" t="str">
        <f t="shared" si="423"/>
        <v>*</v>
      </c>
    </row>
    <row r="378" spans="1:34" ht="12.75">
      <c r="A378" s="14" t="s">
        <v>3721</v>
      </c>
      <c r="B378" s="24" t="s">
        <v>2630</v>
      </c>
      <c r="C378" s="14" t="s">
        <v>2636</v>
      </c>
      <c r="D378" s="14" t="s">
        <v>2911</v>
      </c>
      <c r="E378" s="14" t="s">
        <v>3722</v>
      </c>
      <c r="F378" s="13">
        <v>50.72</v>
      </c>
      <c r="G378" s="14" t="s">
        <v>3704</v>
      </c>
      <c r="H378" s="13">
        <v>7024</v>
      </c>
      <c r="I378" s="14" t="s">
        <v>3722</v>
      </c>
      <c r="J378" s="14" t="s">
        <v>3723</v>
      </c>
      <c r="K378" s="478">
        <v>0.22</v>
      </c>
      <c r="L378" s="220">
        <v>9.9</v>
      </c>
      <c r="M378" s="473" t="s">
        <v>3724</v>
      </c>
      <c r="N378" s="473"/>
      <c r="O378" s="473" t="s">
        <v>3725</v>
      </c>
      <c r="P378" s="655" t="s">
        <v>3726</v>
      </c>
      <c r="Q378" s="14" t="s">
        <v>3727</v>
      </c>
      <c r="R378" s="14">
        <v>37</v>
      </c>
      <c r="S378" s="14">
        <f t="shared" si="210"/>
        <v>3.6630000000000003</v>
      </c>
      <c r="T378" s="220">
        <f t="shared" ref="T378:T384" si="424">SUM($R$378:$R$384)</f>
        <v>100</v>
      </c>
      <c r="U378" s="14">
        <f t="shared" ref="U378:U393" si="425">R378</f>
        <v>37</v>
      </c>
      <c r="V378" s="220">
        <f>U378*100/SUM(U378:U379,U381:U384)</f>
        <v>56.060606060606062</v>
      </c>
      <c r="W378" s="14" t="s">
        <v>3728</v>
      </c>
      <c r="X378" s="500">
        <f t="shared" si="410"/>
        <v>12.333333333333334</v>
      </c>
      <c r="Y378" s="501">
        <f>SUM(X378:X379)</f>
        <v>18.600000000000001</v>
      </c>
      <c r="Z378" s="501">
        <f t="shared" ref="Z378:Z379" si="426">X378</f>
        <v>12.333333333333334</v>
      </c>
      <c r="AA378" s="792">
        <f t="shared" ref="AA378:AA379" si="427">Z378</f>
        <v>12.333333333333334</v>
      </c>
      <c r="AB378" s="18" t="s">
        <v>2637</v>
      </c>
      <c r="AC378" s="13" t="s">
        <v>3729</v>
      </c>
      <c r="AD378" s="13" t="s">
        <v>3730</v>
      </c>
      <c r="AE378" s="12">
        <v>1.2534820143884892E-2</v>
      </c>
      <c r="AF378" s="12">
        <v>0.10214805755395684</v>
      </c>
      <c r="AG378" s="12">
        <v>4.4435784172661873E-4</v>
      </c>
      <c r="AH378" s="12">
        <v>5.3926064954135577E-3</v>
      </c>
    </row>
    <row r="379" spans="1:34" ht="12.75">
      <c r="A379" s="14" t="s">
        <v>3721</v>
      </c>
      <c r="B379" s="24" t="s">
        <v>2630</v>
      </c>
      <c r="C379" s="14" t="s">
        <v>2636</v>
      </c>
      <c r="D379" s="14" t="s">
        <v>2911</v>
      </c>
      <c r="E379" s="14" t="s">
        <v>3722</v>
      </c>
      <c r="F379" s="13">
        <v>50.72</v>
      </c>
      <c r="G379" s="14" t="s">
        <v>3704</v>
      </c>
      <c r="H379" s="13">
        <v>7024</v>
      </c>
      <c r="I379" s="14" t="s">
        <v>3722</v>
      </c>
      <c r="J379" s="14" t="s">
        <v>3723</v>
      </c>
      <c r="K379" s="478">
        <v>0.22</v>
      </c>
      <c r="L379" s="220">
        <v>9.9</v>
      </c>
      <c r="M379" s="473" t="s">
        <v>3724</v>
      </c>
      <c r="N379" s="473"/>
      <c r="O379" s="473" t="s">
        <v>3725</v>
      </c>
      <c r="P379" s="14" t="s">
        <v>3731</v>
      </c>
      <c r="Q379" s="14" t="s">
        <v>3732</v>
      </c>
      <c r="R379" s="14">
        <v>18.8</v>
      </c>
      <c r="S379" s="14">
        <f t="shared" si="210"/>
        <v>1.8612</v>
      </c>
      <c r="T379" s="220">
        <f t="shared" si="424"/>
        <v>100</v>
      </c>
      <c r="U379" s="14">
        <f t="shared" si="425"/>
        <v>18.8</v>
      </c>
      <c r="V379" s="237">
        <f>U379*100/SUM(U378:U379,U381:U384)</f>
        <v>28.484848484848484</v>
      </c>
      <c r="W379" s="24" t="s">
        <v>3733</v>
      </c>
      <c r="X379" s="500">
        <f t="shared" si="410"/>
        <v>6.2666666666666666</v>
      </c>
      <c r="Y379" s="220" t="s">
        <v>1666</v>
      </c>
      <c r="Z379" s="501">
        <f t="shared" si="426"/>
        <v>6.2666666666666666</v>
      </c>
      <c r="AA379" s="792">
        <f t="shared" si="427"/>
        <v>6.2666666666666666</v>
      </c>
      <c r="AB379" s="18" t="s">
        <v>351</v>
      </c>
      <c r="AC379" s="13" t="str">
        <f t="shared" ref="AC379:AD379" si="428">AB379</f>
        <v>chicken fat</v>
      </c>
      <c r="AD379" s="13" t="str">
        <f t="shared" si="428"/>
        <v>chicken fat</v>
      </c>
      <c r="AE379" s="12">
        <v>1.2534820143884892E-2</v>
      </c>
      <c r="AF379" s="12">
        <v>0.10214805755395684</v>
      </c>
      <c r="AG379" s="12">
        <v>4.4435784172661873E-4</v>
      </c>
      <c r="AH379" s="12">
        <v>5.3926064954135577E-3</v>
      </c>
    </row>
    <row r="380" spans="1:34" ht="12.75">
      <c r="A380" s="14" t="s">
        <v>3721</v>
      </c>
      <c r="B380" s="24" t="s">
        <v>2630</v>
      </c>
      <c r="C380" s="14" t="s">
        <v>2636</v>
      </c>
      <c r="D380" s="14" t="s">
        <v>2911</v>
      </c>
      <c r="E380" s="14" t="s">
        <v>3722</v>
      </c>
      <c r="F380" s="13">
        <v>50.72</v>
      </c>
      <c r="G380" s="14" t="s">
        <v>3704</v>
      </c>
      <c r="H380" s="13">
        <v>7024</v>
      </c>
      <c r="I380" s="14" t="s">
        <v>3722</v>
      </c>
      <c r="J380" s="14" t="s">
        <v>3723</v>
      </c>
      <c r="K380" s="478">
        <v>0.22</v>
      </c>
      <c r="L380" s="220">
        <v>9.9</v>
      </c>
      <c r="M380" s="473" t="s">
        <v>3724</v>
      </c>
      <c r="N380" s="473"/>
      <c r="O380" s="473" t="s">
        <v>3725</v>
      </c>
      <c r="P380" s="14" t="s">
        <v>2938</v>
      </c>
      <c r="Q380" s="435" t="s">
        <v>2939</v>
      </c>
      <c r="R380" s="14">
        <v>34</v>
      </c>
      <c r="S380" s="14">
        <f t="shared" si="210"/>
        <v>3.3660000000000005</v>
      </c>
      <c r="T380" s="220">
        <f t="shared" si="424"/>
        <v>100</v>
      </c>
      <c r="U380" s="14">
        <f t="shared" si="425"/>
        <v>34</v>
      </c>
      <c r="V380" s="481">
        <f>U380</f>
        <v>34</v>
      </c>
      <c r="W380" s="482" t="s">
        <v>72</v>
      </c>
      <c r="X380" s="502">
        <f t="shared" si="410"/>
        <v>7.48</v>
      </c>
      <c r="Y380" s="503">
        <f>SUM(X380,X386,X396,X403,X412)</f>
        <v>39.019178677297347</v>
      </c>
      <c r="Z380" s="503">
        <f t="shared" ref="Z380:AA380" si="429">Y380</f>
        <v>39.019178677297347</v>
      </c>
      <c r="AA380" s="796">
        <f t="shared" si="429"/>
        <v>39.019178677297347</v>
      </c>
      <c r="AB380" s="456" t="s">
        <v>72</v>
      </c>
      <c r="AC380" s="469" t="s">
        <v>2938</v>
      </c>
      <c r="AD380" s="469" t="s">
        <v>2940</v>
      </c>
      <c r="AE380" s="457">
        <v>0</v>
      </c>
      <c r="AF380" s="457">
        <v>0</v>
      </c>
      <c r="AG380" s="457">
        <v>0</v>
      </c>
      <c r="AH380" s="457">
        <v>0</v>
      </c>
    </row>
    <row r="381" spans="1:34" ht="12.75">
      <c r="A381" s="14" t="s">
        <v>3721</v>
      </c>
      <c r="B381" s="24" t="s">
        <v>2630</v>
      </c>
      <c r="C381" s="14" t="s">
        <v>2636</v>
      </c>
      <c r="D381" s="14" t="s">
        <v>2911</v>
      </c>
      <c r="E381" s="14" t="s">
        <v>3722</v>
      </c>
      <c r="F381" s="13">
        <v>50.72</v>
      </c>
      <c r="G381" s="14" t="s">
        <v>3704</v>
      </c>
      <c r="H381" s="13">
        <v>7024</v>
      </c>
      <c r="I381" s="14" t="s">
        <v>3722</v>
      </c>
      <c r="J381" s="14" t="s">
        <v>3723</v>
      </c>
      <c r="K381" s="478">
        <v>0.22</v>
      </c>
      <c r="L381" s="220">
        <v>9.9</v>
      </c>
      <c r="M381" s="473" t="s">
        <v>3724</v>
      </c>
      <c r="N381" s="473"/>
      <c r="O381" s="473" t="s">
        <v>3725</v>
      </c>
      <c r="P381" s="14" t="s">
        <v>2945</v>
      </c>
      <c r="Q381" s="14" t="s">
        <v>2946</v>
      </c>
      <c r="R381" s="14">
        <v>4.5</v>
      </c>
      <c r="S381" s="14">
        <f t="shared" si="210"/>
        <v>0.44550000000000001</v>
      </c>
      <c r="T381" s="220">
        <f t="shared" si="424"/>
        <v>100</v>
      </c>
      <c r="U381" s="14">
        <f t="shared" si="425"/>
        <v>4.5</v>
      </c>
      <c r="V381" s="220">
        <f>U381*100/SUM(U378:U379,U381:U384)</f>
        <v>6.8181818181818183</v>
      </c>
      <c r="W381" s="14" t="s">
        <v>433</v>
      </c>
      <c r="X381" s="500">
        <f t="shared" si="410"/>
        <v>1.5</v>
      </c>
      <c r="Y381" s="501">
        <f>SUM(X381,X390,X398,X407,X416)</f>
        <v>4.1505610937711257</v>
      </c>
      <c r="Z381" s="501">
        <f t="shared" ref="Z381:AA381" si="430">Y381</f>
        <v>4.1505610937711257</v>
      </c>
      <c r="AA381" s="792">
        <f t="shared" si="430"/>
        <v>4.1505610937711257</v>
      </c>
      <c r="AB381" s="18" t="s">
        <v>433</v>
      </c>
      <c r="AC381" s="13" t="s">
        <v>433</v>
      </c>
      <c r="AD381" s="13" t="s">
        <v>2947</v>
      </c>
      <c r="AE381" s="12">
        <v>3.0104466724907065E-4</v>
      </c>
      <c r="AF381" s="12">
        <v>1.2500000000000001E-2</v>
      </c>
      <c r="AG381" s="12">
        <v>5.1818181818181835E-4</v>
      </c>
      <c r="AH381" s="12">
        <v>4.0084080366977777E-4</v>
      </c>
    </row>
    <row r="382" spans="1:34" ht="12.75">
      <c r="A382" s="14" t="s">
        <v>3721</v>
      </c>
      <c r="B382" s="24" t="s">
        <v>2630</v>
      </c>
      <c r="C382" s="14" t="s">
        <v>2636</v>
      </c>
      <c r="D382" s="14" t="s">
        <v>2911</v>
      </c>
      <c r="E382" s="14" t="s">
        <v>3722</v>
      </c>
      <c r="F382" s="13">
        <v>50.72</v>
      </c>
      <c r="G382" s="14" t="s">
        <v>3704</v>
      </c>
      <c r="H382" s="13">
        <v>7024</v>
      </c>
      <c r="I382" s="14" t="s">
        <v>3722</v>
      </c>
      <c r="J382" s="14" t="s">
        <v>3723</v>
      </c>
      <c r="K382" s="478">
        <v>0.22</v>
      </c>
      <c r="L382" s="220">
        <v>9.9</v>
      </c>
      <c r="M382" s="473" t="s">
        <v>3724</v>
      </c>
      <c r="N382" s="473"/>
      <c r="O382" s="473" t="s">
        <v>3725</v>
      </c>
      <c r="P382" s="14" t="s">
        <v>83</v>
      </c>
      <c r="Q382" s="527" t="s">
        <v>3430</v>
      </c>
      <c r="R382" s="14">
        <v>2.7</v>
      </c>
      <c r="S382" s="14">
        <f t="shared" si="210"/>
        <v>0.26730000000000004</v>
      </c>
      <c r="T382" s="220">
        <f t="shared" si="424"/>
        <v>100</v>
      </c>
      <c r="U382" s="14">
        <f t="shared" si="425"/>
        <v>2.7</v>
      </c>
      <c r="V382" s="220">
        <f>U382*100/SUM(U378:U379,U381:U384)</f>
        <v>4.0909090909090908</v>
      </c>
      <c r="W382" s="14" t="s">
        <v>83</v>
      </c>
      <c r="X382" s="500">
        <f t="shared" si="410"/>
        <v>0.9</v>
      </c>
      <c r="Y382" s="501">
        <f>SUM(X382,X393,X401,X410,X419)</f>
        <v>3.4567364290939921</v>
      </c>
      <c r="Z382" s="501">
        <f t="shared" ref="Z382:AA382" si="431">Y382</f>
        <v>3.4567364290939921</v>
      </c>
      <c r="AA382" s="792">
        <f t="shared" si="431"/>
        <v>3.4567364290939921</v>
      </c>
      <c r="AB382" s="18" t="s">
        <v>83</v>
      </c>
      <c r="AC382" s="13" t="s">
        <v>83</v>
      </c>
      <c r="AD382" s="13" t="s">
        <v>2951</v>
      </c>
      <c r="AE382" s="12">
        <v>0</v>
      </c>
      <c r="AF382" s="12">
        <v>0</v>
      </c>
      <c r="AG382" s="12">
        <v>0</v>
      </c>
      <c r="AH382" s="12">
        <v>0</v>
      </c>
    </row>
    <row r="383" spans="1:34" ht="12.75">
      <c r="A383" s="14" t="s">
        <v>3721</v>
      </c>
      <c r="B383" s="24" t="s">
        <v>2630</v>
      </c>
      <c r="C383" s="14" t="s">
        <v>2636</v>
      </c>
      <c r="D383" s="14" t="s">
        <v>2911</v>
      </c>
      <c r="E383" s="14" t="s">
        <v>3722</v>
      </c>
      <c r="F383" s="13">
        <v>50.72</v>
      </c>
      <c r="G383" s="14" t="s">
        <v>3704</v>
      </c>
      <c r="H383" s="13">
        <v>7024</v>
      </c>
      <c r="I383" s="14" t="s">
        <v>3722</v>
      </c>
      <c r="J383" s="14" t="s">
        <v>3723</v>
      </c>
      <c r="K383" s="478">
        <v>0.22</v>
      </c>
      <c r="L383" s="220">
        <v>9.9</v>
      </c>
      <c r="M383" s="473" t="s">
        <v>3724</v>
      </c>
      <c r="N383" s="473"/>
      <c r="O383" s="473" t="s">
        <v>3725</v>
      </c>
      <c r="P383" s="655" t="s">
        <v>2977</v>
      </c>
      <c r="Q383" s="486" t="s">
        <v>2978</v>
      </c>
      <c r="R383" s="14">
        <v>2</v>
      </c>
      <c r="S383" s="14">
        <f t="shared" si="210"/>
        <v>0.19800000000000001</v>
      </c>
      <c r="T383" s="220">
        <f t="shared" si="424"/>
        <v>100</v>
      </c>
      <c r="U383" s="14">
        <f t="shared" si="425"/>
        <v>2</v>
      </c>
      <c r="V383" s="220">
        <f>U383*100/SUM(U378:U379,U381:U384)</f>
        <v>3.0303030303030303</v>
      </c>
      <c r="W383" s="14" t="s">
        <v>1099</v>
      </c>
      <c r="X383" s="500">
        <f t="shared" si="410"/>
        <v>0.66666666666666663</v>
      </c>
      <c r="Y383" s="501">
        <f>SUM(X383,X384,X392,X397,X399,X409,X418)</f>
        <v>3.6301213339654117</v>
      </c>
      <c r="Z383" s="501">
        <f>SUM(X383,X397)</f>
        <v>1.3461565265872186</v>
      </c>
      <c r="AA383" s="792">
        <f t="shared" ref="AA383:AA384" si="432">Z383</f>
        <v>1.3461565265872186</v>
      </c>
      <c r="AB383" s="18" t="s">
        <v>1099</v>
      </c>
      <c r="AC383" s="13" t="s">
        <v>55</v>
      </c>
      <c r="AD383" s="13" t="s">
        <v>2979</v>
      </c>
      <c r="AE383" s="12">
        <v>2.5055367220000002E-3</v>
      </c>
      <c r="AF383" s="12">
        <v>3.8459841414181101E-2</v>
      </c>
      <c r="AG383" s="12">
        <v>1.1035422343324251E-4</v>
      </c>
      <c r="AH383" s="12">
        <v>8.109653861711444E-4</v>
      </c>
    </row>
    <row r="384" spans="1:34" ht="12.75">
      <c r="A384" s="14" t="s">
        <v>3721</v>
      </c>
      <c r="B384" s="24" t="s">
        <v>2630</v>
      </c>
      <c r="C384" s="14" t="s">
        <v>2636</v>
      </c>
      <c r="D384" s="14" t="s">
        <v>2911</v>
      </c>
      <c r="E384" s="14" t="s">
        <v>3722</v>
      </c>
      <c r="F384" s="13">
        <v>50.72</v>
      </c>
      <c r="G384" s="14" t="s">
        <v>3704</v>
      </c>
      <c r="H384" s="13">
        <v>7024</v>
      </c>
      <c r="I384" s="135" t="s">
        <v>3722</v>
      </c>
      <c r="J384" s="135" t="s">
        <v>3723</v>
      </c>
      <c r="K384" s="475">
        <v>0.22</v>
      </c>
      <c r="L384" s="476">
        <v>9.9</v>
      </c>
      <c r="M384" s="492" t="s">
        <v>3724</v>
      </c>
      <c r="N384" s="492"/>
      <c r="O384" s="492" t="s">
        <v>3725</v>
      </c>
      <c r="P384" s="135" t="s">
        <v>2962</v>
      </c>
      <c r="Q384" s="135" t="s">
        <v>2963</v>
      </c>
      <c r="R384" s="135">
        <v>1</v>
      </c>
      <c r="S384" s="135">
        <f t="shared" si="210"/>
        <v>9.9000000000000005E-2</v>
      </c>
      <c r="T384" s="476">
        <f t="shared" si="424"/>
        <v>100</v>
      </c>
      <c r="U384" s="135">
        <f t="shared" si="425"/>
        <v>1</v>
      </c>
      <c r="V384" s="476">
        <f>U384*100/SUM(U378:U379,U381:U384)</f>
        <v>1.5151515151515151</v>
      </c>
      <c r="W384" s="135" t="s">
        <v>425</v>
      </c>
      <c r="X384" s="500">
        <f t="shared" si="410"/>
        <v>0.33333333333333331</v>
      </c>
      <c r="Y384" s="220" t="s">
        <v>1666</v>
      </c>
      <c r="Z384" s="501">
        <f>SUM(X384,X392,X399,X409,X418)</f>
        <v>2.2839648073781933</v>
      </c>
      <c r="AA384" s="792">
        <f t="shared" si="432"/>
        <v>2.2839648073781933</v>
      </c>
      <c r="AB384" s="18" t="s">
        <v>425</v>
      </c>
      <c r="AC384" s="13" t="s">
        <v>2964</v>
      </c>
      <c r="AD384" s="13" t="s">
        <v>2965</v>
      </c>
      <c r="AE384" s="12">
        <v>3.8102374934982654E-3</v>
      </c>
      <c r="AF384" s="12">
        <v>0.20470422547079484</v>
      </c>
      <c r="AG384" s="12">
        <v>1.210810810810811E-4</v>
      </c>
      <c r="AH384" s="12">
        <v>1.0002400855855065E-3</v>
      </c>
    </row>
    <row r="385" spans="1:34" ht="12.75">
      <c r="A385" s="14" t="s">
        <v>3721</v>
      </c>
      <c r="B385" s="24" t="s">
        <v>2630</v>
      </c>
      <c r="C385" s="14" t="s">
        <v>2636</v>
      </c>
      <c r="D385" s="14" t="s">
        <v>2911</v>
      </c>
      <c r="E385" s="14" t="s">
        <v>3722</v>
      </c>
      <c r="F385" s="13">
        <v>50.72</v>
      </c>
      <c r="G385" s="14" t="s">
        <v>3704</v>
      </c>
      <c r="H385" s="13">
        <v>7024</v>
      </c>
      <c r="I385" s="14" t="s">
        <v>3734</v>
      </c>
      <c r="J385" s="14" t="s">
        <v>3735</v>
      </c>
      <c r="K385" s="478">
        <v>0.14000000000000001</v>
      </c>
      <c r="L385" s="220">
        <v>6.3</v>
      </c>
      <c r="M385" s="473" t="s">
        <v>3736</v>
      </c>
      <c r="N385" s="473"/>
      <c r="O385" s="473" t="s">
        <v>3737</v>
      </c>
      <c r="P385" s="14" t="s">
        <v>360</v>
      </c>
      <c r="Q385" s="14" t="s">
        <v>3718</v>
      </c>
      <c r="R385" s="14">
        <v>42</v>
      </c>
      <c r="S385" s="14">
        <f t="shared" si="210"/>
        <v>2.6459999999999999</v>
      </c>
      <c r="T385" s="220">
        <f t="shared" ref="T385:T393" si="433">SUM($R$385:$R$393)</f>
        <v>99.999999999999986</v>
      </c>
      <c r="U385" s="14">
        <f t="shared" si="425"/>
        <v>42</v>
      </c>
      <c r="V385" s="220">
        <f>U385*100/SUM(U385,U387:U393)</f>
        <v>68.071312803889796</v>
      </c>
      <c r="W385" s="14" t="s">
        <v>360</v>
      </c>
      <c r="X385" s="500">
        <f t="shared" si="410"/>
        <v>9.5299837925445718</v>
      </c>
      <c r="Y385" s="501">
        <f>SUM(X385,X394,X402,X411)</f>
        <v>54.574599193320751</v>
      </c>
      <c r="Z385" s="501">
        <f t="shared" ref="Z385:AA385" si="434">Y385</f>
        <v>54.574599193320751</v>
      </c>
      <c r="AA385" s="792">
        <f t="shared" si="434"/>
        <v>54.574599193320751</v>
      </c>
      <c r="AB385" s="18" t="s">
        <v>360</v>
      </c>
      <c r="AC385" s="13" t="s">
        <v>18</v>
      </c>
      <c r="AD385" s="13" t="s">
        <v>18</v>
      </c>
      <c r="AE385" s="12">
        <v>1.284515625E-2</v>
      </c>
      <c r="AF385" s="12">
        <v>0.10467703125</v>
      </c>
      <c r="AG385" s="12">
        <v>4.5535921875000006E-4</v>
      </c>
      <c r="AH385" s="12">
        <v>7.1653738381629306E-3</v>
      </c>
    </row>
    <row r="386" spans="1:34" ht="12.75">
      <c r="A386" s="14" t="s">
        <v>3721</v>
      </c>
      <c r="B386" s="24" t="s">
        <v>2630</v>
      </c>
      <c r="C386" s="14" t="s">
        <v>2636</v>
      </c>
      <c r="D386" s="14" t="s">
        <v>2911</v>
      </c>
      <c r="E386" s="14" t="s">
        <v>3722</v>
      </c>
      <c r="F386" s="13">
        <v>50.72</v>
      </c>
      <c r="G386" s="14" t="s">
        <v>3704</v>
      </c>
      <c r="H386" s="13">
        <v>7024</v>
      </c>
      <c r="I386" s="14" t="s">
        <v>3734</v>
      </c>
      <c r="J386" s="14" t="s">
        <v>3735</v>
      </c>
      <c r="K386" s="478">
        <v>0.14000000000000001</v>
      </c>
      <c r="L386" s="220">
        <v>6.3</v>
      </c>
      <c r="M386" s="473" t="s">
        <v>3736</v>
      </c>
      <c r="N386" s="473"/>
      <c r="O386" s="473" t="s">
        <v>3737</v>
      </c>
      <c r="P386" s="14" t="s">
        <v>2938</v>
      </c>
      <c r="Q386" s="435" t="s">
        <v>2939</v>
      </c>
      <c r="R386" s="14">
        <v>38.299999999999997</v>
      </c>
      <c r="S386" s="14">
        <f t="shared" si="210"/>
        <v>2.4129</v>
      </c>
      <c r="T386" s="220">
        <f t="shared" si="433"/>
        <v>99.999999999999986</v>
      </c>
      <c r="U386" s="14">
        <f t="shared" si="425"/>
        <v>38.299999999999997</v>
      </c>
      <c r="V386" s="481">
        <f>U386</f>
        <v>38.299999999999997</v>
      </c>
      <c r="W386" s="482" t="s">
        <v>72</v>
      </c>
      <c r="X386" s="502">
        <f t="shared" si="410"/>
        <v>5.3620000000000001</v>
      </c>
      <c r="Y386" s="470" t="s">
        <v>1666</v>
      </c>
      <c r="Z386" s="220" t="str">
        <f t="shared" ref="Z386:AH386" si="435">Y386</f>
        <v>*</v>
      </c>
      <c r="AA386" s="792" t="str">
        <f t="shared" si="435"/>
        <v>*</v>
      </c>
      <c r="AB386" s="458" t="str">
        <f t="shared" si="435"/>
        <v>*</v>
      </c>
      <c r="AC386" s="497" t="str">
        <f t="shared" si="435"/>
        <v>*</v>
      </c>
      <c r="AD386" s="497" t="str">
        <f t="shared" si="435"/>
        <v>*</v>
      </c>
      <c r="AE386" s="454" t="str">
        <f t="shared" si="435"/>
        <v>*</v>
      </c>
      <c r="AF386" s="454" t="str">
        <f t="shared" si="435"/>
        <v>*</v>
      </c>
      <c r="AG386" s="454" t="str">
        <f t="shared" si="435"/>
        <v>*</v>
      </c>
      <c r="AH386" s="454" t="str">
        <f t="shared" si="435"/>
        <v>*</v>
      </c>
    </row>
    <row r="387" spans="1:34" ht="12.75">
      <c r="A387" s="14" t="s">
        <v>3721</v>
      </c>
      <c r="B387" s="24" t="s">
        <v>2630</v>
      </c>
      <c r="C387" s="14" t="s">
        <v>2636</v>
      </c>
      <c r="D387" s="14" t="s">
        <v>2911</v>
      </c>
      <c r="E387" s="14" t="s">
        <v>3722</v>
      </c>
      <c r="F387" s="13">
        <v>50.72</v>
      </c>
      <c r="G387" s="14" t="s">
        <v>3704</v>
      </c>
      <c r="H387" s="13">
        <v>7024</v>
      </c>
      <c r="I387" s="14" t="s">
        <v>3734</v>
      </c>
      <c r="J387" s="14" t="s">
        <v>3735</v>
      </c>
      <c r="K387" s="478">
        <v>0.14000000000000001</v>
      </c>
      <c r="L387" s="220">
        <v>6.3</v>
      </c>
      <c r="M387" s="473" t="s">
        <v>3736</v>
      </c>
      <c r="N387" s="473"/>
      <c r="O387" s="473" t="s">
        <v>3737</v>
      </c>
      <c r="P387" s="14" t="s">
        <v>379</v>
      </c>
      <c r="Q387" s="14" t="s">
        <v>3714</v>
      </c>
      <c r="R387" s="14">
        <v>4.0999999999999996</v>
      </c>
      <c r="S387" s="14">
        <f t="shared" si="210"/>
        <v>0.25829999999999997</v>
      </c>
      <c r="T387" s="220">
        <f t="shared" si="433"/>
        <v>99.999999999999986</v>
      </c>
      <c r="U387" s="14">
        <f t="shared" si="425"/>
        <v>4.0999999999999996</v>
      </c>
      <c r="V387" s="220">
        <f>U387*100/SUM(U385,U387:U393)</f>
        <v>6.645056726094003</v>
      </c>
      <c r="W387" s="14" t="s">
        <v>379</v>
      </c>
      <c r="X387" s="500">
        <f t="shared" si="410"/>
        <v>0.93030794165316055</v>
      </c>
      <c r="Y387" s="501">
        <f t="shared" ref="Y387:Y388" si="436">SUM(X387,X404,X413)</f>
        <v>4.3192868719611024</v>
      </c>
      <c r="Z387" s="501">
        <f t="shared" ref="Z387:AA387" si="437">Y387</f>
        <v>4.3192868719611024</v>
      </c>
      <c r="AA387" s="792">
        <f t="shared" si="437"/>
        <v>4.3192868719611024</v>
      </c>
      <c r="AB387" s="18" t="s">
        <v>379</v>
      </c>
      <c r="AC387" s="13" t="s">
        <v>3481</v>
      </c>
      <c r="AD387" s="13" t="s">
        <v>3482</v>
      </c>
      <c r="AE387" s="12">
        <v>1.4413766233766232E-2</v>
      </c>
      <c r="AF387" s="12">
        <v>0.11750233766233766</v>
      </c>
      <c r="AG387" s="12">
        <v>5.1116805194805187E-4</v>
      </c>
      <c r="AH387" s="12">
        <v>7.1006085221503486E-3</v>
      </c>
    </row>
    <row r="388" spans="1:34" ht="12.75">
      <c r="A388" s="14" t="s">
        <v>3721</v>
      </c>
      <c r="B388" s="24" t="s">
        <v>2630</v>
      </c>
      <c r="C388" s="14" t="s">
        <v>2636</v>
      </c>
      <c r="D388" s="14" t="s">
        <v>2911</v>
      </c>
      <c r="E388" s="14" t="s">
        <v>3722</v>
      </c>
      <c r="F388" s="13">
        <v>50.72</v>
      </c>
      <c r="G388" s="14" t="s">
        <v>3704</v>
      </c>
      <c r="H388" s="13">
        <v>7024</v>
      </c>
      <c r="I388" s="14" t="s">
        <v>3734</v>
      </c>
      <c r="J388" s="14" t="s">
        <v>3735</v>
      </c>
      <c r="K388" s="478">
        <v>0.14000000000000001</v>
      </c>
      <c r="L388" s="220">
        <v>6.3</v>
      </c>
      <c r="M388" s="473" t="s">
        <v>3736</v>
      </c>
      <c r="N388" s="473"/>
      <c r="O388" s="473" t="s">
        <v>3737</v>
      </c>
      <c r="P388" s="655" t="s">
        <v>3005</v>
      </c>
      <c r="Q388" s="486" t="s">
        <v>3006</v>
      </c>
      <c r="R388" s="14">
        <v>4</v>
      </c>
      <c r="S388" s="14">
        <f t="shared" si="210"/>
        <v>0.252</v>
      </c>
      <c r="T388" s="220">
        <f t="shared" si="433"/>
        <v>99.999999999999986</v>
      </c>
      <c r="U388" s="14">
        <f t="shared" si="425"/>
        <v>4</v>
      </c>
      <c r="V388" s="220">
        <f>U388*100/SUM(U385,U387:U393)</f>
        <v>6.4829821717990281</v>
      </c>
      <c r="W388" s="14" t="s">
        <v>2526</v>
      </c>
      <c r="X388" s="500">
        <f t="shared" si="410"/>
        <v>0.90761750405186403</v>
      </c>
      <c r="Y388" s="501">
        <f t="shared" si="436"/>
        <v>4.2139384116693686</v>
      </c>
      <c r="Z388" s="501">
        <f t="shared" ref="Z388:AA388" si="438">Y388</f>
        <v>4.2139384116693686</v>
      </c>
      <c r="AA388" s="792">
        <f t="shared" si="438"/>
        <v>4.2139384116693686</v>
      </c>
      <c r="AB388" s="18" t="s">
        <v>215</v>
      </c>
      <c r="AC388" s="13" t="s">
        <v>3007</v>
      </c>
      <c r="AD388" s="454">
        <v>5.0851999999999998E-3</v>
      </c>
      <c r="AE388" s="12">
        <v>5.0851930036188197E-3</v>
      </c>
      <c r="AF388" s="12">
        <v>5.9995417730640897E-2</v>
      </c>
      <c r="AG388" s="12">
        <v>3.4699999999999998E-4</v>
      </c>
      <c r="AH388" s="12">
        <v>2.9762429672480995E-4</v>
      </c>
    </row>
    <row r="389" spans="1:34" ht="12.75">
      <c r="A389" s="14" t="s">
        <v>3721</v>
      </c>
      <c r="B389" s="24" t="s">
        <v>2630</v>
      </c>
      <c r="C389" s="14" t="s">
        <v>2636</v>
      </c>
      <c r="D389" s="14" t="s">
        <v>2911</v>
      </c>
      <c r="E389" s="14" t="s">
        <v>3722</v>
      </c>
      <c r="F389" s="13">
        <v>50.72</v>
      </c>
      <c r="G389" s="14" t="s">
        <v>3704</v>
      </c>
      <c r="H389" s="13">
        <v>7024</v>
      </c>
      <c r="I389" s="14" t="s">
        <v>3734</v>
      </c>
      <c r="J389" s="14" t="s">
        <v>3735</v>
      </c>
      <c r="K389" s="478">
        <v>0.14000000000000001</v>
      </c>
      <c r="L389" s="220">
        <v>6.3</v>
      </c>
      <c r="M389" s="473" t="s">
        <v>3736</v>
      </c>
      <c r="N389" s="473"/>
      <c r="O389" s="473" t="s">
        <v>3737</v>
      </c>
      <c r="P389" s="14" t="s">
        <v>2994</v>
      </c>
      <c r="Q389" s="14" t="s">
        <v>2995</v>
      </c>
      <c r="R389" s="14">
        <v>4</v>
      </c>
      <c r="S389" s="14">
        <f t="shared" si="210"/>
        <v>0.252</v>
      </c>
      <c r="T389" s="220">
        <f t="shared" si="433"/>
        <v>99.999999999999986</v>
      </c>
      <c r="U389" s="14">
        <f t="shared" si="425"/>
        <v>4</v>
      </c>
      <c r="V389" s="220">
        <f>U389*100/SUM(U385,U387:U393)</f>
        <v>6.4829821717990281</v>
      </c>
      <c r="W389" s="14" t="s">
        <v>121</v>
      </c>
      <c r="X389" s="500">
        <f t="shared" si="410"/>
        <v>0.90761750405186403</v>
      </c>
      <c r="Y389" s="501">
        <f>SUM(X389,X406,X415,X400)</f>
        <v>4.2682976004630131</v>
      </c>
      <c r="Z389" s="501">
        <f t="shared" ref="Z389:AA389" si="439">Y389</f>
        <v>4.2682976004630131</v>
      </c>
      <c r="AA389" s="792">
        <f t="shared" si="439"/>
        <v>4.2682976004630131</v>
      </c>
      <c r="AB389" s="18" t="s">
        <v>121</v>
      </c>
      <c r="AC389" s="13" t="s">
        <v>121</v>
      </c>
      <c r="AD389" s="13" t="s">
        <v>3016</v>
      </c>
      <c r="AE389" s="12">
        <v>4.1127278199052132E-2</v>
      </c>
      <c r="AF389" s="12">
        <v>0.12092157867298578</v>
      </c>
      <c r="AG389" s="12">
        <v>8.0618486208530824E-4</v>
      </c>
      <c r="AH389" s="12">
        <v>7.5857890995260661E-3</v>
      </c>
    </row>
    <row r="390" spans="1:34" ht="12.75">
      <c r="A390" s="14" t="s">
        <v>3721</v>
      </c>
      <c r="B390" s="24" t="s">
        <v>2630</v>
      </c>
      <c r="C390" s="14" t="s">
        <v>2636</v>
      </c>
      <c r="D390" s="14" t="s">
        <v>2911</v>
      </c>
      <c r="E390" s="14" t="s">
        <v>3722</v>
      </c>
      <c r="F390" s="13">
        <v>50.72</v>
      </c>
      <c r="G390" s="14" t="s">
        <v>3704</v>
      </c>
      <c r="H390" s="13">
        <v>7024</v>
      </c>
      <c r="I390" s="14" t="s">
        <v>3734</v>
      </c>
      <c r="J390" s="14" t="s">
        <v>3735</v>
      </c>
      <c r="K390" s="478">
        <v>0.14000000000000001</v>
      </c>
      <c r="L390" s="220">
        <v>6.3</v>
      </c>
      <c r="M390" s="473" t="s">
        <v>3736</v>
      </c>
      <c r="N390" s="473"/>
      <c r="O390" s="473" t="s">
        <v>3737</v>
      </c>
      <c r="P390" s="14" t="s">
        <v>2945</v>
      </c>
      <c r="Q390" s="14" t="s">
        <v>2946</v>
      </c>
      <c r="R390" s="14">
        <v>2</v>
      </c>
      <c r="S390" s="14">
        <f t="shared" si="210"/>
        <v>0.126</v>
      </c>
      <c r="T390" s="220">
        <f t="shared" si="433"/>
        <v>99.999999999999986</v>
      </c>
      <c r="U390" s="14">
        <f t="shared" si="425"/>
        <v>2</v>
      </c>
      <c r="V390" s="220">
        <f>U390*100/SUM(U385,U387:U393)</f>
        <v>3.2414910858995141</v>
      </c>
      <c r="W390" s="14" t="s">
        <v>433</v>
      </c>
      <c r="X390" s="500">
        <f t="shared" si="410"/>
        <v>0.45380875202593202</v>
      </c>
      <c r="Y390" s="220" t="s">
        <v>1666</v>
      </c>
      <c r="Z390" s="220" t="str">
        <f t="shared" ref="Z390:AH390" si="440">Y390</f>
        <v>*</v>
      </c>
      <c r="AA390" s="792" t="str">
        <f t="shared" si="440"/>
        <v>*</v>
      </c>
      <c r="AB390" s="458" t="str">
        <f t="shared" si="440"/>
        <v>*</v>
      </c>
      <c r="AC390" s="497" t="str">
        <f t="shared" si="440"/>
        <v>*</v>
      </c>
      <c r="AD390" s="497" t="str">
        <f t="shared" si="440"/>
        <v>*</v>
      </c>
      <c r="AE390" s="454" t="str">
        <f t="shared" si="440"/>
        <v>*</v>
      </c>
      <c r="AF390" s="454" t="str">
        <f t="shared" si="440"/>
        <v>*</v>
      </c>
      <c r="AG390" s="454" t="str">
        <f t="shared" si="440"/>
        <v>*</v>
      </c>
      <c r="AH390" s="454" t="str">
        <f t="shared" si="440"/>
        <v>*</v>
      </c>
    </row>
    <row r="391" spans="1:34" ht="12.75">
      <c r="A391" s="14" t="s">
        <v>3721</v>
      </c>
      <c r="B391" s="24" t="s">
        <v>2630</v>
      </c>
      <c r="C391" s="14" t="s">
        <v>2636</v>
      </c>
      <c r="D391" s="14" t="s">
        <v>2911</v>
      </c>
      <c r="E391" s="14" t="s">
        <v>3722</v>
      </c>
      <c r="F391" s="13">
        <v>50.72</v>
      </c>
      <c r="G391" s="14" t="s">
        <v>3704</v>
      </c>
      <c r="H391" s="13">
        <v>7024</v>
      </c>
      <c r="I391" s="14" t="s">
        <v>3734</v>
      </c>
      <c r="J391" s="14" t="s">
        <v>3735</v>
      </c>
      <c r="K391" s="478">
        <v>0.14000000000000001</v>
      </c>
      <c r="L391" s="220">
        <v>6.3</v>
      </c>
      <c r="M391" s="473" t="s">
        <v>3736</v>
      </c>
      <c r="N391" s="473"/>
      <c r="O391" s="473" t="s">
        <v>3737</v>
      </c>
      <c r="P391" s="14" t="s">
        <v>3738</v>
      </c>
      <c r="Q391" s="14" t="s">
        <v>3739</v>
      </c>
      <c r="R391" s="14">
        <v>2</v>
      </c>
      <c r="S391" s="14">
        <f t="shared" si="210"/>
        <v>0.126</v>
      </c>
      <c r="T391" s="220">
        <f t="shared" si="433"/>
        <v>99.999999999999986</v>
      </c>
      <c r="U391" s="14">
        <f t="shared" si="425"/>
        <v>2</v>
      </c>
      <c r="V391" s="220">
        <f>U391*100/SUM(U385,U387:U393)</f>
        <v>3.2414910858995141</v>
      </c>
      <c r="W391" s="14" t="s">
        <v>370</v>
      </c>
      <c r="X391" s="500">
        <f t="shared" si="410"/>
        <v>0.45380875202593202</v>
      </c>
      <c r="Y391" s="501">
        <f>SUM(X391,X395,X408,X417)</f>
        <v>2.7864590657552362</v>
      </c>
      <c r="Z391" s="501">
        <f t="shared" ref="Z391:AA391" si="441">Y391</f>
        <v>2.7864590657552362</v>
      </c>
      <c r="AA391" s="792">
        <f t="shared" si="441"/>
        <v>2.7864590657552362</v>
      </c>
      <c r="AB391" s="18" t="s">
        <v>376</v>
      </c>
      <c r="AC391" s="13" t="s">
        <v>3740</v>
      </c>
      <c r="AD391" s="13" t="s">
        <v>3740</v>
      </c>
      <c r="AE391" s="12">
        <v>0.364568</v>
      </c>
      <c r="AF391" s="12">
        <v>0.43737712500000003</v>
      </c>
      <c r="AG391" s="12">
        <v>4.0849227500000009E-3</v>
      </c>
      <c r="AH391" s="12">
        <v>2.2046244201837775E-2</v>
      </c>
    </row>
    <row r="392" spans="1:34" ht="12.75">
      <c r="A392" s="14" t="s">
        <v>3721</v>
      </c>
      <c r="B392" s="24" t="s">
        <v>2630</v>
      </c>
      <c r="C392" s="14" t="s">
        <v>2636</v>
      </c>
      <c r="D392" s="14" t="s">
        <v>2911</v>
      </c>
      <c r="E392" s="14" t="s">
        <v>3722</v>
      </c>
      <c r="F392" s="13">
        <v>50.72</v>
      </c>
      <c r="G392" s="14" t="s">
        <v>3704</v>
      </c>
      <c r="H392" s="13">
        <v>7024</v>
      </c>
      <c r="I392" s="14" t="s">
        <v>3734</v>
      </c>
      <c r="J392" s="14" t="s">
        <v>3735</v>
      </c>
      <c r="K392" s="478">
        <v>0.14000000000000001</v>
      </c>
      <c r="L392" s="220">
        <v>6.3</v>
      </c>
      <c r="M392" s="473" t="s">
        <v>3736</v>
      </c>
      <c r="N392" s="473"/>
      <c r="O392" s="473" t="s">
        <v>3737</v>
      </c>
      <c r="P392" s="14" t="s">
        <v>2962</v>
      </c>
      <c r="Q392" s="14" t="s">
        <v>2963</v>
      </c>
      <c r="R392" s="14">
        <v>1.8</v>
      </c>
      <c r="S392" s="14">
        <f t="shared" si="210"/>
        <v>0.11340000000000001</v>
      </c>
      <c r="T392" s="220">
        <f t="shared" si="433"/>
        <v>99.999999999999986</v>
      </c>
      <c r="U392" s="14">
        <f t="shared" si="425"/>
        <v>1.8</v>
      </c>
      <c r="V392" s="220">
        <f>U392*100/SUM(U385,U387:U393)</f>
        <v>2.9173419773095626</v>
      </c>
      <c r="W392" s="14" t="s">
        <v>425</v>
      </c>
      <c r="X392" s="500">
        <f t="shared" si="410"/>
        <v>0.40842787682333881</v>
      </c>
      <c r="Y392" s="220" t="s">
        <v>1666</v>
      </c>
      <c r="Z392" s="220" t="str">
        <f t="shared" ref="Z392:AH392" si="442">Y392</f>
        <v>*</v>
      </c>
      <c r="AA392" s="792" t="str">
        <f t="shared" si="442"/>
        <v>*</v>
      </c>
      <c r="AB392" s="458" t="str">
        <f t="shared" si="442"/>
        <v>*</v>
      </c>
      <c r="AC392" s="497" t="str">
        <f t="shared" si="442"/>
        <v>*</v>
      </c>
      <c r="AD392" s="497" t="str">
        <f t="shared" si="442"/>
        <v>*</v>
      </c>
      <c r="AE392" s="454" t="str">
        <f t="shared" si="442"/>
        <v>*</v>
      </c>
      <c r="AF392" s="454" t="str">
        <f t="shared" si="442"/>
        <v>*</v>
      </c>
      <c r="AG392" s="454" t="str">
        <f t="shared" si="442"/>
        <v>*</v>
      </c>
      <c r="AH392" s="454" t="str">
        <f t="shared" si="442"/>
        <v>*</v>
      </c>
    </row>
    <row r="393" spans="1:34" ht="12.75">
      <c r="A393" s="14" t="s">
        <v>3721</v>
      </c>
      <c r="B393" s="24" t="s">
        <v>2630</v>
      </c>
      <c r="C393" s="14" t="s">
        <v>2636</v>
      </c>
      <c r="D393" s="14" t="s">
        <v>2911</v>
      </c>
      <c r="E393" s="14" t="s">
        <v>3722</v>
      </c>
      <c r="F393" s="13">
        <v>50.72</v>
      </c>
      <c r="G393" s="14" t="s">
        <v>3704</v>
      </c>
      <c r="H393" s="13">
        <v>7024</v>
      </c>
      <c r="I393" s="135" t="s">
        <v>3734</v>
      </c>
      <c r="J393" s="135" t="s">
        <v>3735</v>
      </c>
      <c r="K393" s="475">
        <v>0.14000000000000001</v>
      </c>
      <c r="L393" s="476">
        <v>6.3</v>
      </c>
      <c r="M393" s="492" t="s">
        <v>3736</v>
      </c>
      <c r="N393" s="492"/>
      <c r="O393" s="492" t="s">
        <v>3737</v>
      </c>
      <c r="P393" s="135" t="s">
        <v>83</v>
      </c>
      <c r="Q393" s="547" t="s">
        <v>3430</v>
      </c>
      <c r="R393" s="135">
        <v>1.8</v>
      </c>
      <c r="S393" s="135">
        <f t="shared" si="210"/>
        <v>0.11340000000000001</v>
      </c>
      <c r="T393" s="476">
        <f t="shared" si="433"/>
        <v>99.999999999999986</v>
      </c>
      <c r="U393" s="300">
        <f t="shared" si="425"/>
        <v>1.8</v>
      </c>
      <c r="V393" s="476">
        <f>U393*100/SUM(U385,U387:U393)</f>
        <v>2.9173419773095626</v>
      </c>
      <c r="W393" s="135" t="s">
        <v>83</v>
      </c>
      <c r="X393" s="500">
        <f t="shared" si="410"/>
        <v>0.40842787682333881</v>
      </c>
      <c r="Y393" s="220" t="s">
        <v>1666</v>
      </c>
      <c r="Z393" s="220" t="str">
        <f t="shared" ref="Z393:AH393" si="443">Y393</f>
        <v>*</v>
      </c>
      <c r="AA393" s="792" t="str">
        <f t="shared" si="443"/>
        <v>*</v>
      </c>
      <c r="AB393" s="458" t="str">
        <f t="shared" si="443"/>
        <v>*</v>
      </c>
      <c r="AC393" s="497" t="str">
        <f t="shared" si="443"/>
        <v>*</v>
      </c>
      <c r="AD393" s="497" t="str">
        <f t="shared" si="443"/>
        <v>*</v>
      </c>
      <c r="AE393" s="454" t="str">
        <f t="shared" si="443"/>
        <v>*</v>
      </c>
      <c r="AF393" s="454" t="str">
        <f t="shared" si="443"/>
        <v>*</v>
      </c>
      <c r="AG393" s="454" t="str">
        <f t="shared" si="443"/>
        <v>*</v>
      </c>
      <c r="AH393" s="454" t="str">
        <f t="shared" si="443"/>
        <v>*</v>
      </c>
    </row>
    <row r="394" spans="1:34" ht="12.75">
      <c r="A394" s="14" t="s">
        <v>3721</v>
      </c>
      <c r="B394" s="24" t="s">
        <v>2630</v>
      </c>
      <c r="C394" s="14" t="s">
        <v>2636</v>
      </c>
      <c r="D394" s="14" t="s">
        <v>2911</v>
      </c>
      <c r="E394" s="14" t="s">
        <v>3722</v>
      </c>
      <c r="F394" s="13">
        <v>50.72</v>
      </c>
      <c r="G394" s="14" t="s">
        <v>3704</v>
      </c>
      <c r="H394" s="13">
        <v>7024</v>
      </c>
      <c r="I394" s="14" t="s">
        <v>3741</v>
      </c>
      <c r="J394" s="14" t="s">
        <v>3742</v>
      </c>
      <c r="K394" s="478">
        <v>0.13</v>
      </c>
      <c r="L394" s="220">
        <v>6.5</v>
      </c>
      <c r="M394" s="473" t="s">
        <v>3743</v>
      </c>
      <c r="N394" s="473"/>
      <c r="O394" s="473" t="s">
        <v>3744</v>
      </c>
      <c r="P394" s="14" t="s">
        <v>360</v>
      </c>
      <c r="Q394" s="14" t="s">
        <v>3718</v>
      </c>
      <c r="R394" s="14">
        <v>38</v>
      </c>
      <c r="S394" s="14">
        <f t="shared" si="210"/>
        <v>2.4700000000000002</v>
      </c>
      <c r="T394" s="487">
        <f>SUM(R394:R401)</f>
        <v>97.830000000000013</v>
      </c>
      <c r="U394" s="14">
        <f t="shared" ref="U394:U401" si="444">R394*100/T394</f>
        <v>38.842890728815284</v>
      </c>
      <c r="V394" s="220">
        <f>U394*100/SUM(U394:U395,U397:U401)</f>
        <v>79.448045159941444</v>
      </c>
      <c r="W394" s="14" t="s">
        <v>360</v>
      </c>
      <c r="X394" s="500">
        <f t="shared" si="410"/>
        <v>10.328245870792388</v>
      </c>
      <c r="Y394" s="220" t="s">
        <v>1666</v>
      </c>
      <c r="Z394" s="220" t="str">
        <f t="shared" ref="Z394:AH394" si="445">Y394</f>
        <v>*</v>
      </c>
      <c r="AA394" s="792" t="str">
        <f t="shared" si="445"/>
        <v>*</v>
      </c>
      <c r="AB394" s="458" t="str">
        <f t="shared" si="445"/>
        <v>*</v>
      </c>
      <c r="AC394" s="497" t="str">
        <f t="shared" si="445"/>
        <v>*</v>
      </c>
      <c r="AD394" s="497" t="str">
        <f t="shared" si="445"/>
        <v>*</v>
      </c>
      <c r="AE394" s="454" t="str">
        <f t="shared" si="445"/>
        <v>*</v>
      </c>
      <c r="AF394" s="454" t="str">
        <f t="shared" si="445"/>
        <v>*</v>
      </c>
      <c r="AG394" s="454" t="str">
        <f t="shared" si="445"/>
        <v>*</v>
      </c>
      <c r="AH394" s="454" t="str">
        <f t="shared" si="445"/>
        <v>*</v>
      </c>
    </row>
    <row r="395" spans="1:34" ht="12.75">
      <c r="A395" s="14" t="s">
        <v>3721</v>
      </c>
      <c r="B395" s="24" t="s">
        <v>2630</v>
      </c>
      <c r="C395" s="14" t="s">
        <v>2636</v>
      </c>
      <c r="D395" s="14" t="s">
        <v>2911</v>
      </c>
      <c r="E395" s="14" t="s">
        <v>3722</v>
      </c>
      <c r="F395" s="13">
        <v>50.72</v>
      </c>
      <c r="G395" s="14" t="s">
        <v>3704</v>
      </c>
      <c r="H395" s="13">
        <v>7024</v>
      </c>
      <c r="I395" s="14" t="s">
        <v>3741</v>
      </c>
      <c r="J395" s="14" t="s">
        <v>3742</v>
      </c>
      <c r="K395" s="478">
        <v>0.13</v>
      </c>
      <c r="L395" s="220">
        <v>6.5</v>
      </c>
      <c r="M395" s="473" t="s">
        <v>3743</v>
      </c>
      <c r="N395" s="473"/>
      <c r="O395" s="473" t="s">
        <v>3744</v>
      </c>
      <c r="P395" s="14" t="s">
        <v>3738</v>
      </c>
      <c r="Q395" s="14" t="s">
        <v>3739</v>
      </c>
      <c r="R395" s="14">
        <v>2.5</v>
      </c>
      <c r="S395" s="14">
        <f t="shared" si="210"/>
        <v>0.16250000000000001</v>
      </c>
      <c r="T395" s="220">
        <f>SUM(R394:R401)</f>
        <v>97.830000000000013</v>
      </c>
      <c r="U395" s="14">
        <f t="shared" si="444"/>
        <v>2.5554533374220583</v>
      </c>
      <c r="V395" s="220">
        <f>U395*100/SUM(U394:U395,U397:U401)</f>
        <v>5.2268450763119381</v>
      </c>
      <c r="W395" s="14" t="s">
        <v>370</v>
      </c>
      <c r="X395" s="500">
        <f t="shared" si="410"/>
        <v>0.679489859920552</v>
      </c>
      <c r="Y395" s="220" t="s">
        <v>1666</v>
      </c>
      <c r="Z395" s="220" t="str">
        <f t="shared" ref="Z395:AH395" si="446">Y395</f>
        <v>*</v>
      </c>
      <c r="AA395" s="792" t="str">
        <f t="shared" si="446"/>
        <v>*</v>
      </c>
      <c r="AB395" s="458" t="str">
        <f t="shared" si="446"/>
        <v>*</v>
      </c>
      <c r="AC395" s="497" t="str">
        <f t="shared" si="446"/>
        <v>*</v>
      </c>
      <c r="AD395" s="497" t="str">
        <f t="shared" si="446"/>
        <v>*</v>
      </c>
      <c r="AE395" s="454" t="str">
        <f t="shared" si="446"/>
        <v>*</v>
      </c>
      <c r="AF395" s="454" t="str">
        <f t="shared" si="446"/>
        <v>*</v>
      </c>
      <c r="AG395" s="454" t="str">
        <f t="shared" si="446"/>
        <v>*</v>
      </c>
      <c r="AH395" s="454" t="str">
        <f t="shared" si="446"/>
        <v>*</v>
      </c>
    </row>
    <row r="396" spans="1:34" ht="12.75">
      <c r="A396" s="14" t="s">
        <v>3721</v>
      </c>
      <c r="B396" s="24" t="s">
        <v>2630</v>
      </c>
      <c r="C396" s="14" t="s">
        <v>2636</v>
      </c>
      <c r="D396" s="14" t="s">
        <v>2911</v>
      </c>
      <c r="E396" s="14" t="s">
        <v>3722</v>
      </c>
      <c r="F396" s="13">
        <v>50.72</v>
      </c>
      <c r="G396" s="14" t="s">
        <v>3704</v>
      </c>
      <c r="H396" s="13">
        <v>7024</v>
      </c>
      <c r="I396" s="14" t="s">
        <v>3741</v>
      </c>
      <c r="J396" s="14" t="s">
        <v>3742</v>
      </c>
      <c r="K396" s="478">
        <v>0.13</v>
      </c>
      <c r="L396" s="220">
        <v>6.5</v>
      </c>
      <c r="M396" s="473" t="s">
        <v>3743</v>
      </c>
      <c r="N396" s="473"/>
      <c r="O396" s="473" t="s">
        <v>3744</v>
      </c>
      <c r="P396" s="14" t="s">
        <v>2938</v>
      </c>
      <c r="Q396" s="435" t="s">
        <v>2939</v>
      </c>
      <c r="R396" s="14">
        <v>50</v>
      </c>
      <c r="S396" s="14">
        <f t="shared" si="210"/>
        <v>3.25</v>
      </c>
      <c r="T396" s="220">
        <f>SUM(R394:R401)</f>
        <v>97.830000000000013</v>
      </c>
      <c r="U396" s="14">
        <f t="shared" si="444"/>
        <v>51.109066748441165</v>
      </c>
      <c r="V396" s="481">
        <f>U396</f>
        <v>51.109066748441165</v>
      </c>
      <c r="W396" s="482" t="s">
        <v>72</v>
      </c>
      <c r="X396" s="502">
        <f t="shared" si="410"/>
        <v>6.6441786772973517</v>
      </c>
      <c r="Y396" s="470" t="s">
        <v>1666</v>
      </c>
      <c r="Z396" s="220" t="str">
        <f t="shared" ref="Z396:AH396" si="447">Y396</f>
        <v>*</v>
      </c>
      <c r="AA396" s="792" t="str">
        <f t="shared" si="447"/>
        <v>*</v>
      </c>
      <c r="AB396" s="458" t="str">
        <f t="shared" si="447"/>
        <v>*</v>
      </c>
      <c r="AC396" s="497" t="str">
        <f t="shared" si="447"/>
        <v>*</v>
      </c>
      <c r="AD396" s="497" t="str">
        <f t="shared" si="447"/>
        <v>*</v>
      </c>
      <c r="AE396" s="454" t="str">
        <f t="shared" si="447"/>
        <v>*</v>
      </c>
      <c r="AF396" s="454" t="str">
        <f t="shared" si="447"/>
        <v>*</v>
      </c>
      <c r="AG396" s="454" t="str">
        <f t="shared" si="447"/>
        <v>*</v>
      </c>
      <c r="AH396" s="454" t="str">
        <f t="shared" si="447"/>
        <v>*</v>
      </c>
    </row>
    <row r="397" spans="1:34" ht="12.75">
      <c r="A397" s="14" t="s">
        <v>3721</v>
      </c>
      <c r="B397" s="24" t="s">
        <v>2630</v>
      </c>
      <c r="C397" s="14" t="s">
        <v>2636</v>
      </c>
      <c r="D397" s="14" t="s">
        <v>2911</v>
      </c>
      <c r="E397" s="14" t="s">
        <v>3722</v>
      </c>
      <c r="F397" s="13">
        <v>50.72</v>
      </c>
      <c r="G397" s="14" t="s">
        <v>3704</v>
      </c>
      <c r="H397" s="13">
        <v>7024</v>
      </c>
      <c r="I397" s="14" t="s">
        <v>3741</v>
      </c>
      <c r="J397" s="14" t="s">
        <v>3742</v>
      </c>
      <c r="K397" s="478">
        <v>0.13</v>
      </c>
      <c r="L397" s="220">
        <v>6.5</v>
      </c>
      <c r="M397" s="473" t="s">
        <v>3743</v>
      </c>
      <c r="N397" s="473"/>
      <c r="O397" s="473" t="s">
        <v>3744</v>
      </c>
      <c r="P397" s="655" t="s">
        <v>2977</v>
      </c>
      <c r="Q397" s="486" t="s">
        <v>2978</v>
      </c>
      <c r="R397" s="14">
        <v>2.5</v>
      </c>
      <c r="S397" s="14">
        <f t="shared" si="210"/>
        <v>0.16250000000000001</v>
      </c>
      <c r="T397" s="220">
        <f>SUM(R394:R401)</f>
        <v>97.830000000000013</v>
      </c>
      <c r="U397" s="14">
        <f t="shared" si="444"/>
        <v>2.5554533374220583</v>
      </c>
      <c r="V397" s="220">
        <f>U397*100/SUM(U394:U395,U397:U401)</f>
        <v>5.2268450763119381</v>
      </c>
      <c r="W397" s="14" t="s">
        <v>232</v>
      </c>
      <c r="X397" s="500">
        <f t="shared" si="410"/>
        <v>0.679489859920552</v>
      </c>
      <c r="Y397" s="220" t="s">
        <v>1666</v>
      </c>
      <c r="Z397" s="220" t="str">
        <f t="shared" ref="Z397:AH397" si="448">Y397</f>
        <v>*</v>
      </c>
      <c r="AA397" s="792" t="str">
        <f t="shared" si="448"/>
        <v>*</v>
      </c>
      <c r="AB397" s="458" t="str">
        <f t="shared" si="448"/>
        <v>*</v>
      </c>
      <c r="AC397" s="497" t="str">
        <f t="shared" si="448"/>
        <v>*</v>
      </c>
      <c r="AD397" s="497" t="str">
        <f t="shared" si="448"/>
        <v>*</v>
      </c>
      <c r="AE397" s="454" t="str">
        <f t="shared" si="448"/>
        <v>*</v>
      </c>
      <c r="AF397" s="454" t="str">
        <f t="shared" si="448"/>
        <v>*</v>
      </c>
      <c r="AG397" s="454" t="str">
        <f t="shared" si="448"/>
        <v>*</v>
      </c>
      <c r="AH397" s="454" t="str">
        <f t="shared" si="448"/>
        <v>*</v>
      </c>
    </row>
    <row r="398" spans="1:34" ht="12.75">
      <c r="A398" s="14" t="s">
        <v>3721</v>
      </c>
      <c r="B398" s="24" t="s">
        <v>2630</v>
      </c>
      <c r="C398" s="14" t="s">
        <v>2636</v>
      </c>
      <c r="D398" s="14" t="s">
        <v>2911</v>
      </c>
      <c r="E398" s="14" t="s">
        <v>3722</v>
      </c>
      <c r="F398" s="13">
        <v>50.72</v>
      </c>
      <c r="G398" s="14" t="s">
        <v>3704</v>
      </c>
      <c r="H398" s="13">
        <v>7024</v>
      </c>
      <c r="I398" s="14" t="s">
        <v>3741</v>
      </c>
      <c r="J398" s="14" t="s">
        <v>3742</v>
      </c>
      <c r="K398" s="478">
        <v>0.13</v>
      </c>
      <c r="L398" s="220">
        <v>6.5</v>
      </c>
      <c r="M398" s="473" t="s">
        <v>3743</v>
      </c>
      <c r="N398" s="473"/>
      <c r="O398" s="473" t="s">
        <v>3744</v>
      </c>
      <c r="P398" s="14" t="s">
        <v>2945</v>
      </c>
      <c r="Q398" s="14" t="s">
        <v>2946</v>
      </c>
      <c r="R398" s="14">
        <v>2</v>
      </c>
      <c r="S398" s="14">
        <f t="shared" si="210"/>
        <v>0.13</v>
      </c>
      <c r="T398" s="220">
        <f>SUM(R394:R401)</f>
        <v>97.830000000000013</v>
      </c>
      <c r="U398" s="14">
        <f t="shared" si="444"/>
        <v>2.0443626699376467</v>
      </c>
      <c r="V398" s="220">
        <f>U398*100/SUM(U394:U395,U397:U401)</f>
        <v>4.1814760610495503</v>
      </c>
      <c r="W398" s="14" t="s">
        <v>433</v>
      </c>
      <c r="X398" s="500">
        <f t="shared" si="410"/>
        <v>0.54359188793644153</v>
      </c>
      <c r="Y398" s="220" t="s">
        <v>1666</v>
      </c>
      <c r="Z398" s="220" t="str">
        <f t="shared" ref="Z398:AH398" si="449">Y398</f>
        <v>*</v>
      </c>
      <c r="AA398" s="792" t="str">
        <f t="shared" si="449"/>
        <v>*</v>
      </c>
      <c r="AB398" s="458" t="str">
        <f t="shared" si="449"/>
        <v>*</v>
      </c>
      <c r="AC398" s="497" t="str">
        <f t="shared" si="449"/>
        <v>*</v>
      </c>
      <c r="AD398" s="497" t="str">
        <f t="shared" si="449"/>
        <v>*</v>
      </c>
      <c r="AE398" s="454" t="str">
        <f t="shared" si="449"/>
        <v>*</v>
      </c>
      <c r="AF398" s="454" t="str">
        <f t="shared" si="449"/>
        <v>*</v>
      </c>
      <c r="AG398" s="454" t="str">
        <f t="shared" si="449"/>
        <v>*</v>
      </c>
      <c r="AH398" s="454" t="str">
        <f t="shared" si="449"/>
        <v>*</v>
      </c>
    </row>
    <row r="399" spans="1:34" ht="12.75">
      <c r="A399" s="14" t="s">
        <v>3721</v>
      </c>
      <c r="B399" s="24" t="s">
        <v>2630</v>
      </c>
      <c r="C399" s="14" t="s">
        <v>2636</v>
      </c>
      <c r="D399" s="14" t="s">
        <v>2911</v>
      </c>
      <c r="E399" s="14" t="s">
        <v>3722</v>
      </c>
      <c r="F399" s="13">
        <v>50.72</v>
      </c>
      <c r="G399" s="14" t="s">
        <v>3704</v>
      </c>
      <c r="H399" s="13">
        <v>7024</v>
      </c>
      <c r="I399" s="14" t="s">
        <v>3741</v>
      </c>
      <c r="J399" s="14" t="s">
        <v>3742</v>
      </c>
      <c r="K399" s="478">
        <v>0.13</v>
      </c>
      <c r="L399" s="220">
        <v>6.5</v>
      </c>
      <c r="M399" s="473" t="s">
        <v>3743</v>
      </c>
      <c r="N399" s="473"/>
      <c r="O399" s="473" t="s">
        <v>3744</v>
      </c>
      <c r="P399" s="14" t="s">
        <v>2962</v>
      </c>
      <c r="Q399" s="14" t="s">
        <v>2963</v>
      </c>
      <c r="R399" s="14">
        <v>0.2</v>
      </c>
      <c r="S399" s="14">
        <f t="shared" si="210"/>
        <v>1.3000000000000001E-2</v>
      </c>
      <c r="T399" s="220">
        <f>SUM(R394:R401)</f>
        <v>97.830000000000013</v>
      </c>
      <c r="U399" s="14">
        <f t="shared" si="444"/>
        <v>0.20443626699376466</v>
      </c>
      <c r="V399" s="220">
        <f>U399*100/SUM(U394:U395,U397:U401)</f>
        <v>0.41814760610495505</v>
      </c>
      <c r="W399" s="14" t="s">
        <v>425</v>
      </c>
      <c r="X399" s="500">
        <f t="shared" si="410"/>
        <v>5.435918879364416E-2</v>
      </c>
      <c r="Y399" s="220" t="s">
        <v>1666</v>
      </c>
      <c r="Z399" s="220" t="str">
        <f t="shared" ref="Z399:AH399" si="450">Y399</f>
        <v>*</v>
      </c>
      <c r="AA399" s="792" t="str">
        <f t="shared" si="450"/>
        <v>*</v>
      </c>
      <c r="AB399" s="458" t="str">
        <f t="shared" si="450"/>
        <v>*</v>
      </c>
      <c r="AC399" s="497" t="str">
        <f t="shared" si="450"/>
        <v>*</v>
      </c>
      <c r="AD399" s="497" t="str">
        <f t="shared" si="450"/>
        <v>*</v>
      </c>
      <c r="AE399" s="454" t="str">
        <f t="shared" si="450"/>
        <v>*</v>
      </c>
      <c r="AF399" s="454" t="str">
        <f t="shared" si="450"/>
        <v>*</v>
      </c>
      <c r="AG399" s="454" t="str">
        <f t="shared" si="450"/>
        <v>*</v>
      </c>
      <c r="AH399" s="454" t="str">
        <f t="shared" si="450"/>
        <v>*</v>
      </c>
    </row>
    <row r="400" spans="1:34" ht="12.75">
      <c r="A400" s="14" t="s">
        <v>3721</v>
      </c>
      <c r="B400" s="24" t="s">
        <v>2630</v>
      </c>
      <c r="C400" s="14" t="s">
        <v>2636</v>
      </c>
      <c r="D400" s="14" t="s">
        <v>2911</v>
      </c>
      <c r="E400" s="14" t="s">
        <v>3722</v>
      </c>
      <c r="F400" s="13">
        <v>50.72</v>
      </c>
      <c r="G400" s="14" t="s">
        <v>3704</v>
      </c>
      <c r="H400" s="13">
        <v>7024</v>
      </c>
      <c r="I400" s="14" t="s">
        <v>3741</v>
      </c>
      <c r="J400" s="14" t="s">
        <v>3742</v>
      </c>
      <c r="K400" s="478">
        <v>0.13</v>
      </c>
      <c r="L400" s="220">
        <v>6.5</v>
      </c>
      <c r="M400" s="473" t="s">
        <v>3743</v>
      </c>
      <c r="N400" s="473"/>
      <c r="O400" s="473" t="s">
        <v>3744</v>
      </c>
      <c r="P400" s="14" t="s">
        <v>3051</v>
      </c>
      <c r="Q400" s="486" t="s">
        <v>3084</v>
      </c>
      <c r="R400" s="14">
        <v>0.2</v>
      </c>
      <c r="S400" s="14">
        <f t="shared" si="210"/>
        <v>1.3000000000000001E-2</v>
      </c>
      <c r="T400" s="220">
        <f>SUM(R394:R401)</f>
        <v>97.830000000000013</v>
      </c>
      <c r="U400" s="14">
        <f t="shared" si="444"/>
        <v>0.20443626699376466</v>
      </c>
      <c r="V400" s="220">
        <f>U400*100/SUM(U394:U395,U397:U401)</f>
        <v>0.41814760610495505</v>
      </c>
      <c r="W400" s="14" t="s">
        <v>134</v>
      </c>
      <c r="X400" s="500">
        <f t="shared" si="410"/>
        <v>5.435918879364416E-2</v>
      </c>
      <c r="Y400" s="220" t="s">
        <v>1666</v>
      </c>
      <c r="Z400" s="220" t="str">
        <f t="shared" ref="Z400:AH400" si="451">Y400</f>
        <v>*</v>
      </c>
      <c r="AA400" s="792" t="str">
        <f t="shared" si="451"/>
        <v>*</v>
      </c>
      <c r="AB400" s="458" t="str">
        <f t="shared" si="451"/>
        <v>*</v>
      </c>
      <c r="AC400" s="497" t="str">
        <f t="shared" si="451"/>
        <v>*</v>
      </c>
      <c r="AD400" s="497" t="str">
        <f t="shared" si="451"/>
        <v>*</v>
      </c>
      <c r="AE400" s="454" t="str">
        <f t="shared" si="451"/>
        <v>*</v>
      </c>
      <c r="AF400" s="454" t="str">
        <f t="shared" si="451"/>
        <v>*</v>
      </c>
      <c r="AG400" s="454" t="str">
        <f t="shared" si="451"/>
        <v>*</v>
      </c>
      <c r="AH400" s="454" t="str">
        <f t="shared" si="451"/>
        <v>*</v>
      </c>
    </row>
    <row r="401" spans="1:34" ht="12.75">
      <c r="A401" s="14" t="s">
        <v>3721</v>
      </c>
      <c r="B401" s="24" t="s">
        <v>2630</v>
      </c>
      <c r="C401" s="14" t="s">
        <v>2636</v>
      </c>
      <c r="D401" s="14" t="s">
        <v>2911</v>
      </c>
      <c r="E401" s="14" t="s">
        <v>3722</v>
      </c>
      <c r="F401" s="13">
        <v>50.72</v>
      </c>
      <c r="G401" s="14" t="s">
        <v>3704</v>
      </c>
      <c r="H401" s="13">
        <v>7024</v>
      </c>
      <c r="I401" s="135" t="s">
        <v>3741</v>
      </c>
      <c r="J401" s="135" t="s">
        <v>3742</v>
      </c>
      <c r="K401" s="475">
        <v>0.13</v>
      </c>
      <c r="L401" s="476">
        <v>6.5</v>
      </c>
      <c r="M401" s="492" t="s">
        <v>3743</v>
      </c>
      <c r="N401" s="492"/>
      <c r="O401" s="492" t="s">
        <v>3744</v>
      </c>
      <c r="P401" s="135" t="s">
        <v>83</v>
      </c>
      <c r="Q401" s="547" t="s">
        <v>3430</v>
      </c>
      <c r="R401" s="135">
        <v>2.4300000000000002</v>
      </c>
      <c r="S401" s="135">
        <f t="shared" si="210"/>
        <v>0.15795000000000001</v>
      </c>
      <c r="T401" s="854">
        <f>SUM(R394:R401)</f>
        <v>97.830000000000013</v>
      </c>
      <c r="U401" s="135">
        <f t="shared" si="444"/>
        <v>2.4839006439742408</v>
      </c>
      <c r="V401" s="476">
        <f>U401*100/SUM(U394:U395,U397:U401)</f>
        <v>5.0804934141752041</v>
      </c>
      <c r="W401" s="135" t="s">
        <v>83</v>
      </c>
      <c r="X401" s="500">
        <f t="shared" si="410"/>
        <v>0.66046414384277652</v>
      </c>
      <c r="Y401" s="220" t="s">
        <v>1666</v>
      </c>
      <c r="Z401" s="220" t="str">
        <f t="shared" ref="Z401:AH401" si="452">Y401</f>
        <v>*</v>
      </c>
      <c r="AA401" s="792" t="str">
        <f t="shared" si="452"/>
        <v>*</v>
      </c>
      <c r="AB401" s="458" t="str">
        <f t="shared" si="452"/>
        <v>*</v>
      </c>
      <c r="AC401" s="497" t="str">
        <f t="shared" si="452"/>
        <v>*</v>
      </c>
      <c r="AD401" s="497" t="str">
        <f t="shared" si="452"/>
        <v>*</v>
      </c>
      <c r="AE401" s="454" t="str">
        <f t="shared" si="452"/>
        <v>*</v>
      </c>
      <c r="AF401" s="454" t="str">
        <f t="shared" si="452"/>
        <v>*</v>
      </c>
      <c r="AG401" s="454" t="str">
        <f t="shared" si="452"/>
        <v>*</v>
      </c>
      <c r="AH401" s="454" t="str">
        <f t="shared" si="452"/>
        <v>*</v>
      </c>
    </row>
    <row r="402" spans="1:34" ht="12.75">
      <c r="A402" s="14" t="s">
        <v>3721</v>
      </c>
      <c r="B402" s="24" t="s">
        <v>2630</v>
      </c>
      <c r="C402" s="14" t="s">
        <v>2636</v>
      </c>
      <c r="D402" s="14" t="s">
        <v>2911</v>
      </c>
      <c r="E402" s="14" t="s">
        <v>3722</v>
      </c>
      <c r="F402" s="13">
        <v>50.72</v>
      </c>
      <c r="G402" s="14" t="s">
        <v>3704</v>
      </c>
      <c r="H402" s="13">
        <v>7024</v>
      </c>
      <c r="I402" s="655" t="s">
        <v>3745</v>
      </c>
      <c r="J402" s="14" t="s">
        <v>3746</v>
      </c>
      <c r="K402" s="478">
        <v>0.09</v>
      </c>
      <c r="L402" s="220">
        <v>4.5</v>
      </c>
      <c r="M402" s="473" t="s">
        <v>3747</v>
      </c>
      <c r="N402" s="473"/>
      <c r="O402" s="473" t="s">
        <v>3748</v>
      </c>
      <c r="P402" s="14" t="s">
        <v>360</v>
      </c>
      <c r="Q402" s="14" t="s">
        <v>3718</v>
      </c>
      <c r="R402" s="14">
        <v>42</v>
      </c>
      <c r="S402" s="14">
        <f t="shared" si="210"/>
        <v>1.89</v>
      </c>
      <c r="T402" s="220">
        <f t="shared" ref="T402:T410" si="453">SUM($R$402:$R$410)</f>
        <v>99.999999999999986</v>
      </c>
      <c r="U402" s="14">
        <f t="shared" ref="U402:U419" si="454">R402</f>
        <v>42</v>
      </c>
      <c r="V402" s="220">
        <f>U402*100/SUM(U402,U404:U410)</f>
        <v>68.071312803889796</v>
      </c>
      <c r="W402" s="14" t="s">
        <v>360</v>
      </c>
      <c r="X402" s="500">
        <f t="shared" si="410"/>
        <v>6.1264181523500811</v>
      </c>
      <c r="Y402" s="220" t="s">
        <v>1666</v>
      </c>
      <c r="Z402" s="220" t="str">
        <f t="shared" ref="Z402:AH402" si="455">Y402</f>
        <v>*</v>
      </c>
      <c r="AA402" s="792" t="str">
        <f t="shared" si="455"/>
        <v>*</v>
      </c>
      <c r="AB402" s="458" t="str">
        <f t="shared" si="455"/>
        <v>*</v>
      </c>
      <c r="AC402" s="497" t="str">
        <f t="shared" si="455"/>
        <v>*</v>
      </c>
      <c r="AD402" s="497" t="str">
        <f t="shared" si="455"/>
        <v>*</v>
      </c>
      <c r="AE402" s="454" t="str">
        <f t="shared" si="455"/>
        <v>*</v>
      </c>
      <c r="AF402" s="454" t="str">
        <f t="shared" si="455"/>
        <v>*</v>
      </c>
      <c r="AG402" s="454" t="str">
        <f t="shared" si="455"/>
        <v>*</v>
      </c>
      <c r="AH402" s="454" t="str">
        <f t="shared" si="455"/>
        <v>*</v>
      </c>
    </row>
    <row r="403" spans="1:34" ht="12.75">
      <c r="A403" s="14" t="s">
        <v>3721</v>
      </c>
      <c r="B403" s="24" t="s">
        <v>2630</v>
      </c>
      <c r="C403" s="14" t="s">
        <v>2636</v>
      </c>
      <c r="D403" s="14" t="s">
        <v>2911</v>
      </c>
      <c r="E403" s="14" t="s">
        <v>3722</v>
      </c>
      <c r="F403" s="13">
        <v>50.72</v>
      </c>
      <c r="G403" s="14" t="s">
        <v>3704</v>
      </c>
      <c r="H403" s="13">
        <v>7024</v>
      </c>
      <c r="I403" s="655" t="s">
        <v>3745</v>
      </c>
      <c r="J403" s="14" t="s">
        <v>3746</v>
      </c>
      <c r="K403" s="478">
        <v>0.09</v>
      </c>
      <c r="L403" s="220">
        <v>4.5</v>
      </c>
      <c r="M403" s="473" t="s">
        <v>3747</v>
      </c>
      <c r="N403" s="473"/>
      <c r="O403" s="473" t="s">
        <v>3748</v>
      </c>
      <c r="P403" s="14" t="s">
        <v>2938</v>
      </c>
      <c r="Q403" s="435" t="s">
        <v>2939</v>
      </c>
      <c r="R403" s="14">
        <v>38.299999999999997</v>
      </c>
      <c r="S403" s="14">
        <f t="shared" si="210"/>
        <v>1.7235</v>
      </c>
      <c r="T403" s="220">
        <f t="shared" si="453"/>
        <v>99.999999999999986</v>
      </c>
      <c r="U403" s="14">
        <f t="shared" si="454"/>
        <v>38.299999999999997</v>
      </c>
      <c r="V403" s="481">
        <f>U403</f>
        <v>38.299999999999997</v>
      </c>
      <c r="W403" s="482" t="s">
        <v>72</v>
      </c>
      <c r="X403" s="502">
        <f t="shared" si="410"/>
        <v>3.4469999999999996</v>
      </c>
      <c r="Y403" s="470" t="s">
        <v>1666</v>
      </c>
      <c r="Z403" s="220" t="str">
        <f t="shared" ref="Z403:AH403" si="456">Y403</f>
        <v>*</v>
      </c>
      <c r="AA403" s="792" t="str">
        <f t="shared" si="456"/>
        <v>*</v>
      </c>
      <c r="AB403" s="458" t="str">
        <f t="shared" si="456"/>
        <v>*</v>
      </c>
      <c r="AC403" s="497" t="str">
        <f t="shared" si="456"/>
        <v>*</v>
      </c>
      <c r="AD403" s="497" t="str">
        <f t="shared" si="456"/>
        <v>*</v>
      </c>
      <c r="AE403" s="454" t="str">
        <f t="shared" si="456"/>
        <v>*</v>
      </c>
      <c r="AF403" s="454" t="str">
        <f t="shared" si="456"/>
        <v>*</v>
      </c>
      <c r="AG403" s="454" t="str">
        <f t="shared" si="456"/>
        <v>*</v>
      </c>
      <c r="AH403" s="454" t="str">
        <f t="shared" si="456"/>
        <v>*</v>
      </c>
    </row>
    <row r="404" spans="1:34" ht="12.75">
      <c r="A404" s="14" t="s">
        <v>3721</v>
      </c>
      <c r="B404" s="24" t="s">
        <v>2630</v>
      </c>
      <c r="C404" s="14" t="s">
        <v>2636</v>
      </c>
      <c r="D404" s="14" t="s">
        <v>2911</v>
      </c>
      <c r="E404" s="14" t="s">
        <v>3722</v>
      </c>
      <c r="F404" s="13">
        <v>50.72</v>
      </c>
      <c r="G404" s="14" t="s">
        <v>3704</v>
      </c>
      <c r="H404" s="13">
        <v>7024</v>
      </c>
      <c r="I404" s="655" t="s">
        <v>3745</v>
      </c>
      <c r="J404" s="14" t="s">
        <v>3746</v>
      </c>
      <c r="K404" s="478">
        <v>0.09</v>
      </c>
      <c r="L404" s="220">
        <v>4.5</v>
      </c>
      <c r="M404" s="473" t="s">
        <v>3747</v>
      </c>
      <c r="N404" s="473"/>
      <c r="O404" s="473" t="s">
        <v>3748</v>
      </c>
      <c r="P404" s="14" t="s">
        <v>379</v>
      </c>
      <c r="Q404" s="14" t="s">
        <v>3714</v>
      </c>
      <c r="R404" s="14">
        <v>4.0999999999999996</v>
      </c>
      <c r="S404" s="14">
        <f t="shared" si="210"/>
        <v>0.18449999999999997</v>
      </c>
      <c r="T404" s="220">
        <f t="shared" si="453"/>
        <v>99.999999999999986</v>
      </c>
      <c r="U404" s="14">
        <f t="shared" si="454"/>
        <v>4.0999999999999996</v>
      </c>
      <c r="V404" s="220">
        <f>U404*100/SUM(U402,U404:U410)</f>
        <v>6.645056726094003</v>
      </c>
      <c r="W404" s="14" t="s">
        <v>379</v>
      </c>
      <c r="X404" s="500">
        <f t="shared" si="410"/>
        <v>0.59805510534846029</v>
      </c>
      <c r="Y404" s="220" t="s">
        <v>1666</v>
      </c>
      <c r="Z404" s="220" t="str">
        <f t="shared" ref="Z404:AH404" si="457">Y404</f>
        <v>*</v>
      </c>
      <c r="AA404" s="792" t="str">
        <f t="shared" si="457"/>
        <v>*</v>
      </c>
      <c r="AB404" s="458" t="str">
        <f t="shared" si="457"/>
        <v>*</v>
      </c>
      <c r="AC404" s="497" t="str">
        <f t="shared" si="457"/>
        <v>*</v>
      </c>
      <c r="AD404" s="497" t="str">
        <f t="shared" si="457"/>
        <v>*</v>
      </c>
      <c r="AE404" s="454" t="str">
        <f t="shared" si="457"/>
        <v>*</v>
      </c>
      <c r="AF404" s="454" t="str">
        <f t="shared" si="457"/>
        <v>*</v>
      </c>
      <c r="AG404" s="454" t="str">
        <f t="shared" si="457"/>
        <v>*</v>
      </c>
      <c r="AH404" s="454" t="str">
        <f t="shared" si="457"/>
        <v>*</v>
      </c>
    </row>
    <row r="405" spans="1:34" ht="12.75">
      <c r="A405" s="14" t="s">
        <v>3721</v>
      </c>
      <c r="B405" s="24" t="s">
        <v>2630</v>
      </c>
      <c r="C405" s="14" t="s">
        <v>2636</v>
      </c>
      <c r="D405" s="14" t="s">
        <v>2911</v>
      </c>
      <c r="E405" s="14" t="s">
        <v>3722</v>
      </c>
      <c r="F405" s="13">
        <v>50.72</v>
      </c>
      <c r="G405" s="14" t="s">
        <v>3704</v>
      </c>
      <c r="H405" s="13">
        <v>7024</v>
      </c>
      <c r="I405" s="655" t="s">
        <v>3745</v>
      </c>
      <c r="J405" s="14" t="s">
        <v>3746</v>
      </c>
      <c r="K405" s="478">
        <v>0.09</v>
      </c>
      <c r="L405" s="220">
        <v>4.5</v>
      </c>
      <c r="M405" s="473" t="s">
        <v>3747</v>
      </c>
      <c r="N405" s="473"/>
      <c r="O405" s="473" t="s">
        <v>3748</v>
      </c>
      <c r="P405" s="655" t="s">
        <v>3005</v>
      </c>
      <c r="Q405" s="486" t="s">
        <v>3006</v>
      </c>
      <c r="R405" s="14">
        <v>4</v>
      </c>
      <c r="S405" s="14">
        <f t="shared" si="210"/>
        <v>0.18</v>
      </c>
      <c r="T405" s="220">
        <f t="shared" si="453"/>
        <v>99.999999999999986</v>
      </c>
      <c r="U405" s="14">
        <f t="shared" si="454"/>
        <v>4</v>
      </c>
      <c r="V405" s="220">
        <f>U405*100/SUM(U402,U404:U410)</f>
        <v>6.4829821717990281</v>
      </c>
      <c r="W405" s="14" t="s">
        <v>2779</v>
      </c>
      <c r="X405" s="500">
        <f t="shared" si="410"/>
        <v>0.58346839546191254</v>
      </c>
      <c r="Y405" s="220" t="s">
        <v>1666</v>
      </c>
      <c r="Z405" s="220" t="str">
        <f t="shared" ref="Z405:AH405" si="458">Y405</f>
        <v>*</v>
      </c>
      <c r="AA405" s="792" t="str">
        <f t="shared" si="458"/>
        <v>*</v>
      </c>
      <c r="AB405" s="458" t="str">
        <f t="shared" si="458"/>
        <v>*</v>
      </c>
      <c r="AC405" s="497" t="str">
        <f t="shared" si="458"/>
        <v>*</v>
      </c>
      <c r="AD405" s="497" t="str">
        <f t="shared" si="458"/>
        <v>*</v>
      </c>
      <c r="AE405" s="454" t="str">
        <f t="shared" si="458"/>
        <v>*</v>
      </c>
      <c r="AF405" s="454" t="str">
        <f t="shared" si="458"/>
        <v>*</v>
      </c>
      <c r="AG405" s="454" t="str">
        <f t="shared" si="458"/>
        <v>*</v>
      </c>
      <c r="AH405" s="454" t="str">
        <f t="shared" si="458"/>
        <v>*</v>
      </c>
    </row>
    <row r="406" spans="1:34" ht="12.75">
      <c r="A406" s="14" t="s">
        <v>3721</v>
      </c>
      <c r="B406" s="24" t="s">
        <v>2630</v>
      </c>
      <c r="C406" s="14" t="s">
        <v>2636</v>
      </c>
      <c r="D406" s="14" t="s">
        <v>2911</v>
      </c>
      <c r="E406" s="14" t="s">
        <v>3722</v>
      </c>
      <c r="F406" s="13">
        <v>50.72</v>
      </c>
      <c r="G406" s="14" t="s">
        <v>3704</v>
      </c>
      <c r="H406" s="13">
        <v>7024</v>
      </c>
      <c r="I406" s="655" t="s">
        <v>3745</v>
      </c>
      <c r="J406" s="14" t="s">
        <v>3746</v>
      </c>
      <c r="K406" s="478">
        <v>0.09</v>
      </c>
      <c r="L406" s="220">
        <v>4.5</v>
      </c>
      <c r="M406" s="473" t="s">
        <v>3747</v>
      </c>
      <c r="N406" s="473"/>
      <c r="O406" s="473" t="s">
        <v>3748</v>
      </c>
      <c r="P406" s="14" t="s">
        <v>2994</v>
      </c>
      <c r="Q406" s="14" t="s">
        <v>2995</v>
      </c>
      <c r="R406" s="14">
        <v>4</v>
      </c>
      <c r="S406" s="14">
        <f t="shared" si="210"/>
        <v>0.18</v>
      </c>
      <c r="T406" s="220">
        <f t="shared" si="453"/>
        <v>99.999999999999986</v>
      </c>
      <c r="U406" s="14">
        <f t="shared" si="454"/>
        <v>4</v>
      </c>
      <c r="V406" s="220">
        <f>U406*100/SUM(U402,U404:U410)</f>
        <v>6.4829821717990281</v>
      </c>
      <c r="W406" s="14" t="s">
        <v>121</v>
      </c>
      <c r="X406" s="500">
        <f t="shared" si="410"/>
        <v>0.58346839546191254</v>
      </c>
      <c r="Y406" s="220" t="s">
        <v>1666</v>
      </c>
      <c r="Z406" s="220" t="str">
        <f t="shared" ref="Z406:AH406" si="459">Y406</f>
        <v>*</v>
      </c>
      <c r="AA406" s="792" t="str">
        <f t="shared" si="459"/>
        <v>*</v>
      </c>
      <c r="AB406" s="458" t="str">
        <f t="shared" si="459"/>
        <v>*</v>
      </c>
      <c r="AC406" s="497" t="str">
        <f t="shared" si="459"/>
        <v>*</v>
      </c>
      <c r="AD406" s="497" t="str">
        <f t="shared" si="459"/>
        <v>*</v>
      </c>
      <c r="AE406" s="454" t="str">
        <f t="shared" si="459"/>
        <v>*</v>
      </c>
      <c r="AF406" s="454" t="str">
        <f t="shared" si="459"/>
        <v>*</v>
      </c>
      <c r="AG406" s="454" t="str">
        <f t="shared" si="459"/>
        <v>*</v>
      </c>
      <c r="AH406" s="454" t="str">
        <f t="shared" si="459"/>
        <v>*</v>
      </c>
    </row>
    <row r="407" spans="1:34" ht="12.75">
      <c r="A407" s="14" t="s">
        <v>3721</v>
      </c>
      <c r="B407" s="24" t="s">
        <v>2630</v>
      </c>
      <c r="C407" s="14" t="s">
        <v>2636</v>
      </c>
      <c r="D407" s="14" t="s">
        <v>2911</v>
      </c>
      <c r="E407" s="14" t="s">
        <v>3722</v>
      </c>
      <c r="F407" s="13">
        <v>50.72</v>
      </c>
      <c r="G407" s="14" t="s">
        <v>3704</v>
      </c>
      <c r="H407" s="13">
        <v>7024</v>
      </c>
      <c r="I407" s="655" t="s">
        <v>3745</v>
      </c>
      <c r="J407" s="14" t="s">
        <v>3746</v>
      </c>
      <c r="K407" s="478">
        <v>0.09</v>
      </c>
      <c r="L407" s="220">
        <v>4.5</v>
      </c>
      <c r="M407" s="473" t="s">
        <v>3747</v>
      </c>
      <c r="N407" s="473"/>
      <c r="O407" s="473" t="s">
        <v>3748</v>
      </c>
      <c r="P407" s="14" t="s">
        <v>2945</v>
      </c>
      <c r="Q407" s="14" t="s">
        <v>2946</v>
      </c>
      <c r="R407" s="14">
        <v>2</v>
      </c>
      <c r="S407" s="14">
        <f t="shared" si="210"/>
        <v>0.09</v>
      </c>
      <c r="T407" s="220">
        <f t="shared" si="453"/>
        <v>99.999999999999986</v>
      </c>
      <c r="U407" s="14">
        <f t="shared" si="454"/>
        <v>2</v>
      </c>
      <c r="V407" s="220">
        <f>U407*100/SUM(U402,U404:U410)</f>
        <v>3.2414910858995141</v>
      </c>
      <c r="W407" s="14" t="s">
        <v>433</v>
      </c>
      <c r="X407" s="500">
        <f t="shared" si="410"/>
        <v>0.29173419773095627</v>
      </c>
      <c r="Y407" s="220" t="s">
        <v>1666</v>
      </c>
      <c r="Z407" s="220" t="str">
        <f t="shared" ref="Z407:AH407" si="460">Y407</f>
        <v>*</v>
      </c>
      <c r="AA407" s="792" t="str">
        <f t="shared" si="460"/>
        <v>*</v>
      </c>
      <c r="AB407" s="458" t="str">
        <f t="shared" si="460"/>
        <v>*</v>
      </c>
      <c r="AC407" s="497" t="str">
        <f t="shared" si="460"/>
        <v>*</v>
      </c>
      <c r="AD407" s="497" t="str">
        <f t="shared" si="460"/>
        <v>*</v>
      </c>
      <c r="AE407" s="454" t="str">
        <f t="shared" si="460"/>
        <v>*</v>
      </c>
      <c r="AF407" s="454" t="str">
        <f t="shared" si="460"/>
        <v>*</v>
      </c>
      <c r="AG407" s="454" t="str">
        <f t="shared" si="460"/>
        <v>*</v>
      </c>
      <c r="AH407" s="454" t="str">
        <f t="shared" si="460"/>
        <v>*</v>
      </c>
    </row>
    <row r="408" spans="1:34" ht="12.75">
      <c r="A408" s="14" t="s">
        <v>3721</v>
      </c>
      <c r="B408" s="24" t="s">
        <v>2630</v>
      </c>
      <c r="C408" s="14" t="s">
        <v>2636</v>
      </c>
      <c r="D408" s="14" t="s">
        <v>2911</v>
      </c>
      <c r="E408" s="14" t="s">
        <v>3722</v>
      </c>
      <c r="F408" s="13">
        <v>50.72</v>
      </c>
      <c r="G408" s="14" t="s">
        <v>3704</v>
      </c>
      <c r="H408" s="13">
        <v>7024</v>
      </c>
      <c r="I408" s="655" t="s">
        <v>3745</v>
      </c>
      <c r="J408" s="14" t="s">
        <v>3746</v>
      </c>
      <c r="K408" s="478">
        <v>0.09</v>
      </c>
      <c r="L408" s="220">
        <v>4.5</v>
      </c>
      <c r="M408" s="473" t="s">
        <v>3747</v>
      </c>
      <c r="N408" s="473"/>
      <c r="O408" s="473" t="s">
        <v>3748</v>
      </c>
      <c r="P408" s="14" t="s">
        <v>3738</v>
      </c>
      <c r="Q408" s="14" t="s">
        <v>3739</v>
      </c>
      <c r="R408" s="14">
        <v>2</v>
      </c>
      <c r="S408" s="14">
        <f t="shared" si="210"/>
        <v>0.09</v>
      </c>
      <c r="T408" s="220">
        <f t="shared" si="453"/>
        <v>99.999999999999986</v>
      </c>
      <c r="U408" s="14">
        <f t="shared" si="454"/>
        <v>2</v>
      </c>
      <c r="V408" s="220">
        <f>U408*100/SUM(U402,U404:U410)</f>
        <v>3.2414910858995141</v>
      </c>
      <c r="W408" s="14" t="s">
        <v>370</v>
      </c>
      <c r="X408" s="500">
        <f t="shared" si="410"/>
        <v>0.29173419773095627</v>
      </c>
      <c r="Y408" s="220" t="s">
        <v>1666</v>
      </c>
      <c r="Z408" s="220" t="str">
        <f t="shared" ref="Z408:AH408" si="461">Y408</f>
        <v>*</v>
      </c>
      <c r="AA408" s="792" t="str">
        <f t="shared" si="461"/>
        <v>*</v>
      </c>
      <c r="AB408" s="458" t="str">
        <f t="shared" si="461"/>
        <v>*</v>
      </c>
      <c r="AC408" s="497" t="str">
        <f t="shared" si="461"/>
        <v>*</v>
      </c>
      <c r="AD408" s="497" t="str">
        <f t="shared" si="461"/>
        <v>*</v>
      </c>
      <c r="AE408" s="454" t="str">
        <f t="shared" si="461"/>
        <v>*</v>
      </c>
      <c r="AF408" s="454" t="str">
        <f t="shared" si="461"/>
        <v>*</v>
      </c>
      <c r="AG408" s="454" t="str">
        <f t="shared" si="461"/>
        <v>*</v>
      </c>
      <c r="AH408" s="454" t="str">
        <f t="shared" si="461"/>
        <v>*</v>
      </c>
    </row>
    <row r="409" spans="1:34" ht="12.75">
      <c r="A409" s="14" t="s">
        <v>3721</v>
      </c>
      <c r="B409" s="24" t="s">
        <v>2630</v>
      </c>
      <c r="C409" s="14" t="s">
        <v>2636</v>
      </c>
      <c r="D409" s="14" t="s">
        <v>2911</v>
      </c>
      <c r="E409" s="14" t="s">
        <v>3722</v>
      </c>
      <c r="F409" s="13">
        <v>50.72</v>
      </c>
      <c r="G409" s="14" t="s">
        <v>3704</v>
      </c>
      <c r="H409" s="13">
        <v>7024</v>
      </c>
      <c r="I409" s="655" t="s">
        <v>3745</v>
      </c>
      <c r="J409" s="14" t="s">
        <v>3746</v>
      </c>
      <c r="K409" s="478">
        <v>0.09</v>
      </c>
      <c r="L409" s="220">
        <v>4.5</v>
      </c>
      <c r="M409" s="473" t="s">
        <v>3747</v>
      </c>
      <c r="N409" s="473"/>
      <c r="O409" s="473" t="s">
        <v>3748</v>
      </c>
      <c r="P409" s="14" t="s">
        <v>2962</v>
      </c>
      <c r="Q409" s="14" t="s">
        <v>2963</v>
      </c>
      <c r="R409" s="14">
        <v>1.8</v>
      </c>
      <c r="S409" s="14">
        <f t="shared" si="210"/>
        <v>8.1000000000000016E-2</v>
      </c>
      <c r="T409" s="220">
        <f t="shared" si="453"/>
        <v>99.999999999999986</v>
      </c>
      <c r="U409" s="14">
        <f t="shared" si="454"/>
        <v>1.8</v>
      </c>
      <c r="V409" s="220">
        <f>U409*100/SUM(U402,U404:U410)</f>
        <v>2.9173419773095626</v>
      </c>
      <c r="W409" s="14" t="s">
        <v>425</v>
      </c>
      <c r="X409" s="500">
        <f t="shared" si="410"/>
        <v>0.26256077795786065</v>
      </c>
      <c r="Y409" s="220" t="s">
        <v>1666</v>
      </c>
      <c r="Z409" s="220" t="str">
        <f t="shared" ref="Z409:AH409" si="462">Y409</f>
        <v>*</v>
      </c>
      <c r="AA409" s="792" t="str">
        <f t="shared" si="462"/>
        <v>*</v>
      </c>
      <c r="AB409" s="458" t="str">
        <f t="shared" si="462"/>
        <v>*</v>
      </c>
      <c r="AC409" s="497" t="str">
        <f t="shared" si="462"/>
        <v>*</v>
      </c>
      <c r="AD409" s="497" t="str">
        <f t="shared" si="462"/>
        <v>*</v>
      </c>
      <c r="AE409" s="454" t="str">
        <f t="shared" si="462"/>
        <v>*</v>
      </c>
      <c r="AF409" s="454" t="str">
        <f t="shared" si="462"/>
        <v>*</v>
      </c>
      <c r="AG409" s="454" t="str">
        <f t="shared" si="462"/>
        <v>*</v>
      </c>
      <c r="AH409" s="454" t="str">
        <f t="shared" si="462"/>
        <v>*</v>
      </c>
    </row>
    <row r="410" spans="1:34" ht="12.75">
      <c r="A410" s="14" t="s">
        <v>3721</v>
      </c>
      <c r="B410" s="24" t="s">
        <v>2630</v>
      </c>
      <c r="C410" s="14" t="s">
        <v>2636</v>
      </c>
      <c r="D410" s="14" t="s">
        <v>2911</v>
      </c>
      <c r="E410" s="14" t="s">
        <v>3722</v>
      </c>
      <c r="F410" s="13">
        <v>50.72</v>
      </c>
      <c r="G410" s="14" t="s">
        <v>3704</v>
      </c>
      <c r="H410" s="13">
        <v>7024</v>
      </c>
      <c r="I410" s="848" t="s">
        <v>3745</v>
      </c>
      <c r="J410" s="135" t="s">
        <v>3746</v>
      </c>
      <c r="K410" s="475">
        <v>0.09</v>
      </c>
      <c r="L410" s="476">
        <v>4.5</v>
      </c>
      <c r="M410" s="492" t="s">
        <v>3747</v>
      </c>
      <c r="N410" s="492"/>
      <c r="O410" s="492" t="s">
        <v>3748</v>
      </c>
      <c r="P410" s="135" t="s">
        <v>83</v>
      </c>
      <c r="Q410" s="547" t="s">
        <v>3430</v>
      </c>
      <c r="R410" s="135">
        <v>1.8</v>
      </c>
      <c r="S410" s="135">
        <f t="shared" si="210"/>
        <v>8.1000000000000016E-2</v>
      </c>
      <c r="T410" s="476">
        <f t="shared" si="453"/>
        <v>99.999999999999986</v>
      </c>
      <c r="U410" s="135">
        <f t="shared" si="454"/>
        <v>1.8</v>
      </c>
      <c r="V410" s="476">
        <f>U410*100/SUM(U402,U404:U410)</f>
        <v>2.9173419773095626</v>
      </c>
      <c r="W410" s="135" t="s">
        <v>83</v>
      </c>
      <c r="X410" s="500">
        <f t="shared" si="410"/>
        <v>0.26256077795786065</v>
      </c>
      <c r="Y410" s="220" t="s">
        <v>1666</v>
      </c>
      <c r="Z410" s="220" t="str">
        <f t="shared" ref="Z410:AH410" si="463">Y410</f>
        <v>*</v>
      </c>
      <c r="AA410" s="792" t="str">
        <f t="shared" si="463"/>
        <v>*</v>
      </c>
      <c r="AB410" s="458" t="str">
        <f t="shared" si="463"/>
        <v>*</v>
      </c>
      <c r="AC410" s="497" t="str">
        <f t="shared" si="463"/>
        <v>*</v>
      </c>
      <c r="AD410" s="497" t="str">
        <f t="shared" si="463"/>
        <v>*</v>
      </c>
      <c r="AE410" s="454" t="str">
        <f t="shared" si="463"/>
        <v>*</v>
      </c>
      <c r="AF410" s="454" t="str">
        <f t="shared" si="463"/>
        <v>*</v>
      </c>
      <c r="AG410" s="454" t="str">
        <f t="shared" si="463"/>
        <v>*</v>
      </c>
      <c r="AH410" s="454" t="str">
        <f t="shared" si="463"/>
        <v>*</v>
      </c>
    </row>
    <row r="411" spans="1:34" ht="12.75">
      <c r="A411" s="14" t="s">
        <v>3721</v>
      </c>
      <c r="B411" s="24" t="s">
        <v>2630</v>
      </c>
      <c r="C411" s="14" t="s">
        <v>2636</v>
      </c>
      <c r="D411" s="14" t="s">
        <v>2911</v>
      </c>
      <c r="E411" s="14" t="s">
        <v>3722</v>
      </c>
      <c r="F411" s="13">
        <v>50.72</v>
      </c>
      <c r="G411" s="14" t="s">
        <v>3704</v>
      </c>
      <c r="H411" s="13">
        <v>7024</v>
      </c>
      <c r="I411" s="14" t="s">
        <v>3749</v>
      </c>
      <c r="J411" s="14" t="s">
        <v>3750</v>
      </c>
      <c r="K411" s="478">
        <v>0.42</v>
      </c>
      <c r="L411" s="220">
        <v>23.52</v>
      </c>
      <c r="M411" s="473" t="s">
        <v>3751</v>
      </c>
      <c r="N411" s="473"/>
      <c r="O411" s="473" t="s">
        <v>3752</v>
      </c>
      <c r="P411" s="14" t="s">
        <v>360</v>
      </c>
      <c r="Q411" s="14" t="s">
        <v>3718</v>
      </c>
      <c r="R411" s="14">
        <v>42</v>
      </c>
      <c r="S411" s="14">
        <f t="shared" si="210"/>
        <v>9.8783999999999992</v>
      </c>
      <c r="T411" s="220">
        <f t="shared" ref="T411:T419" si="464">SUM($R$411:$R$419)</f>
        <v>99.999999999999986</v>
      </c>
      <c r="U411" s="14">
        <f t="shared" si="454"/>
        <v>42</v>
      </c>
      <c r="V411" s="220">
        <f>U411*100/SUM(U411,U413:U419)</f>
        <v>68.071312803889796</v>
      </c>
      <c r="W411" s="14" t="s">
        <v>360</v>
      </c>
      <c r="X411" s="500">
        <f t="shared" si="410"/>
        <v>28.589951377633714</v>
      </c>
      <c r="Y411" s="220" t="s">
        <v>1666</v>
      </c>
      <c r="Z411" s="220" t="str">
        <f t="shared" ref="Z411:AH411" si="465">Y411</f>
        <v>*</v>
      </c>
      <c r="AA411" s="792" t="str">
        <f t="shared" si="465"/>
        <v>*</v>
      </c>
      <c r="AB411" s="458" t="str">
        <f t="shared" si="465"/>
        <v>*</v>
      </c>
      <c r="AC411" s="497" t="str">
        <f t="shared" si="465"/>
        <v>*</v>
      </c>
      <c r="AD411" s="497" t="str">
        <f t="shared" si="465"/>
        <v>*</v>
      </c>
      <c r="AE411" s="454" t="str">
        <f t="shared" si="465"/>
        <v>*</v>
      </c>
      <c r="AF411" s="454" t="str">
        <f t="shared" si="465"/>
        <v>*</v>
      </c>
      <c r="AG411" s="454" t="str">
        <f t="shared" si="465"/>
        <v>*</v>
      </c>
      <c r="AH411" s="454" t="str">
        <f t="shared" si="465"/>
        <v>*</v>
      </c>
    </row>
    <row r="412" spans="1:34" ht="12.75">
      <c r="A412" s="14" t="s">
        <v>3721</v>
      </c>
      <c r="B412" s="24" t="s">
        <v>2630</v>
      </c>
      <c r="C412" s="14" t="s">
        <v>2636</v>
      </c>
      <c r="D412" s="14" t="s">
        <v>2911</v>
      </c>
      <c r="E412" s="14" t="s">
        <v>3722</v>
      </c>
      <c r="F412" s="13">
        <v>50.72</v>
      </c>
      <c r="G412" s="14" t="s">
        <v>3704</v>
      </c>
      <c r="H412" s="13">
        <v>7024</v>
      </c>
      <c r="I412" s="14" t="s">
        <v>3749</v>
      </c>
      <c r="J412" s="14" t="s">
        <v>3750</v>
      </c>
      <c r="K412" s="478">
        <v>0.42</v>
      </c>
      <c r="L412" s="220">
        <v>23.52</v>
      </c>
      <c r="M412" s="473" t="s">
        <v>3751</v>
      </c>
      <c r="N412" s="473"/>
      <c r="O412" s="473" t="s">
        <v>3752</v>
      </c>
      <c r="P412" s="14" t="s">
        <v>2938</v>
      </c>
      <c r="Q412" s="435" t="s">
        <v>2939</v>
      </c>
      <c r="R412" s="14">
        <v>38.299999999999997</v>
      </c>
      <c r="S412" s="14">
        <f t="shared" si="210"/>
        <v>9.0081600000000002</v>
      </c>
      <c r="T412" s="220">
        <f t="shared" si="464"/>
        <v>99.999999999999986</v>
      </c>
      <c r="U412" s="14">
        <f t="shared" si="454"/>
        <v>38.299999999999997</v>
      </c>
      <c r="V412" s="481">
        <f>U412</f>
        <v>38.299999999999997</v>
      </c>
      <c r="W412" s="482" t="s">
        <v>72</v>
      </c>
      <c r="X412" s="502">
        <f t="shared" si="410"/>
        <v>16.085999999999999</v>
      </c>
      <c r="Y412" s="470" t="s">
        <v>1666</v>
      </c>
      <c r="Z412" s="220" t="str">
        <f t="shared" ref="Z412:AH412" si="466">Y412</f>
        <v>*</v>
      </c>
      <c r="AA412" s="792" t="str">
        <f t="shared" si="466"/>
        <v>*</v>
      </c>
      <c r="AB412" s="458" t="str">
        <f t="shared" si="466"/>
        <v>*</v>
      </c>
      <c r="AC412" s="497" t="str">
        <f t="shared" si="466"/>
        <v>*</v>
      </c>
      <c r="AD412" s="497" t="str">
        <f t="shared" si="466"/>
        <v>*</v>
      </c>
      <c r="AE412" s="454" t="str">
        <f t="shared" si="466"/>
        <v>*</v>
      </c>
      <c r="AF412" s="454" t="str">
        <f t="shared" si="466"/>
        <v>*</v>
      </c>
      <c r="AG412" s="454" t="str">
        <f t="shared" si="466"/>
        <v>*</v>
      </c>
      <c r="AH412" s="454" t="str">
        <f t="shared" si="466"/>
        <v>*</v>
      </c>
    </row>
    <row r="413" spans="1:34" ht="12.75">
      <c r="A413" s="14" t="s">
        <v>3721</v>
      </c>
      <c r="B413" s="24" t="s">
        <v>2630</v>
      </c>
      <c r="C413" s="14" t="s">
        <v>2636</v>
      </c>
      <c r="D413" s="14" t="s">
        <v>2911</v>
      </c>
      <c r="E413" s="14" t="s">
        <v>3722</v>
      </c>
      <c r="F413" s="13">
        <v>50.72</v>
      </c>
      <c r="G413" s="14" t="s">
        <v>3704</v>
      </c>
      <c r="H413" s="13">
        <v>7024</v>
      </c>
      <c r="I413" s="14" t="s">
        <v>3749</v>
      </c>
      <c r="J413" s="14" t="s">
        <v>3750</v>
      </c>
      <c r="K413" s="478">
        <v>0.42</v>
      </c>
      <c r="L413" s="220">
        <v>23.52</v>
      </c>
      <c r="M413" s="473" t="s">
        <v>3751</v>
      </c>
      <c r="N413" s="473"/>
      <c r="O413" s="473" t="s">
        <v>3752</v>
      </c>
      <c r="P413" s="14" t="s">
        <v>379</v>
      </c>
      <c r="Q413" s="14" t="s">
        <v>3714</v>
      </c>
      <c r="R413" s="14">
        <v>4.0999999999999996</v>
      </c>
      <c r="S413" s="14">
        <f t="shared" si="210"/>
        <v>0.96431999999999984</v>
      </c>
      <c r="T413" s="220">
        <f t="shared" si="464"/>
        <v>99.999999999999986</v>
      </c>
      <c r="U413" s="14">
        <f t="shared" si="454"/>
        <v>4.0999999999999996</v>
      </c>
      <c r="V413" s="220">
        <f>U413*100/SUM(U411,U413:U419)</f>
        <v>6.645056726094003</v>
      </c>
      <c r="W413" s="14" t="s">
        <v>379</v>
      </c>
      <c r="X413" s="500">
        <f t="shared" si="410"/>
        <v>2.790923824959481</v>
      </c>
      <c r="Y413" s="220" t="s">
        <v>1666</v>
      </c>
      <c r="Z413" s="220" t="str">
        <f t="shared" ref="Z413:AH413" si="467">Y413</f>
        <v>*</v>
      </c>
      <c r="AA413" s="792" t="str">
        <f t="shared" si="467"/>
        <v>*</v>
      </c>
      <c r="AB413" s="458" t="str">
        <f t="shared" si="467"/>
        <v>*</v>
      </c>
      <c r="AC413" s="497" t="str">
        <f t="shared" si="467"/>
        <v>*</v>
      </c>
      <c r="AD413" s="497" t="str">
        <f t="shared" si="467"/>
        <v>*</v>
      </c>
      <c r="AE413" s="454" t="str">
        <f t="shared" si="467"/>
        <v>*</v>
      </c>
      <c r="AF413" s="454" t="str">
        <f t="shared" si="467"/>
        <v>*</v>
      </c>
      <c r="AG413" s="454" t="str">
        <f t="shared" si="467"/>
        <v>*</v>
      </c>
      <c r="AH413" s="454" t="str">
        <f t="shared" si="467"/>
        <v>*</v>
      </c>
    </row>
    <row r="414" spans="1:34" ht="12.75">
      <c r="A414" s="14" t="s">
        <v>3721</v>
      </c>
      <c r="B414" s="24" t="s">
        <v>2630</v>
      </c>
      <c r="C414" s="14" t="s">
        <v>2636</v>
      </c>
      <c r="D414" s="14" t="s">
        <v>2911</v>
      </c>
      <c r="E414" s="14" t="s">
        <v>3722</v>
      </c>
      <c r="F414" s="13">
        <v>50.72</v>
      </c>
      <c r="G414" s="14" t="s">
        <v>3704</v>
      </c>
      <c r="H414" s="13">
        <v>7024</v>
      </c>
      <c r="I414" s="14" t="s">
        <v>3749</v>
      </c>
      <c r="J414" s="14" t="s">
        <v>3750</v>
      </c>
      <c r="K414" s="478">
        <v>0.42</v>
      </c>
      <c r="L414" s="220">
        <v>23.52</v>
      </c>
      <c r="M414" s="473" t="s">
        <v>3751</v>
      </c>
      <c r="N414" s="473"/>
      <c r="O414" s="473" t="s">
        <v>3752</v>
      </c>
      <c r="P414" s="655" t="s">
        <v>3005</v>
      </c>
      <c r="Q414" s="486" t="s">
        <v>3006</v>
      </c>
      <c r="R414" s="14">
        <v>4</v>
      </c>
      <c r="S414" s="14">
        <f t="shared" si="210"/>
        <v>0.94079999999999997</v>
      </c>
      <c r="T414" s="220">
        <f t="shared" si="464"/>
        <v>99.999999999999986</v>
      </c>
      <c r="U414" s="14">
        <f t="shared" si="454"/>
        <v>4</v>
      </c>
      <c r="V414" s="220">
        <f>U414*100/SUM(U411,U413:U419)</f>
        <v>6.4829821717990281</v>
      </c>
      <c r="W414" s="14" t="s">
        <v>2779</v>
      </c>
      <c r="X414" s="500">
        <f t="shared" si="410"/>
        <v>2.7228525121555918</v>
      </c>
      <c r="Y414" s="220" t="s">
        <v>1666</v>
      </c>
      <c r="Z414" s="220" t="str">
        <f t="shared" ref="Z414:AH414" si="468">Y414</f>
        <v>*</v>
      </c>
      <c r="AA414" s="792" t="str">
        <f t="shared" si="468"/>
        <v>*</v>
      </c>
      <c r="AB414" s="458" t="str">
        <f t="shared" si="468"/>
        <v>*</v>
      </c>
      <c r="AC414" s="497" t="str">
        <f t="shared" si="468"/>
        <v>*</v>
      </c>
      <c r="AD414" s="497" t="str">
        <f t="shared" si="468"/>
        <v>*</v>
      </c>
      <c r="AE414" s="454" t="str">
        <f t="shared" si="468"/>
        <v>*</v>
      </c>
      <c r="AF414" s="454" t="str">
        <f t="shared" si="468"/>
        <v>*</v>
      </c>
      <c r="AG414" s="454" t="str">
        <f t="shared" si="468"/>
        <v>*</v>
      </c>
      <c r="AH414" s="454" t="str">
        <f t="shared" si="468"/>
        <v>*</v>
      </c>
    </row>
    <row r="415" spans="1:34" ht="12.75">
      <c r="A415" s="14" t="s">
        <v>3721</v>
      </c>
      <c r="B415" s="24" t="s">
        <v>2630</v>
      </c>
      <c r="C415" s="14" t="s">
        <v>2636</v>
      </c>
      <c r="D415" s="14" t="s">
        <v>2911</v>
      </c>
      <c r="E415" s="14" t="s">
        <v>3722</v>
      </c>
      <c r="F415" s="13">
        <v>50.72</v>
      </c>
      <c r="G415" s="14" t="s">
        <v>3704</v>
      </c>
      <c r="H415" s="13">
        <v>7024</v>
      </c>
      <c r="I415" s="14" t="s">
        <v>3749</v>
      </c>
      <c r="J415" s="14" t="s">
        <v>3750</v>
      </c>
      <c r="K415" s="478">
        <v>0.42</v>
      </c>
      <c r="L415" s="220">
        <v>23.52</v>
      </c>
      <c r="M415" s="473" t="s">
        <v>3751</v>
      </c>
      <c r="N415" s="473"/>
      <c r="O415" s="473" t="s">
        <v>3752</v>
      </c>
      <c r="P415" s="14" t="s">
        <v>2994</v>
      </c>
      <c r="Q415" s="14" t="s">
        <v>2995</v>
      </c>
      <c r="R415" s="14">
        <v>4</v>
      </c>
      <c r="S415" s="14">
        <f t="shared" si="210"/>
        <v>0.94079999999999997</v>
      </c>
      <c r="T415" s="220">
        <f t="shared" si="464"/>
        <v>99.999999999999986</v>
      </c>
      <c r="U415" s="14">
        <f t="shared" si="454"/>
        <v>4</v>
      </c>
      <c r="V415" s="220">
        <f>U415*100/SUM(U411,U413:U419)</f>
        <v>6.4829821717990281</v>
      </c>
      <c r="W415" s="14" t="s">
        <v>121</v>
      </c>
      <c r="X415" s="500">
        <f t="shared" si="410"/>
        <v>2.7228525121555918</v>
      </c>
      <c r="Y415" s="220" t="s">
        <v>1666</v>
      </c>
      <c r="Z415" s="220" t="str">
        <f t="shared" ref="Z415:AH415" si="469">Y415</f>
        <v>*</v>
      </c>
      <c r="AA415" s="792" t="str">
        <f t="shared" si="469"/>
        <v>*</v>
      </c>
      <c r="AB415" s="458" t="str">
        <f t="shared" si="469"/>
        <v>*</v>
      </c>
      <c r="AC415" s="497" t="str">
        <f t="shared" si="469"/>
        <v>*</v>
      </c>
      <c r="AD415" s="497" t="str">
        <f t="shared" si="469"/>
        <v>*</v>
      </c>
      <c r="AE415" s="454" t="str">
        <f t="shared" si="469"/>
        <v>*</v>
      </c>
      <c r="AF415" s="454" t="str">
        <f t="shared" si="469"/>
        <v>*</v>
      </c>
      <c r="AG415" s="454" t="str">
        <f t="shared" si="469"/>
        <v>*</v>
      </c>
      <c r="AH415" s="454" t="str">
        <f t="shared" si="469"/>
        <v>*</v>
      </c>
    </row>
    <row r="416" spans="1:34" ht="12.75">
      <c r="A416" s="14" t="s">
        <v>3721</v>
      </c>
      <c r="B416" s="24" t="s">
        <v>2630</v>
      </c>
      <c r="C416" s="14" t="s">
        <v>2636</v>
      </c>
      <c r="D416" s="14" t="s">
        <v>2911</v>
      </c>
      <c r="E416" s="14" t="s">
        <v>3722</v>
      </c>
      <c r="F416" s="13">
        <v>50.72</v>
      </c>
      <c r="G416" s="14" t="s">
        <v>3704</v>
      </c>
      <c r="H416" s="13">
        <v>7024</v>
      </c>
      <c r="I416" s="14" t="s">
        <v>3749</v>
      </c>
      <c r="J416" s="14" t="s">
        <v>3750</v>
      </c>
      <c r="K416" s="478">
        <v>0.42</v>
      </c>
      <c r="L416" s="220">
        <v>23.52</v>
      </c>
      <c r="M416" s="473" t="s">
        <v>3751</v>
      </c>
      <c r="N416" s="473"/>
      <c r="O416" s="473" t="s">
        <v>3752</v>
      </c>
      <c r="P416" s="14" t="s">
        <v>2945</v>
      </c>
      <c r="Q416" s="14" t="s">
        <v>2946</v>
      </c>
      <c r="R416" s="14">
        <v>2</v>
      </c>
      <c r="S416" s="14">
        <f t="shared" si="210"/>
        <v>0.47039999999999998</v>
      </c>
      <c r="T416" s="220">
        <f t="shared" si="464"/>
        <v>99.999999999999986</v>
      </c>
      <c r="U416" s="14">
        <f t="shared" si="454"/>
        <v>2</v>
      </c>
      <c r="V416" s="220">
        <f>U416*100/SUM(U411,U413:U419)</f>
        <v>3.2414910858995141</v>
      </c>
      <c r="W416" s="14" t="s">
        <v>433</v>
      </c>
      <c r="X416" s="500">
        <f t="shared" si="410"/>
        <v>1.3614262560777959</v>
      </c>
      <c r="Y416" s="220" t="s">
        <v>1666</v>
      </c>
      <c r="Z416" s="220" t="str">
        <f t="shared" ref="Z416:AH416" si="470">Y416</f>
        <v>*</v>
      </c>
      <c r="AA416" s="792" t="str">
        <f t="shared" si="470"/>
        <v>*</v>
      </c>
      <c r="AB416" s="458" t="str">
        <f t="shared" si="470"/>
        <v>*</v>
      </c>
      <c r="AC416" s="497" t="str">
        <f t="shared" si="470"/>
        <v>*</v>
      </c>
      <c r="AD416" s="497" t="str">
        <f t="shared" si="470"/>
        <v>*</v>
      </c>
      <c r="AE416" s="454" t="str">
        <f t="shared" si="470"/>
        <v>*</v>
      </c>
      <c r="AF416" s="454" t="str">
        <f t="shared" si="470"/>
        <v>*</v>
      </c>
      <c r="AG416" s="454" t="str">
        <f t="shared" si="470"/>
        <v>*</v>
      </c>
      <c r="AH416" s="454" t="str">
        <f t="shared" si="470"/>
        <v>*</v>
      </c>
    </row>
    <row r="417" spans="1:34" ht="12.75">
      <c r="A417" s="14" t="s">
        <v>3721</v>
      </c>
      <c r="B417" s="24" t="s">
        <v>2630</v>
      </c>
      <c r="C417" s="14" t="s">
        <v>2636</v>
      </c>
      <c r="D417" s="14" t="s">
        <v>2911</v>
      </c>
      <c r="E417" s="14" t="s">
        <v>3722</v>
      </c>
      <c r="F417" s="13">
        <v>50.72</v>
      </c>
      <c r="G417" s="14" t="s">
        <v>3704</v>
      </c>
      <c r="H417" s="13">
        <v>7024</v>
      </c>
      <c r="I417" s="14" t="s">
        <v>3749</v>
      </c>
      <c r="J417" s="14" t="s">
        <v>3750</v>
      </c>
      <c r="K417" s="478">
        <v>0.42</v>
      </c>
      <c r="L417" s="220">
        <v>23.52</v>
      </c>
      <c r="M417" s="473" t="s">
        <v>3751</v>
      </c>
      <c r="N417" s="473"/>
      <c r="O417" s="473" t="s">
        <v>3752</v>
      </c>
      <c r="P417" s="14" t="s">
        <v>3738</v>
      </c>
      <c r="Q417" s="14" t="s">
        <v>3739</v>
      </c>
      <c r="R417" s="14">
        <v>2</v>
      </c>
      <c r="S417" s="14">
        <f t="shared" si="210"/>
        <v>0.47039999999999998</v>
      </c>
      <c r="T417" s="220">
        <f t="shared" si="464"/>
        <v>99.999999999999986</v>
      </c>
      <c r="U417" s="14">
        <f t="shared" si="454"/>
        <v>2</v>
      </c>
      <c r="V417" s="220">
        <f>U417*100/SUM(U411,U413:U419)</f>
        <v>3.2414910858995141</v>
      </c>
      <c r="W417" s="14" t="s">
        <v>370</v>
      </c>
      <c r="X417" s="500">
        <f t="shared" si="410"/>
        <v>1.3614262560777959</v>
      </c>
      <c r="Y417" s="220" t="s">
        <v>1666</v>
      </c>
      <c r="Z417" s="220" t="str">
        <f t="shared" ref="Z417:AH417" si="471">Y417</f>
        <v>*</v>
      </c>
      <c r="AA417" s="792" t="str">
        <f t="shared" si="471"/>
        <v>*</v>
      </c>
      <c r="AB417" s="458" t="str">
        <f t="shared" si="471"/>
        <v>*</v>
      </c>
      <c r="AC417" s="497" t="str">
        <f t="shared" si="471"/>
        <v>*</v>
      </c>
      <c r="AD417" s="497" t="str">
        <f t="shared" si="471"/>
        <v>*</v>
      </c>
      <c r="AE417" s="454" t="str">
        <f t="shared" si="471"/>
        <v>*</v>
      </c>
      <c r="AF417" s="454" t="str">
        <f t="shared" si="471"/>
        <v>*</v>
      </c>
      <c r="AG417" s="454" t="str">
        <f t="shared" si="471"/>
        <v>*</v>
      </c>
      <c r="AH417" s="454" t="str">
        <f t="shared" si="471"/>
        <v>*</v>
      </c>
    </row>
    <row r="418" spans="1:34" ht="12.75">
      <c r="A418" s="14" t="s">
        <v>3721</v>
      </c>
      <c r="B418" s="24" t="s">
        <v>2630</v>
      </c>
      <c r="C418" s="14" t="s">
        <v>2636</v>
      </c>
      <c r="D418" s="14" t="s">
        <v>2911</v>
      </c>
      <c r="E418" s="14" t="s">
        <v>3722</v>
      </c>
      <c r="F418" s="13">
        <v>50.72</v>
      </c>
      <c r="G418" s="14" t="s">
        <v>3704</v>
      </c>
      <c r="H418" s="13">
        <v>7024</v>
      </c>
      <c r="I418" s="14" t="s">
        <v>3749</v>
      </c>
      <c r="J418" s="14" t="s">
        <v>3750</v>
      </c>
      <c r="K418" s="478">
        <v>0.42</v>
      </c>
      <c r="L418" s="220">
        <v>23.52</v>
      </c>
      <c r="M418" s="473" t="s">
        <v>3751</v>
      </c>
      <c r="N418" s="473"/>
      <c r="O418" s="473" t="s">
        <v>3752</v>
      </c>
      <c r="P418" s="14" t="s">
        <v>2962</v>
      </c>
      <c r="Q418" s="14" t="s">
        <v>2963</v>
      </c>
      <c r="R418" s="14">
        <v>1.8</v>
      </c>
      <c r="S418" s="14">
        <f t="shared" si="210"/>
        <v>0.42336000000000007</v>
      </c>
      <c r="T418" s="220">
        <f t="shared" si="464"/>
        <v>99.999999999999986</v>
      </c>
      <c r="U418" s="14">
        <f t="shared" si="454"/>
        <v>1.8</v>
      </c>
      <c r="V418" s="220">
        <f>U418*100/SUM(U411,U413:U419)</f>
        <v>2.9173419773095626</v>
      </c>
      <c r="W418" s="14" t="s">
        <v>425</v>
      </c>
      <c r="X418" s="500">
        <f t="shared" si="410"/>
        <v>1.2252836304700163</v>
      </c>
      <c r="Y418" s="220" t="s">
        <v>1666</v>
      </c>
      <c r="Z418" s="220" t="str">
        <f t="shared" ref="Z418:AH418" si="472">Y418</f>
        <v>*</v>
      </c>
      <c r="AA418" s="792" t="str">
        <f t="shared" si="472"/>
        <v>*</v>
      </c>
      <c r="AB418" s="458" t="str">
        <f t="shared" si="472"/>
        <v>*</v>
      </c>
      <c r="AC418" s="497" t="str">
        <f t="shared" si="472"/>
        <v>*</v>
      </c>
      <c r="AD418" s="497" t="str">
        <f t="shared" si="472"/>
        <v>*</v>
      </c>
      <c r="AE418" s="454" t="str">
        <f t="shared" si="472"/>
        <v>*</v>
      </c>
      <c r="AF418" s="454" t="str">
        <f t="shared" si="472"/>
        <v>*</v>
      </c>
      <c r="AG418" s="454" t="str">
        <f t="shared" si="472"/>
        <v>*</v>
      </c>
      <c r="AH418" s="454" t="str">
        <f t="shared" si="472"/>
        <v>*</v>
      </c>
    </row>
    <row r="419" spans="1:34" ht="12.75">
      <c r="A419" s="617" t="s">
        <v>3721</v>
      </c>
      <c r="B419" s="794" t="s">
        <v>2630</v>
      </c>
      <c r="C419" s="617" t="s">
        <v>2636</v>
      </c>
      <c r="D419" s="617" t="s">
        <v>2911</v>
      </c>
      <c r="E419" s="617" t="s">
        <v>3722</v>
      </c>
      <c r="F419" s="799">
        <v>50.72</v>
      </c>
      <c r="G419" s="617" t="s">
        <v>3704</v>
      </c>
      <c r="H419" s="799">
        <v>7024</v>
      </c>
      <c r="I419" s="617" t="s">
        <v>3749</v>
      </c>
      <c r="J419" s="617" t="s">
        <v>3750</v>
      </c>
      <c r="K419" s="838">
        <v>0.42</v>
      </c>
      <c r="L419" s="725">
        <v>23.52</v>
      </c>
      <c r="M419" s="850" t="s">
        <v>3751</v>
      </c>
      <c r="N419" s="850"/>
      <c r="O419" s="850" t="s">
        <v>3752</v>
      </c>
      <c r="P419" s="617" t="s">
        <v>83</v>
      </c>
      <c r="Q419" s="876" t="s">
        <v>3430</v>
      </c>
      <c r="R419" s="617">
        <v>1.8</v>
      </c>
      <c r="S419" s="617">
        <f t="shared" si="210"/>
        <v>0.42336000000000007</v>
      </c>
      <c r="T419" s="725">
        <f t="shared" si="464"/>
        <v>99.999999999999986</v>
      </c>
      <c r="U419" s="617">
        <f t="shared" si="454"/>
        <v>1.8</v>
      </c>
      <c r="V419" s="725">
        <f>U419*100/SUM(U411,U413:U419)</f>
        <v>2.9173419773095626</v>
      </c>
      <c r="W419" s="617" t="s">
        <v>83</v>
      </c>
      <c r="X419" s="855">
        <f t="shared" si="410"/>
        <v>1.2252836304700163</v>
      </c>
      <c r="Y419" s="725" t="s">
        <v>1666</v>
      </c>
      <c r="Z419" s="725" t="str">
        <f t="shared" ref="Z419:AH419" si="473">Y419</f>
        <v>*</v>
      </c>
      <c r="AA419" s="455" t="str">
        <f t="shared" si="473"/>
        <v>*</v>
      </c>
      <c r="AB419" s="821" t="str">
        <f t="shared" si="473"/>
        <v>*</v>
      </c>
      <c r="AC419" s="869" t="str">
        <f t="shared" si="473"/>
        <v>*</v>
      </c>
      <c r="AD419" s="869" t="str">
        <f t="shared" si="473"/>
        <v>*</v>
      </c>
      <c r="AE419" s="808" t="str">
        <f t="shared" si="473"/>
        <v>*</v>
      </c>
      <c r="AF419" s="808" t="str">
        <f t="shared" si="473"/>
        <v>*</v>
      </c>
      <c r="AG419" s="808" t="str">
        <f t="shared" si="473"/>
        <v>*</v>
      </c>
      <c r="AH419" s="808" t="str">
        <f t="shared" si="473"/>
        <v>*</v>
      </c>
    </row>
    <row r="420" spans="1:34" ht="12.75">
      <c r="A420" s="14" t="s">
        <v>3753</v>
      </c>
      <c r="B420" s="24" t="s">
        <v>2630</v>
      </c>
      <c r="C420" s="14" t="s">
        <v>2638</v>
      </c>
      <c r="D420" s="14" t="s">
        <v>2911</v>
      </c>
      <c r="E420" s="14" t="s">
        <v>3754</v>
      </c>
      <c r="F420" s="13">
        <v>85</v>
      </c>
      <c r="G420" s="14" t="s">
        <v>3755</v>
      </c>
      <c r="H420" s="13" t="s">
        <v>2973</v>
      </c>
      <c r="I420" s="14" t="s">
        <v>3756</v>
      </c>
      <c r="J420" s="14" t="s">
        <v>3757</v>
      </c>
      <c r="K420" s="478">
        <v>0.22</v>
      </c>
      <c r="L420" s="220">
        <v>18.7</v>
      </c>
      <c r="M420" s="473" t="s">
        <v>3758</v>
      </c>
      <c r="N420" s="473" t="s">
        <v>3759</v>
      </c>
      <c r="O420" s="473" t="s">
        <v>3760</v>
      </c>
      <c r="P420" s="352" t="s">
        <v>3761</v>
      </c>
      <c r="Q420" s="14" t="s">
        <v>3762</v>
      </c>
      <c r="R420" s="24">
        <v>67</v>
      </c>
      <c r="S420" s="14">
        <f t="shared" si="210"/>
        <v>12.529</v>
      </c>
      <c r="T420" s="487">
        <f>SUM(R420:R423)</f>
        <v>73.149999999999991</v>
      </c>
      <c r="U420" s="14">
        <f t="shared" ref="U420:U423" si="474">R420*100/T420</f>
        <v>91.592617908407391</v>
      </c>
      <c r="V420" s="220">
        <f t="shared" ref="V420:V442" si="475">U420</f>
        <v>91.592617908407391</v>
      </c>
      <c r="W420" s="14" t="s">
        <v>3728</v>
      </c>
      <c r="X420">
        <f t="shared" si="410"/>
        <v>20.150375939849628</v>
      </c>
      <c r="Y420" s="220">
        <f>SUM(X420,X423)</f>
        <v>20.842105263157897</v>
      </c>
      <c r="Z420" s="220">
        <f t="shared" ref="Z420:AA420" si="476">Y420</f>
        <v>20.842105263157897</v>
      </c>
      <c r="AA420" s="792">
        <f t="shared" si="476"/>
        <v>20.842105263157897</v>
      </c>
      <c r="AB420" s="18" t="s">
        <v>2639</v>
      </c>
      <c r="AC420" s="13" t="s">
        <v>3729</v>
      </c>
      <c r="AD420" s="13" t="s">
        <v>3730</v>
      </c>
      <c r="AE420" s="12">
        <v>1.2534820143884892E-2</v>
      </c>
      <c r="AF420" s="12">
        <v>0.10214805755395684</v>
      </c>
      <c r="AG420" s="12">
        <v>4.4435784172661873E-4</v>
      </c>
      <c r="AH420" s="12">
        <v>5.3926064954135577E-3</v>
      </c>
    </row>
    <row r="421" spans="1:34" ht="12.75">
      <c r="A421" s="14" t="s">
        <v>3753</v>
      </c>
      <c r="B421" s="24" t="s">
        <v>2630</v>
      </c>
      <c r="C421" s="14" t="s">
        <v>2638</v>
      </c>
      <c r="D421" s="14" t="s">
        <v>2911</v>
      </c>
      <c r="E421" s="14" t="s">
        <v>3754</v>
      </c>
      <c r="F421" s="13">
        <v>85</v>
      </c>
      <c r="G421" s="14" t="s">
        <v>3755</v>
      </c>
      <c r="H421" s="13" t="s">
        <v>2973</v>
      </c>
      <c r="I421" s="14" t="s">
        <v>3756</v>
      </c>
      <c r="J421" s="14" t="s">
        <v>3757</v>
      </c>
      <c r="K421" s="478">
        <v>0.22</v>
      </c>
      <c r="L421" s="220">
        <v>18.7</v>
      </c>
      <c r="M421" s="473" t="s">
        <v>3758</v>
      </c>
      <c r="N421" s="473" t="s">
        <v>3759</v>
      </c>
      <c r="O421" s="473" t="s">
        <v>3760</v>
      </c>
      <c r="P421" s="352" t="s">
        <v>3763</v>
      </c>
      <c r="Q421" s="14" t="s">
        <v>2978</v>
      </c>
      <c r="R421" s="24">
        <v>2.5</v>
      </c>
      <c r="S421" s="14">
        <f t="shared" si="210"/>
        <v>0.46750000000000003</v>
      </c>
      <c r="T421" s="487">
        <f>SUM(R420:R423)</f>
        <v>73.149999999999991</v>
      </c>
      <c r="U421" s="14">
        <f t="shared" si="474"/>
        <v>3.4176349965823656</v>
      </c>
      <c r="V421" s="220">
        <f t="shared" si="475"/>
        <v>3.4176349965823656</v>
      </c>
      <c r="W421" s="14" t="s">
        <v>227</v>
      </c>
      <c r="X421">
        <f t="shared" si="410"/>
        <v>0.75187969924812048</v>
      </c>
      <c r="Y421" s="499">
        <f t="shared" ref="Y421:AA421" si="477">X421</f>
        <v>0.75187969924812048</v>
      </c>
      <c r="Z421" s="220">
        <f t="shared" si="477"/>
        <v>0.75187969924812048</v>
      </c>
      <c r="AA421" s="792">
        <f t="shared" si="477"/>
        <v>0.75187969924812048</v>
      </c>
      <c r="AB421" s="18" t="s">
        <v>1099</v>
      </c>
      <c r="AC421" s="13" t="s">
        <v>55</v>
      </c>
      <c r="AD421" s="13" t="s">
        <v>2979</v>
      </c>
      <c r="AE421" s="12">
        <v>2.5055367220000002E-3</v>
      </c>
      <c r="AF421" s="12">
        <v>3.8459841414181101E-2</v>
      </c>
      <c r="AG421" s="12">
        <v>1.1035422343324251E-4</v>
      </c>
      <c r="AH421" s="12">
        <v>8.109653861711444E-4</v>
      </c>
    </row>
    <row r="422" spans="1:34" ht="12.75">
      <c r="A422" s="14" t="s">
        <v>3753</v>
      </c>
      <c r="B422" s="24" t="s">
        <v>2630</v>
      </c>
      <c r="C422" s="14" t="s">
        <v>2638</v>
      </c>
      <c r="D422" s="14" t="s">
        <v>2911</v>
      </c>
      <c r="E422" s="14" t="s">
        <v>3754</v>
      </c>
      <c r="F422" s="13">
        <v>85</v>
      </c>
      <c r="G422" s="14" t="s">
        <v>3755</v>
      </c>
      <c r="H422" s="13" t="s">
        <v>2973</v>
      </c>
      <c r="I422" s="14" t="s">
        <v>3756</v>
      </c>
      <c r="J422" s="14" t="s">
        <v>3757</v>
      </c>
      <c r="K422" s="478">
        <v>0.22</v>
      </c>
      <c r="L422" s="220">
        <v>18.7</v>
      </c>
      <c r="M422" s="473" t="s">
        <v>3758</v>
      </c>
      <c r="N422" s="473" t="s">
        <v>3759</v>
      </c>
      <c r="O422" s="473" t="s">
        <v>3760</v>
      </c>
      <c r="P422" s="352" t="s">
        <v>3764</v>
      </c>
      <c r="Q422" s="527" t="s">
        <v>3430</v>
      </c>
      <c r="R422" s="24">
        <v>1.35</v>
      </c>
      <c r="S422" s="14">
        <f t="shared" si="210"/>
        <v>0.25245000000000001</v>
      </c>
      <c r="T422" s="487">
        <f>SUM(R420:R423)</f>
        <v>73.149999999999991</v>
      </c>
      <c r="U422" s="14">
        <f t="shared" si="474"/>
        <v>1.8455228981544773</v>
      </c>
      <c r="V422" s="220">
        <f t="shared" si="475"/>
        <v>1.8455228981544773</v>
      </c>
      <c r="W422" s="14" t="s">
        <v>83</v>
      </c>
      <c r="X422">
        <f t="shared" si="410"/>
        <v>0.406015037593985</v>
      </c>
      <c r="Y422" s="499">
        <f t="shared" ref="Y422:AA422" si="478">X422</f>
        <v>0.406015037593985</v>
      </c>
      <c r="Z422" s="220">
        <f t="shared" si="478"/>
        <v>0.406015037593985</v>
      </c>
      <c r="AA422" s="792">
        <f t="shared" si="478"/>
        <v>0.406015037593985</v>
      </c>
      <c r="AB422" s="18" t="s">
        <v>83</v>
      </c>
      <c r="AC422" s="14" t="s">
        <v>83</v>
      </c>
      <c r="AD422" s="14" t="s">
        <v>2951</v>
      </c>
      <c r="AE422" s="12">
        <v>0</v>
      </c>
      <c r="AF422" s="12">
        <v>0</v>
      </c>
      <c r="AG422" s="12">
        <v>0</v>
      </c>
      <c r="AH422" s="12">
        <v>0</v>
      </c>
    </row>
    <row r="423" spans="1:34" ht="12.75">
      <c r="A423" s="14" t="s">
        <v>3753</v>
      </c>
      <c r="B423" s="24" t="s">
        <v>2630</v>
      </c>
      <c r="C423" s="14" t="s">
        <v>2638</v>
      </c>
      <c r="D423" s="14" t="s">
        <v>2911</v>
      </c>
      <c r="E423" s="14" t="s">
        <v>3754</v>
      </c>
      <c r="F423" s="13">
        <v>85</v>
      </c>
      <c r="G423" s="14" t="s">
        <v>3755</v>
      </c>
      <c r="H423" s="13" t="s">
        <v>2973</v>
      </c>
      <c r="I423" s="135" t="s">
        <v>3756</v>
      </c>
      <c r="J423" s="135" t="s">
        <v>3757</v>
      </c>
      <c r="K423" s="475">
        <v>0.22</v>
      </c>
      <c r="L423" s="476">
        <v>18.7</v>
      </c>
      <c r="M423" s="492" t="s">
        <v>3758</v>
      </c>
      <c r="N423" s="492" t="s">
        <v>3759</v>
      </c>
      <c r="O423" s="492" t="s">
        <v>3760</v>
      </c>
      <c r="P423" s="530" t="s">
        <v>3765</v>
      </c>
      <c r="Q423" s="135" t="s">
        <v>3732</v>
      </c>
      <c r="R423" s="506">
        <v>2.2999999999999998</v>
      </c>
      <c r="S423" s="135">
        <f t="shared" si="210"/>
        <v>0.43009999999999998</v>
      </c>
      <c r="T423" s="476">
        <f>SUM(R420:R423)</f>
        <v>73.149999999999991</v>
      </c>
      <c r="U423" s="135">
        <f t="shared" si="474"/>
        <v>3.1442241968557756</v>
      </c>
      <c r="V423" s="476">
        <f t="shared" si="475"/>
        <v>3.1442241968557756</v>
      </c>
      <c r="W423" s="135" t="s">
        <v>3733</v>
      </c>
      <c r="X423">
        <f t="shared" si="410"/>
        <v>0.69172932330827064</v>
      </c>
      <c r="Y423" s="499" t="s">
        <v>1666</v>
      </c>
      <c r="Z423" s="220" t="str">
        <f t="shared" ref="Z423:AH423" si="479">Y423</f>
        <v>*</v>
      </c>
      <c r="AA423" s="792" t="str">
        <f t="shared" si="479"/>
        <v>*</v>
      </c>
      <c r="AB423" s="458" t="str">
        <f t="shared" si="479"/>
        <v>*</v>
      </c>
      <c r="AC423" s="497" t="str">
        <f t="shared" si="479"/>
        <v>*</v>
      </c>
      <c r="AD423" s="497" t="str">
        <f t="shared" si="479"/>
        <v>*</v>
      </c>
      <c r="AE423" s="454" t="str">
        <f t="shared" si="479"/>
        <v>*</v>
      </c>
      <c r="AF423" s="454" t="str">
        <f t="shared" si="479"/>
        <v>*</v>
      </c>
      <c r="AG423" s="454" t="str">
        <f t="shared" si="479"/>
        <v>*</v>
      </c>
      <c r="AH423" s="454" t="str">
        <f t="shared" si="479"/>
        <v>*</v>
      </c>
    </row>
    <row r="424" spans="1:34" ht="12.75">
      <c r="A424" s="617" t="s">
        <v>3753</v>
      </c>
      <c r="B424" s="794" t="s">
        <v>2630</v>
      </c>
      <c r="C424" s="617" t="s">
        <v>2638</v>
      </c>
      <c r="D424" s="617" t="s">
        <v>2911</v>
      </c>
      <c r="E424" s="617" t="s">
        <v>3754</v>
      </c>
      <c r="F424" s="799">
        <v>85</v>
      </c>
      <c r="G424" s="617" t="s">
        <v>3755</v>
      </c>
      <c r="H424" s="799" t="s">
        <v>2973</v>
      </c>
      <c r="I424" s="617" t="s">
        <v>360</v>
      </c>
      <c r="J424" s="813" t="s">
        <v>3766</v>
      </c>
      <c r="K424" s="838">
        <v>0.78</v>
      </c>
      <c r="L424" s="725">
        <v>66.3</v>
      </c>
      <c r="M424" s="850" t="s">
        <v>3767</v>
      </c>
      <c r="N424" s="850"/>
      <c r="O424" s="842"/>
      <c r="P424" s="799" t="s">
        <v>1624</v>
      </c>
      <c r="Q424" s="799" t="s">
        <v>1624</v>
      </c>
      <c r="R424" s="799">
        <v>100</v>
      </c>
      <c r="S424" s="617">
        <f t="shared" si="210"/>
        <v>66.3</v>
      </c>
      <c r="T424" s="725">
        <f>R424</f>
        <v>100</v>
      </c>
      <c r="U424" s="617">
        <f>R424</f>
        <v>100</v>
      </c>
      <c r="V424" s="725">
        <f t="shared" si="475"/>
        <v>100</v>
      </c>
      <c r="W424" s="877" t="s">
        <v>3768</v>
      </c>
      <c r="X424" s="617">
        <f t="shared" si="410"/>
        <v>78</v>
      </c>
      <c r="Y424" s="725">
        <f t="shared" ref="Y424:AA424" si="480">X424</f>
        <v>78</v>
      </c>
      <c r="Z424" s="725">
        <f t="shared" si="480"/>
        <v>78</v>
      </c>
      <c r="AA424" s="455">
        <f t="shared" si="480"/>
        <v>78</v>
      </c>
      <c r="AB424" s="793" t="s">
        <v>360</v>
      </c>
      <c r="AC424" s="799" t="s">
        <v>18</v>
      </c>
      <c r="AD424" s="799" t="s">
        <v>18</v>
      </c>
      <c r="AE424" s="635">
        <v>1.284515625E-2</v>
      </c>
      <c r="AF424" s="635">
        <v>0.10467703125</v>
      </c>
      <c r="AG424" s="635">
        <v>4.5535921875000006E-4</v>
      </c>
      <c r="AH424" s="635">
        <v>7.1653738381629306E-3</v>
      </c>
    </row>
    <row r="425" spans="1:34" ht="12.75">
      <c r="A425" s="14" t="s">
        <v>3769</v>
      </c>
      <c r="B425" s="13" t="s">
        <v>2630</v>
      </c>
      <c r="C425" s="14" t="s">
        <v>2640</v>
      </c>
      <c r="D425" s="14" t="s">
        <v>2911</v>
      </c>
      <c r="E425" s="14" t="s">
        <v>3770</v>
      </c>
      <c r="F425" s="13">
        <v>85</v>
      </c>
      <c r="G425" s="14" t="s">
        <v>3755</v>
      </c>
      <c r="H425" s="13">
        <v>5009</v>
      </c>
      <c r="I425" s="135" t="s">
        <v>3770</v>
      </c>
      <c r="J425" s="135" t="s">
        <v>3771</v>
      </c>
      <c r="K425" s="475">
        <v>0.48</v>
      </c>
      <c r="L425" s="476">
        <v>40.799999999999997</v>
      </c>
      <c r="M425" s="477">
        <v>5009</v>
      </c>
      <c r="N425" s="477"/>
      <c r="O425" s="476"/>
      <c r="P425" s="848" t="s">
        <v>3770</v>
      </c>
      <c r="Q425" s="135" t="s">
        <v>3772</v>
      </c>
      <c r="R425" s="135">
        <v>100</v>
      </c>
      <c r="S425" s="135">
        <f t="shared" si="210"/>
        <v>40.799999999999997</v>
      </c>
      <c r="T425" s="878">
        <f>SUM(K425:K427)</f>
        <v>1</v>
      </c>
      <c r="U425" s="135">
        <f t="shared" ref="U425:U427" si="481">R425*T425</f>
        <v>100</v>
      </c>
      <c r="V425" s="476">
        <f t="shared" si="475"/>
        <v>100</v>
      </c>
      <c r="W425" s="135" t="s">
        <v>3771</v>
      </c>
      <c r="X425">
        <f t="shared" si="410"/>
        <v>48</v>
      </c>
      <c r="Y425" s="220">
        <f t="shared" ref="Y425:AA425" si="482">X425</f>
        <v>48</v>
      </c>
      <c r="Z425" s="220">
        <f t="shared" si="482"/>
        <v>48</v>
      </c>
      <c r="AA425" s="792">
        <f t="shared" si="482"/>
        <v>48</v>
      </c>
      <c r="AB425" s="18" t="s">
        <v>2641</v>
      </c>
      <c r="AC425" s="13" t="s">
        <v>3729</v>
      </c>
      <c r="AD425" s="13" t="s">
        <v>3730</v>
      </c>
      <c r="AE425" s="12">
        <v>1.2534820143884892E-2</v>
      </c>
      <c r="AF425" s="12">
        <v>0.10214805755395684</v>
      </c>
      <c r="AG425" s="12">
        <v>4.4435784172661873E-4</v>
      </c>
      <c r="AH425" s="12">
        <v>5.3926064954135577E-3</v>
      </c>
    </row>
    <row r="426" spans="1:34" ht="12.75">
      <c r="A426" s="14" t="s">
        <v>3769</v>
      </c>
      <c r="B426" s="13" t="s">
        <v>2630</v>
      </c>
      <c r="C426" s="14" t="s">
        <v>2640</v>
      </c>
      <c r="D426" s="14" t="s">
        <v>2911</v>
      </c>
      <c r="E426" s="14" t="s">
        <v>3770</v>
      </c>
      <c r="F426" s="13">
        <v>85</v>
      </c>
      <c r="G426" s="14" t="s">
        <v>3755</v>
      </c>
      <c r="H426" s="13">
        <v>5009</v>
      </c>
      <c r="I426" s="848" t="s">
        <v>3773</v>
      </c>
      <c r="J426" s="135" t="s">
        <v>3774</v>
      </c>
      <c r="K426" s="475">
        <v>0.45</v>
      </c>
      <c r="L426" s="476">
        <v>38.25</v>
      </c>
      <c r="M426" s="492" t="s">
        <v>3775</v>
      </c>
      <c r="N426" s="492"/>
      <c r="O426" s="494"/>
      <c r="P426" s="879" t="s">
        <v>3773</v>
      </c>
      <c r="Q426" s="135" t="s">
        <v>3776</v>
      </c>
      <c r="R426" s="477">
        <v>100</v>
      </c>
      <c r="S426" s="135">
        <f t="shared" si="210"/>
        <v>38.25</v>
      </c>
      <c r="T426" s="878">
        <f>SUM(K425:K427)</f>
        <v>1</v>
      </c>
      <c r="U426" s="135">
        <f t="shared" si="481"/>
        <v>100</v>
      </c>
      <c r="V426" s="476">
        <f t="shared" si="475"/>
        <v>100</v>
      </c>
      <c r="W426" s="135" t="s">
        <v>3774</v>
      </c>
      <c r="X426">
        <f t="shared" si="410"/>
        <v>45</v>
      </c>
      <c r="Y426" s="220">
        <f>SUM(X426:X427)</f>
        <v>52</v>
      </c>
      <c r="Z426" s="220">
        <f t="shared" ref="Z426:AA426" si="483">Y426</f>
        <v>52</v>
      </c>
      <c r="AA426" s="792">
        <f t="shared" si="483"/>
        <v>52</v>
      </c>
      <c r="AB426" s="18" t="s">
        <v>360</v>
      </c>
      <c r="AC426" s="13" t="s">
        <v>18</v>
      </c>
      <c r="AD426" s="13" t="s">
        <v>18</v>
      </c>
      <c r="AE426" s="12">
        <v>1.284515625E-2</v>
      </c>
      <c r="AF426" s="12">
        <v>0.10467703125</v>
      </c>
      <c r="AG426" s="12">
        <v>4.5535921875000006E-4</v>
      </c>
      <c r="AH426" s="12">
        <v>7.1653738381629306E-3</v>
      </c>
    </row>
    <row r="427" spans="1:34" ht="12.75">
      <c r="A427" s="617" t="s">
        <v>3769</v>
      </c>
      <c r="B427" s="799" t="s">
        <v>2630</v>
      </c>
      <c r="C427" s="617" t="s">
        <v>2640</v>
      </c>
      <c r="D427" s="617" t="s">
        <v>2911</v>
      </c>
      <c r="E427" s="617" t="s">
        <v>3770</v>
      </c>
      <c r="F427" s="799">
        <v>85</v>
      </c>
      <c r="G427" s="617" t="s">
        <v>3755</v>
      </c>
      <c r="H427" s="799">
        <v>5009</v>
      </c>
      <c r="I427" s="14" t="s">
        <v>3777</v>
      </c>
      <c r="J427" s="14" t="s">
        <v>3778</v>
      </c>
      <c r="K427" s="478">
        <v>7.0000000000000007E-2</v>
      </c>
      <c r="L427" s="220">
        <v>5.95</v>
      </c>
      <c r="M427" s="473" t="s">
        <v>3779</v>
      </c>
      <c r="N427" s="13" t="s">
        <v>3780</v>
      </c>
      <c r="O427" s="480" t="s">
        <v>3781</v>
      </c>
      <c r="P427" s="14" t="s">
        <v>3782</v>
      </c>
      <c r="Q427" s="14" t="s">
        <v>3783</v>
      </c>
      <c r="R427" s="14">
        <v>100</v>
      </c>
      <c r="S427" s="14">
        <f t="shared" si="210"/>
        <v>5.95</v>
      </c>
      <c r="T427" s="873">
        <v>1</v>
      </c>
      <c r="U427" s="14">
        <f t="shared" si="481"/>
        <v>100</v>
      </c>
      <c r="V427" s="725">
        <f t="shared" si="475"/>
        <v>100</v>
      </c>
      <c r="W427" s="14" t="s">
        <v>3778</v>
      </c>
      <c r="X427" s="617">
        <f t="shared" si="410"/>
        <v>7.0000000000000009</v>
      </c>
      <c r="Y427" s="725" t="s">
        <v>1666</v>
      </c>
      <c r="Z427" s="725" t="str">
        <f t="shared" ref="Z427:AA427" si="484">Y427</f>
        <v>*</v>
      </c>
      <c r="AA427" s="455" t="str">
        <f t="shared" si="484"/>
        <v>*</v>
      </c>
      <c r="AB427" s="793" t="s">
        <v>1666</v>
      </c>
      <c r="AC427" s="799" t="str">
        <f t="shared" ref="AC427:AH427" si="485">AB427</f>
        <v>*</v>
      </c>
      <c r="AD427" s="799" t="str">
        <f t="shared" si="485"/>
        <v>*</v>
      </c>
      <c r="AE427" s="808" t="str">
        <f t="shared" si="485"/>
        <v>*</v>
      </c>
      <c r="AF427" s="808" t="str">
        <f t="shared" si="485"/>
        <v>*</v>
      </c>
      <c r="AG427" s="808" t="str">
        <f t="shared" si="485"/>
        <v>*</v>
      </c>
      <c r="AH427" s="808" t="str">
        <f t="shared" si="485"/>
        <v>*</v>
      </c>
    </row>
    <row r="428" spans="1:34" ht="12.75">
      <c r="A428" s="14" t="s">
        <v>3784</v>
      </c>
      <c r="B428" s="13" t="s">
        <v>2630</v>
      </c>
      <c r="C428" s="14" t="s">
        <v>2642</v>
      </c>
      <c r="D428" s="14" t="s">
        <v>2911</v>
      </c>
      <c r="E428" s="14" t="s">
        <v>3726</v>
      </c>
      <c r="F428" s="13">
        <v>85</v>
      </c>
      <c r="G428" s="14" t="s">
        <v>3755</v>
      </c>
      <c r="H428" s="13">
        <v>5013</v>
      </c>
      <c r="I428" s="880" t="s">
        <v>3726</v>
      </c>
      <c r="J428" s="640" t="s">
        <v>3728</v>
      </c>
      <c r="K428" s="881">
        <v>0.73</v>
      </c>
      <c r="L428" s="723">
        <v>62.05</v>
      </c>
      <c r="M428" s="882">
        <v>5013</v>
      </c>
      <c r="N428" s="882"/>
      <c r="O428" s="723"/>
      <c r="P428" s="880" t="s">
        <v>3761</v>
      </c>
      <c r="Q428" s="640" t="s">
        <v>3727</v>
      </c>
      <c r="R428" s="640">
        <v>100</v>
      </c>
      <c r="S428" s="640">
        <f t="shared" si="210"/>
        <v>62.05</v>
      </c>
      <c r="T428" s="723">
        <f t="shared" ref="T428:T442" si="486">R428</f>
        <v>100</v>
      </c>
      <c r="U428" s="640">
        <f t="shared" ref="U428:U442" si="487">R428</f>
        <v>100</v>
      </c>
      <c r="V428" s="476">
        <f t="shared" si="475"/>
        <v>100</v>
      </c>
      <c r="W428" s="640" t="s">
        <v>3728</v>
      </c>
      <c r="X428">
        <f t="shared" si="410"/>
        <v>73</v>
      </c>
      <c r="Y428" s="220">
        <f t="shared" ref="Y428:AA428" si="488">X428</f>
        <v>73</v>
      </c>
      <c r="Z428" s="220">
        <f t="shared" si="488"/>
        <v>73</v>
      </c>
      <c r="AA428" s="792">
        <f t="shared" si="488"/>
        <v>73</v>
      </c>
      <c r="AB428" s="18" t="s">
        <v>353</v>
      </c>
      <c r="AC428" s="13" t="s">
        <v>3729</v>
      </c>
      <c r="AD428" s="13" t="s">
        <v>3730</v>
      </c>
      <c r="AE428" s="12">
        <v>1.2534820143884892E-2</v>
      </c>
      <c r="AF428" s="12">
        <v>0.10214805755395684</v>
      </c>
      <c r="AG428" s="12">
        <v>4.4435784172661873E-4</v>
      </c>
      <c r="AH428" s="12">
        <v>5.3926064954135577E-3</v>
      </c>
    </row>
    <row r="429" spans="1:34" ht="12.75">
      <c r="A429" s="617" t="s">
        <v>3784</v>
      </c>
      <c r="B429" s="799" t="s">
        <v>2630</v>
      </c>
      <c r="C429" s="617" t="s">
        <v>2642</v>
      </c>
      <c r="D429" s="617" t="s">
        <v>2911</v>
      </c>
      <c r="E429" s="617" t="s">
        <v>3726</v>
      </c>
      <c r="F429" s="799">
        <v>85</v>
      </c>
      <c r="G429" s="617" t="s">
        <v>3755</v>
      </c>
      <c r="H429" s="799">
        <v>5013</v>
      </c>
      <c r="I429" s="617" t="s">
        <v>360</v>
      </c>
      <c r="J429" s="617" t="s">
        <v>3766</v>
      </c>
      <c r="K429" s="838">
        <v>0.27</v>
      </c>
      <c r="L429" s="725">
        <v>22.95</v>
      </c>
      <c r="M429" s="850" t="s">
        <v>3767</v>
      </c>
      <c r="N429" s="850"/>
      <c r="O429" s="842"/>
      <c r="P429" s="799" t="s">
        <v>3785</v>
      </c>
      <c r="Q429" s="617" t="s">
        <v>3718</v>
      </c>
      <c r="R429" s="799">
        <v>100</v>
      </c>
      <c r="S429" s="617">
        <f t="shared" si="210"/>
        <v>22.95</v>
      </c>
      <c r="T429" s="725">
        <f t="shared" si="486"/>
        <v>100</v>
      </c>
      <c r="U429" s="617">
        <f t="shared" si="487"/>
        <v>100</v>
      </c>
      <c r="V429" s="725">
        <f t="shared" si="475"/>
        <v>100</v>
      </c>
      <c r="W429" s="617" t="s">
        <v>3766</v>
      </c>
      <c r="X429" s="617">
        <f t="shared" si="410"/>
        <v>27</v>
      </c>
      <c r="Y429" s="725">
        <f t="shared" ref="Y429:AA429" si="489">X429</f>
        <v>27</v>
      </c>
      <c r="Z429" s="725">
        <f t="shared" si="489"/>
        <v>27</v>
      </c>
      <c r="AA429" s="455">
        <f t="shared" si="489"/>
        <v>27</v>
      </c>
      <c r="AB429" s="793" t="s">
        <v>360</v>
      </c>
      <c r="AC429" s="799" t="s">
        <v>18</v>
      </c>
      <c r="AD429" s="799" t="s">
        <v>18</v>
      </c>
      <c r="AE429" s="635">
        <v>1.284515625E-2</v>
      </c>
      <c r="AF429" s="635">
        <v>0.10467703125</v>
      </c>
      <c r="AG429" s="635">
        <v>4.5535921875000006E-4</v>
      </c>
      <c r="AH429" s="635">
        <v>7.1653738381629306E-3</v>
      </c>
    </row>
    <row r="430" spans="1:34" ht="12.75">
      <c r="A430" s="617" t="s">
        <v>3786</v>
      </c>
      <c r="B430" s="799" t="s">
        <v>2630</v>
      </c>
      <c r="C430" s="617" t="s">
        <v>2643</v>
      </c>
      <c r="D430" s="617" t="s">
        <v>2911</v>
      </c>
      <c r="E430" s="617" t="s">
        <v>362</v>
      </c>
      <c r="F430" s="799">
        <v>16</v>
      </c>
      <c r="G430" s="617" t="s">
        <v>3383</v>
      </c>
      <c r="H430" s="799">
        <v>10124</v>
      </c>
      <c r="I430" s="617" t="s">
        <v>362</v>
      </c>
      <c r="J430" s="617" t="s">
        <v>3787</v>
      </c>
      <c r="K430" s="838">
        <v>1</v>
      </c>
      <c r="L430" s="725">
        <v>16</v>
      </c>
      <c r="M430" s="850" t="s">
        <v>3788</v>
      </c>
      <c r="N430" s="850"/>
      <c r="O430" s="842"/>
      <c r="P430" s="617" t="s">
        <v>362</v>
      </c>
      <c r="Q430" s="617" t="s">
        <v>3789</v>
      </c>
      <c r="R430" s="617">
        <v>100</v>
      </c>
      <c r="S430" s="617">
        <f t="shared" si="210"/>
        <v>16</v>
      </c>
      <c r="T430" s="725">
        <f t="shared" si="486"/>
        <v>100</v>
      </c>
      <c r="U430" s="617">
        <f t="shared" si="487"/>
        <v>100</v>
      </c>
      <c r="V430" s="725">
        <f t="shared" si="475"/>
        <v>100</v>
      </c>
      <c r="W430" s="617" t="s">
        <v>3787</v>
      </c>
      <c r="X430" s="617">
        <f t="shared" si="410"/>
        <v>100</v>
      </c>
      <c r="Y430" s="725">
        <f t="shared" ref="Y430:AA430" si="490">X430</f>
        <v>100</v>
      </c>
      <c r="Z430" s="725">
        <f t="shared" si="490"/>
        <v>100</v>
      </c>
      <c r="AA430" s="455">
        <f t="shared" si="490"/>
        <v>100</v>
      </c>
      <c r="AB430" s="793" t="s">
        <v>379</v>
      </c>
      <c r="AC430" s="799" t="s">
        <v>3790</v>
      </c>
      <c r="AD430" s="799" t="s">
        <v>3791</v>
      </c>
      <c r="AE430" s="635">
        <v>1.4413766233766232E-2</v>
      </c>
      <c r="AF430" s="635">
        <v>0.11750233766233766</v>
      </c>
      <c r="AG430" s="635">
        <v>5.1116805194805187E-4</v>
      </c>
      <c r="AH430" s="635">
        <v>7.1006085221503486E-3</v>
      </c>
    </row>
    <row r="431" spans="1:34" ht="12.75">
      <c r="A431" s="617" t="s">
        <v>3792</v>
      </c>
      <c r="B431" s="799" t="s">
        <v>2644</v>
      </c>
      <c r="C431" s="617" t="s">
        <v>2645</v>
      </c>
      <c r="D431" s="617" t="s">
        <v>2911</v>
      </c>
      <c r="E431" s="617" t="s">
        <v>1925</v>
      </c>
      <c r="F431" s="799">
        <v>56</v>
      </c>
      <c r="G431" s="617" t="s">
        <v>3383</v>
      </c>
      <c r="H431" s="799">
        <v>7008</v>
      </c>
      <c r="I431" s="617" t="s">
        <v>1925</v>
      </c>
      <c r="J431" s="617" t="s">
        <v>3793</v>
      </c>
      <c r="K431" s="838">
        <v>1</v>
      </c>
      <c r="L431" s="725">
        <v>56</v>
      </c>
      <c r="M431" s="850" t="s">
        <v>3794</v>
      </c>
      <c r="N431" s="850"/>
      <c r="O431" s="842"/>
      <c r="P431" s="617" t="s">
        <v>1925</v>
      </c>
      <c r="Q431" s="617" t="s">
        <v>3795</v>
      </c>
      <c r="R431" s="617">
        <v>100</v>
      </c>
      <c r="S431" s="617">
        <f t="shared" si="210"/>
        <v>56</v>
      </c>
      <c r="T431" s="725">
        <f t="shared" si="486"/>
        <v>100</v>
      </c>
      <c r="U431" s="617">
        <f t="shared" si="487"/>
        <v>100</v>
      </c>
      <c r="V431" s="725">
        <f t="shared" si="475"/>
        <v>100</v>
      </c>
      <c r="W431" s="617" t="s">
        <v>3793</v>
      </c>
      <c r="X431" s="617">
        <f t="shared" si="410"/>
        <v>100</v>
      </c>
      <c r="Y431" s="725">
        <f t="shared" ref="Y431:AA431" si="491">X431</f>
        <v>100</v>
      </c>
      <c r="Z431" s="725">
        <f t="shared" si="491"/>
        <v>100</v>
      </c>
      <c r="AA431" s="455">
        <f t="shared" si="491"/>
        <v>100</v>
      </c>
      <c r="AB431" s="793" t="s">
        <v>2646</v>
      </c>
      <c r="AC431" s="799" t="s">
        <v>3796</v>
      </c>
      <c r="AD431" s="799" t="s">
        <v>3797</v>
      </c>
      <c r="AE431" s="635">
        <v>0.35098207049486463</v>
      </c>
      <c r="AF431" s="635">
        <v>0.49179687675070033</v>
      </c>
      <c r="AG431" s="635">
        <v>4.1794555999066299E-3</v>
      </c>
      <c r="AH431" s="635">
        <v>1.8017812838346036E-2</v>
      </c>
    </row>
    <row r="432" spans="1:34" ht="12.75">
      <c r="A432" s="617" t="s">
        <v>3798</v>
      </c>
      <c r="B432" s="794" t="s">
        <v>2644</v>
      </c>
      <c r="C432" s="617" t="s">
        <v>2647</v>
      </c>
      <c r="D432" s="617" t="s">
        <v>2911</v>
      </c>
      <c r="E432" s="617" t="s">
        <v>3799</v>
      </c>
      <c r="F432" s="799">
        <v>54</v>
      </c>
      <c r="G432" s="617" t="s">
        <v>3800</v>
      </c>
      <c r="H432" s="799">
        <v>7065</v>
      </c>
      <c r="I432" s="617" t="s">
        <v>3799</v>
      </c>
      <c r="J432" s="617" t="s">
        <v>3801</v>
      </c>
      <c r="K432" s="838">
        <v>1</v>
      </c>
      <c r="L432" s="725">
        <v>54</v>
      </c>
      <c r="M432" s="850" t="s">
        <v>3802</v>
      </c>
      <c r="N432" s="850"/>
      <c r="O432" s="842"/>
      <c r="P432" s="617" t="s">
        <v>3799</v>
      </c>
      <c r="Q432" s="617" t="s">
        <v>3803</v>
      </c>
      <c r="R432" s="617">
        <v>100</v>
      </c>
      <c r="S432" s="617">
        <v>100</v>
      </c>
      <c r="T432" s="725">
        <f t="shared" si="486"/>
        <v>100</v>
      </c>
      <c r="U432" s="617">
        <f t="shared" si="487"/>
        <v>100</v>
      </c>
      <c r="V432" s="725">
        <f t="shared" si="475"/>
        <v>100</v>
      </c>
      <c r="W432" s="617" t="s">
        <v>3804</v>
      </c>
      <c r="X432" s="617">
        <f t="shared" si="410"/>
        <v>100</v>
      </c>
      <c r="Y432" s="725">
        <f t="shared" ref="Y432:AA432" si="492">X432</f>
        <v>100</v>
      </c>
      <c r="Z432" s="725">
        <f t="shared" si="492"/>
        <v>100</v>
      </c>
      <c r="AA432" s="455">
        <f t="shared" si="492"/>
        <v>100</v>
      </c>
      <c r="AB432" s="793" t="s">
        <v>2648</v>
      </c>
      <c r="AC432" s="799" t="s">
        <v>3796</v>
      </c>
      <c r="AD432" s="799" t="s">
        <v>3797</v>
      </c>
      <c r="AE432" s="635">
        <v>0.35098207049486463</v>
      </c>
      <c r="AF432" s="635">
        <v>0.49179687675070033</v>
      </c>
      <c r="AG432" s="635">
        <v>4.1794555999066299E-3</v>
      </c>
      <c r="AH432" s="635">
        <v>1.8017812838346036E-2</v>
      </c>
    </row>
    <row r="433" spans="1:34" ht="12.75">
      <c r="A433" s="14" t="s">
        <v>3805</v>
      </c>
      <c r="B433" s="13" t="s">
        <v>2644</v>
      </c>
      <c r="C433" s="14" t="s">
        <v>2649</v>
      </c>
      <c r="D433" s="14" t="s">
        <v>2911</v>
      </c>
      <c r="E433" s="14" t="s">
        <v>3806</v>
      </c>
      <c r="F433" s="13">
        <v>85</v>
      </c>
      <c r="G433" s="14" t="s">
        <v>3755</v>
      </c>
      <c r="H433" s="13">
        <v>23573</v>
      </c>
      <c r="I433" s="135" t="s">
        <v>3806</v>
      </c>
      <c r="J433" s="135" t="s">
        <v>3807</v>
      </c>
      <c r="K433" s="475">
        <v>0.56999999999999995</v>
      </c>
      <c r="L433" s="476">
        <v>48.45</v>
      </c>
      <c r="M433" s="492" t="s">
        <v>3808</v>
      </c>
      <c r="N433" s="492"/>
      <c r="O433" s="494"/>
      <c r="P433" s="135" t="s">
        <v>3806</v>
      </c>
      <c r="Q433" s="135" t="s">
        <v>3809</v>
      </c>
      <c r="R433" s="135">
        <v>100</v>
      </c>
      <c r="S433" s="135">
        <f t="shared" ref="S433:S488" si="493">(0.01*R433)*L433</f>
        <v>48.45</v>
      </c>
      <c r="T433" s="476">
        <f t="shared" si="486"/>
        <v>100</v>
      </c>
      <c r="U433" s="135">
        <f t="shared" si="487"/>
        <v>100</v>
      </c>
      <c r="V433" s="476">
        <f t="shared" si="475"/>
        <v>100</v>
      </c>
      <c r="W433" s="135" t="s">
        <v>3810</v>
      </c>
      <c r="X433">
        <f t="shared" si="410"/>
        <v>56.999999999999993</v>
      </c>
      <c r="Y433" s="220">
        <f>SUM(X433:X434)</f>
        <v>100</v>
      </c>
      <c r="Z433" s="220">
        <f t="shared" ref="Z433:Z434" si="494">X433</f>
        <v>56.999999999999993</v>
      </c>
      <c r="AA433" s="792">
        <f t="shared" ref="AA433:AA434" si="495">Z433</f>
        <v>56.999999999999993</v>
      </c>
      <c r="AB433" s="18" t="s">
        <v>2650</v>
      </c>
      <c r="AC433" s="13" t="s">
        <v>370</v>
      </c>
      <c r="AD433" s="13" t="s">
        <v>3708</v>
      </c>
      <c r="AE433" s="12">
        <v>0.53951072463768124</v>
      </c>
      <c r="AF433" s="12">
        <v>0.64725826086956539</v>
      </c>
      <c r="AG433" s="12">
        <v>6.0451263768115954E-3</v>
      </c>
      <c r="AH433" s="12">
        <v>2.5560862842710468E-2</v>
      </c>
    </row>
    <row r="434" spans="1:34" ht="12.75">
      <c r="A434" s="617" t="s">
        <v>3805</v>
      </c>
      <c r="B434" s="799" t="s">
        <v>2644</v>
      </c>
      <c r="C434" s="617" t="s">
        <v>2649</v>
      </c>
      <c r="D434" s="617" t="s">
        <v>2911</v>
      </c>
      <c r="E434" s="617" t="s">
        <v>3806</v>
      </c>
      <c r="F434" s="799">
        <v>85</v>
      </c>
      <c r="G434" s="617" t="s">
        <v>3755</v>
      </c>
      <c r="H434" s="799">
        <v>23573</v>
      </c>
      <c r="I434" s="617" t="s">
        <v>3811</v>
      </c>
      <c r="J434" s="617" t="s">
        <v>3812</v>
      </c>
      <c r="K434" s="838">
        <v>0.43</v>
      </c>
      <c r="L434" s="725">
        <v>36.549999999999997</v>
      </c>
      <c r="M434" s="850" t="s">
        <v>3813</v>
      </c>
      <c r="N434" s="850"/>
      <c r="O434" s="842"/>
      <c r="P434" s="617" t="s">
        <v>3811</v>
      </c>
      <c r="Q434" s="617" t="s">
        <v>3814</v>
      </c>
      <c r="R434" s="617">
        <v>100</v>
      </c>
      <c r="S434" s="617">
        <f t="shared" si="493"/>
        <v>36.549999999999997</v>
      </c>
      <c r="T434" s="725">
        <f t="shared" si="486"/>
        <v>100</v>
      </c>
      <c r="U434" s="617">
        <f t="shared" si="487"/>
        <v>100</v>
      </c>
      <c r="V434" s="725">
        <f t="shared" si="475"/>
        <v>100</v>
      </c>
      <c r="W434" s="617" t="s">
        <v>3815</v>
      </c>
      <c r="X434" s="617">
        <f t="shared" si="410"/>
        <v>43</v>
      </c>
      <c r="Y434" s="725" t="s">
        <v>1666</v>
      </c>
      <c r="Z434" s="725">
        <f t="shared" si="494"/>
        <v>43</v>
      </c>
      <c r="AA434" s="455">
        <f t="shared" si="495"/>
        <v>43</v>
      </c>
      <c r="AB434" s="793" t="s">
        <v>2651</v>
      </c>
      <c r="AC434" s="799" t="str">
        <f t="shared" ref="AC434:AD434" si="496">AB434</f>
        <v>beef 75% hamburger</v>
      </c>
      <c r="AD434" s="799" t="str">
        <f t="shared" si="496"/>
        <v>beef 75% hamburger</v>
      </c>
      <c r="AE434" s="635">
        <v>0.68162031746031748</v>
      </c>
      <c r="AF434" s="635">
        <v>0.81774904761904776</v>
      </c>
      <c r="AG434" s="635">
        <v>7.6374403174603181E-3</v>
      </c>
      <c r="AH434" s="635">
        <v>2.7995230732492413E-2</v>
      </c>
    </row>
    <row r="435" spans="1:34" ht="12.75">
      <c r="A435" s="14" t="s">
        <v>3816</v>
      </c>
      <c r="B435" s="13" t="s">
        <v>2644</v>
      </c>
      <c r="C435" s="14" t="s">
        <v>2652</v>
      </c>
      <c r="D435" s="14" t="s">
        <v>2911</v>
      </c>
      <c r="E435" s="14" t="s">
        <v>3817</v>
      </c>
      <c r="F435" s="13">
        <v>84.54</v>
      </c>
      <c r="G435" s="14" t="s">
        <v>3755</v>
      </c>
      <c r="H435" s="13" t="s">
        <v>1624</v>
      </c>
      <c r="I435" s="14" t="s">
        <v>3818</v>
      </c>
      <c r="J435" s="14" t="s">
        <v>3819</v>
      </c>
      <c r="K435" s="478">
        <v>0.53</v>
      </c>
      <c r="L435" s="220">
        <v>44.52</v>
      </c>
      <c r="M435" s="473" t="s">
        <v>3820</v>
      </c>
      <c r="N435" s="473"/>
      <c r="O435" s="480"/>
      <c r="P435" s="14" t="s">
        <v>3818</v>
      </c>
      <c r="Q435" s="14" t="s">
        <v>3821</v>
      </c>
      <c r="R435" s="14">
        <v>100</v>
      </c>
      <c r="S435" s="14">
        <f t="shared" si="493"/>
        <v>44.52</v>
      </c>
      <c r="T435" s="220">
        <f t="shared" si="486"/>
        <v>100</v>
      </c>
      <c r="U435" s="14">
        <f t="shared" si="487"/>
        <v>100</v>
      </c>
      <c r="V435" s="476">
        <f t="shared" si="475"/>
        <v>100</v>
      </c>
      <c r="W435" s="135" t="s">
        <v>3822</v>
      </c>
      <c r="X435">
        <f t="shared" si="410"/>
        <v>53</v>
      </c>
      <c r="Y435" s="220">
        <f>SUM(X435:X436)</f>
        <v>55</v>
      </c>
      <c r="Z435" s="220">
        <f t="shared" ref="Z435:AA435" si="497">Y435</f>
        <v>55</v>
      </c>
      <c r="AA435" s="792">
        <f t="shared" si="497"/>
        <v>55</v>
      </c>
      <c r="AB435" s="18" t="s">
        <v>376</v>
      </c>
      <c r="AC435" s="24" t="s">
        <v>370</v>
      </c>
      <c r="AD435" s="24" t="s">
        <v>3708</v>
      </c>
      <c r="AE435" s="12">
        <v>0.364568</v>
      </c>
      <c r="AF435" s="12">
        <v>0.43737712500000003</v>
      </c>
      <c r="AG435" s="12">
        <v>4.0849227500000009E-3</v>
      </c>
      <c r="AH435" s="12">
        <v>2.2046244201837775E-2</v>
      </c>
    </row>
    <row r="436" spans="1:34" ht="12.75">
      <c r="A436" s="14" t="s">
        <v>3816</v>
      </c>
      <c r="B436" s="13" t="s">
        <v>2644</v>
      </c>
      <c r="C436" s="14" t="s">
        <v>2652</v>
      </c>
      <c r="D436" s="14" t="s">
        <v>2911</v>
      </c>
      <c r="E436" s="14" t="s">
        <v>3817</v>
      </c>
      <c r="F436" s="13">
        <v>84.54</v>
      </c>
      <c r="G436" s="14" t="s">
        <v>3755</v>
      </c>
      <c r="H436" s="13" t="s">
        <v>1624</v>
      </c>
      <c r="I436" s="298" t="s">
        <v>3823</v>
      </c>
      <c r="J436" s="298" t="s">
        <v>3824</v>
      </c>
      <c r="K436" s="531">
        <v>0.02</v>
      </c>
      <c r="L436" s="528">
        <v>1.68</v>
      </c>
      <c r="M436" s="532" t="s">
        <v>3825</v>
      </c>
      <c r="N436" s="532"/>
      <c r="O436" s="533"/>
      <c r="P436" s="298" t="s">
        <v>3823</v>
      </c>
      <c r="Q436" s="298" t="s">
        <v>3826</v>
      </c>
      <c r="R436" s="298">
        <v>100</v>
      </c>
      <c r="S436" s="298">
        <f t="shared" si="493"/>
        <v>1.68</v>
      </c>
      <c r="T436" s="528">
        <f t="shared" si="486"/>
        <v>100</v>
      </c>
      <c r="U436" s="298">
        <f t="shared" si="487"/>
        <v>100</v>
      </c>
      <c r="V436" s="476">
        <f t="shared" si="475"/>
        <v>100</v>
      </c>
      <c r="W436" s="135" t="s">
        <v>3827</v>
      </c>
      <c r="X436">
        <f t="shared" si="410"/>
        <v>2</v>
      </c>
      <c r="Y436" s="220" t="s">
        <v>1666</v>
      </c>
      <c r="Z436" s="220" t="s">
        <v>1666</v>
      </c>
      <c r="AA436" s="792" t="s">
        <v>1666</v>
      </c>
      <c r="AB436" s="18" t="s">
        <v>1666</v>
      </c>
      <c r="AC436" s="13" t="str">
        <f t="shared" ref="AC436:AH436" si="498">AB436</f>
        <v>*</v>
      </c>
      <c r="AD436" s="13" t="str">
        <f t="shared" si="498"/>
        <v>*</v>
      </c>
      <c r="AE436" s="454" t="str">
        <f t="shared" si="498"/>
        <v>*</v>
      </c>
      <c r="AF436" s="454" t="str">
        <f t="shared" si="498"/>
        <v>*</v>
      </c>
      <c r="AG436" s="454" t="str">
        <f t="shared" si="498"/>
        <v>*</v>
      </c>
      <c r="AH436" s="454" t="str">
        <f t="shared" si="498"/>
        <v>*</v>
      </c>
    </row>
    <row r="437" spans="1:34" ht="12.75">
      <c r="A437" s="617" t="s">
        <v>3816</v>
      </c>
      <c r="B437" s="799" t="s">
        <v>2644</v>
      </c>
      <c r="C437" s="617" t="s">
        <v>2652</v>
      </c>
      <c r="D437" s="617" t="s">
        <v>2911</v>
      </c>
      <c r="E437" s="617" t="s">
        <v>3817</v>
      </c>
      <c r="F437" s="799">
        <v>84.54</v>
      </c>
      <c r="G437" s="617" t="s">
        <v>3755</v>
      </c>
      <c r="H437" s="799" t="s">
        <v>1624</v>
      </c>
      <c r="I437" s="14" t="s">
        <v>377</v>
      </c>
      <c r="J437" s="14" t="s">
        <v>3828</v>
      </c>
      <c r="K437" s="478">
        <v>0.45</v>
      </c>
      <c r="L437" s="220">
        <v>38.340000000000003</v>
      </c>
      <c r="M437" s="473" t="s">
        <v>3829</v>
      </c>
      <c r="N437" s="473"/>
      <c r="O437" s="480"/>
      <c r="P437" s="14" t="s">
        <v>377</v>
      </c>
      <c r="Q437" s="14" t="s">
        <v>3830</v>
      </c>
      <c r="R437" s="14">
        <v>100</v>
      </c>
      <c r="S437" s="14">
        <f t="shared" si="493"/>
        <v>38.340000000000003</v>
      </c>
      <c r="T437" s="220">
        <f t="shared" si="486"/>
        <v>100</v>
      </c>
      <c r="U437" s="14">
        <f t="shared" si="487"/>
        <v>100</v>
      </c>
      <c r="V437" s="725">
        <f t="shared" si="475"/>
        <v>100</v>
      </c>
      <c r="W437" s="14" t="s">
        <v>377</v>
      </c>
      <c r="X437" s="617">
        <f t="shared" si="410"/>
        <v>45</v>
      </c>
      <c r="Y437" s="725">
        <f t="shared" ref="Y437:AA437" si="499">X437</f>
        <v>45</v>
      </c>
      <c r="Z437" s="725">
        <f t="shared" si="499"/>
        <v>45</v>
      </c>
      <c r="AA437" s="455">
        <f t="shared" si="499"/>
        <v>45</v>
      </c>
      <c r="AB437" s="793" t="s">
        <v>379</v>
      </c>
      <c r="AC437" s="799" t="s">
        <v>3481</v>
      </c>
      <c r="AD437" s="799" t="s">
        <v>3831</v>
      </c>
      <c r="AE437" s="635">
        <v>1.4413766233766232E-2</v>
      </c>
      <c r="AF437" s="635">
        <v>0.11750233766233766</v>
      </c>
      <c r="AG437" s="635">
        <v>5.1116805194805187E-4</v>
      </c>
      <c r="AH437" s="635">
        <v>7.1006085221503486E-3</v>
      </c>
    </row>
    <row r="438" spans="1:34" ht="12.75">
      <c r="A438" s="14" t="s">
        <v>3832</v>
      </c>
      <c r="B438" s="13" t="s">
        <v>2644</v>
      </c>
      <c r="C438" s="14" t="s">
        <v>2653</v>
      </c>
      <c r="D438" s="14" t="s">
        <v>2911</v>
      </c>
      <c r="E438" s="14" t="s">
        <v>3833</v>
      </c>
      <c r="F438" s="13">
        <v>140.78</v>
      </c>
      <c r="G438" s="14" t="s">
        <v>3834</v>
      </c>
      <c r="H438" s="13">
        <v>10046</v>
      </c>
      <c r="I438" s="640" t="s">
        <v>379</v>
      </c>
      <c r="J438" s="640" t="s">
        <v>3835</v>
      </c>
      <c r="K438" s="881">
        <v>0.61</v>
      </c>
      <c r="L438" s="723">
        <v>85.4</v>
      </c>
      <c r="M438" s="883" t="s">
        <v>3836</v>
      </c>
      <c r="N438" s="883"/>
      <c r="O438" s="884"/>
      <c r="P438" s="640" t="s">
        <v>379</v>
      </c>
      <c r="Q438" s="640" t="s">
        <v>3714</v>
      </c>
      <c r="R438" s="640">
        <v>100</v>
      </c>
      <c r="S438" s="640">
        <f t="shared" si="493"/>
        <v>85.4</v>
      </c>
      <c r="T438" s="723">
        <f t="shared" si="486"/>
        <v>100</v>
      </c>
      <c r="U438" s="640">
        <f t="shared" si="487"/>
        <v>100</v>
      </c>
      <c r="V438" s="476">
        <f t="shared" si="475"/>
        <v>100</v>
      </c>
      <c r="W438" s="640" t="s">
        <v>379</v>
      </c>
      <c r="X438">
        <f t="shared" si="410"/>
        <v>61</v>
      </c>
      <c r="Y438" s="220">
        <f>SUM(X438:X439)</f>
        <v>100</v>
      </c>
      <c r="Z438" s="220">
        <f t="shared" ref="Z438:AA438" si="500">Y438</f>
        <v>100</v>
      </c>
      <c r="AA438" s="792">
        <f t="shared" si="500"/>
        <v>100</v>
      </c>
      <c r="AB438" s="18" t="s">
        <v>379</v>
      </c>
      <c r="AC438" s="13" t="s">
        <v>3481</v>
      </c>
      <c r="AD438" s="13" t="s">
        <v>3831</v>
      </c>
      <c r="AE438" s="12">
        <v>1.4413766233766232E-2</v>
      </c>
      <c r="AF438" s="12">
        <v>0.11750233766233766</v>
      </c>
      <c r="AG438" s="12">
        <v>5.1116805194805187E-4</v>
      </c>
      <c r="AH438" s="12">
        <v>7.1006085221503486E-3</v>
      </c>
    </row>
    <row r="439" spans="1:34" ht="12.75">
      <c r="A439" s="617" t="s">
        <v>3832</v>
      </c>
      <c r="B439" s="799" t="s">
        <v>2644</v>
      </c>
      <c r="C439" s="617" t="s">
        <v>2653</v>
      </c>
      <c r="D439" s="617" t="s">
        <v>2911</v>
      </c>
      <c r="E439" s="617" t="s">
        <v>379</v>
      </c>
      <c r="F439" s="799">
        <v>140.78</v>
      </c>
      <c r="G439" s="617" t="s">
        <v>3834</v>
      </c>
      <c r="H439" s="799">
        <v>10046</v>
      </c>
      <c r="I439" s="14" t="s">
        <v>377</v>
      </c>
      <c r="J439" s="14" t="s">
        <v>3828</v>
      </c>
      <c r="K439" s="478">
        <v>0.39</v>
      </c>
      <c r="L439" s="220">
        <v>55.38</v>
      </c>
      <c r="M439" s="473" t="s">
        <v>3829</v>
      </c>
      <c r="N439" s="473"/>
      <c r="O439" s="480"/>
      <c r="P439" s="617" t="s">
        <v>377</v>
      </c>
      <c r="Q439" s="617" t="s">
        <v>3837</v>
      </c>
      <c r="R439" s="14">
        <v>100</v>
      </c>
      <c r="S439" s="14">
        <f t="shared" si="493"/>
        <v>55.38</v>
      </c>
      <c r="T439" s="725">
        <f t="shared" si="486"/>
        <v>100</v>
      </c>
      <c r="U439" s="617">
        <f t="shared" si="487"/>
        <v>100</v>
      </c>
      <c r="V439" s="725">
        <f t="shared" si="475"/>
        <v>100</v>
      </c>
      <c r="W439" s="14" t="s">
        <v>377</v>
      </c>
      <c r="X439" s="617">
        <f t="shared" si="410"/>
        <v>39</v>
      </c>
      <c r="Y439" s="725" t="s">
        <v>1666</v>
      </c>
      <c r="Z439" s="725" t="s">
        <v>1666</v>
      </c>
      <c r="AA439" s="455" t="s">
        <v>1666</v>
      </c>
      <c r="AB439" s="793" t="s">
        <v>377</v>
      </c>
      <c r="AC439" s="799" t="s">
        <v>3481</v>
      </c>
      <c r="AD439" s="799" t="s">
        <v>3831</v>
      </c>
      <c r="AE439" s="635">
        <v>2.0601666673259203E-2</v>
      </c>
      <c r="AF439" s="635">
        <v>0.16794666672040964</v>
      </c>
      <c r="AG439" s="635">
        <v>7.3061500023379692E-4</v>
      </c>
      <c r="AH439" s="635">
        <v>5.6952797539639157E-3</v>
      </c>
    </row>
    <row r="440" spans="1:34" ht="12.75">
      <c r="A440" s="14" t="s">
        <v>3838</v>
      </c>
      <c r="B440" s="13" t="s">
        <v>2644</v>
      </c>
      <c r="C440" s="14" t="s">
        <v>2654</v>
      </c>
      <c r="D440" s="14" t="s">
        <v>2911</v>
      </c>
      <c r="E440" s="14" t="s">
        <v>370</v>
      </c>
      <c r="F440" s="13">
        <v>140</v>
      </c>
      <c r="G440" s="14" t="s">
        <v>3834</v>
      </c>
      <c r="H440" s="13" t="s">
        <v>1624</v>
      </c>
      <c r="I440" s="640" t="s">
        <v>3818</v>
      </c>
      <c r="J440" s="640" t="s">
        <v>3819</v>
      </c>
      <c r="K440" s="881">
        <v>0.97</v>
      </c>
      <c r="L440" s="723">
        <v>135.80000000000001</v>
      </c>
      <c r="M440" s="883" t="s">
        <v>3820</v>
      </c>
      <c r="N440" s="883"/>
      <c r="O440" s="884"/>
      <c r="P440" s="135" t="s">
        <v>3818</v>
      </c>
      <c r="Q440" s="135" t="s">
        <v>3821</v>
      </c>
      <c r="R440" s="640">
        <v>100</v>
      </c>
      <c r="S440" s="640">
        <f t="shared" si="493"/>
        <v>135.80000000000001</v>
      </c>
      <c r="T440" s="476">
        <f t="shared" si="486"/>
        <v>100</v>
      </c>
      <c r="U440" s="135">
        <f t="shared" si="487"/>
        <v>100</v>
      </c>
      <c r="V440" s="476">
        <f t="shared" si="475"/>
        <v>100</v>
      </c>
      <c r="W440" s="640" t="s">
        <v>3822</v>
      </c>
      <c r="X440">
        <f t="shared" si="410"/>
        <v>97</v>
      </c>
      <c r="Y440" s="220">
        <f>SUM(X440:X441)</f>
        <v>100</v>
      </c>
      <c r="Z440" s="220">
        <f t="shared" ref="Z440:AA440" si="501">Y440</f>
        <v>100</v>
      </c>
      <c r="AA440" s="792">
        <f t="shared" si="501"/>
        <v>100</v>
      </c>
      <c r="AB440" s="18" t="s">
        <v>376</v>
      </c>
      <c r="AC440" s="24" t="s">
        <v>370</v>
      </c>
      <c r="AD440" s="24" t="s">
        <v>3708</v>
      </c>
      <c r="AE440" s="12">
        <v>0.364568</v>
      </c>
      <c r="AF440" s="12">
        <v>0.43737712500000003</v>
      </c>
      <c r="AG440" s="12">
        <v>4.0849227500000009E-3</v>
      </c>
      <c r="AH440" s="12">
        <v>2.2046244201837775E-2</v>
      </c>
    </row>
    <row r="441" spans="1:34" ht="12.75">
      <c r="A441" s="617" t="s">
        <v>3838</v>
      </c>
      <c r="B441" s="799" t="s">
        <v>2644</v>
      </c>
      <c r="C441" s="617" t="s">
        <v>2654</v>
      </c>
      <c r="D441" s="617" t="s">
        <v>2911</v>
      </c>
      <c r="E441" s="617" t="s">
        <v>370</v>
      </c>
      <c r="F441" s="799">
        <v>140</v>
      </c>
      <c r="G441" s="617" t="s">
        <v>3834</v>
      </c>
      <c r="H441" s="799" t="s">
        <v>1624</v>
      </c>
      <c r="I441" s="617" t="s">
        <v>3823</v>
      </c>
      <c r="J441" s="617" t="s">
        <v>3824</v>
      </c>
      <c r="K441" s="838">
        <v>0.03</v>
      </c>
      <c r="L441" s="725">
        <v>4.2</v>
      </c>
      <c r="M441" s="850" t="s">
        <v>3825</v>
      </c>
      <c r="N441" s="850"/>
      <c r="O441" s="842"/>
      <c r="P441" s="617" t="s">
        <v>3823</v>
      </c>
      <c r="Q441" s="617" t="s">
        <v>3826</v>
      </c>
      <c r="R441" s="617">
        <v>100</v>
      </c>
      <c r="S441" s="617">
        <f t="shared" si="493"/>
        <v>4.2</v>
      </c>
      <c r="T441" s="725">
        <f t="shared" si="486"/>
        <v>100</v>
      </c>
      <c r="U441" s="617">
        <f t="shared" si="487"/>
        <v>100</v>
      </c>
      <c r="V441" s="725">
        <f t="shared" si="475"/>
        <v>100</v>
      </c>
      <c r="W441" s="617" t="s">
        <v>3827</v>
      </c>
      <c r="X441" s="617">
        <f t="shared" si="410"/>
        <v>3</v>
      </c>
      <c r="Y441" s="725" t="s">
        <v>1666</v>
      </c>
      <c r="Z441" s="725" t="s">
        <v>1666</v>
      </c>
      <c r="AA441" s="455" t="s">
        <v>1666</v>
      </c>
      <c r="AB441" s="793" t="s">
        <v>1666</v>
      </c>
      <c r="AC441" s="799" t="str">
        <f t="shared" ref="AC441:AH441" si="502">AB441</f>
        <v>*</v>
      </c>
      <c r="AD441" s="799" t="str">
        <f t="shared" si="502"/>
        <v>*</v>
      </c>
      <c r="AE441" s="808" t="str">
        <f t="shared" si="502"/>
        <v>*</v>
      </c>
      <c r="AF441" s="808" t="str">
        <f t="shared" si="502"/>
        <v>*</v>
      </c>
      <c r="AG441" s="808" t="str">
        <f t="shared" si="502"/>
        <v>*</v>
      </c>
      <c r="AH441" s="808" t="str">
        <f t="shared" si="502"/>
        <v>*</v>
      </c>
    </row>
    <row r="442" spans="1:34" ht="12.75">
      <c r="A442" s="617" t="s">
        <v>3839</v>
      </c>
      <c r="B442" s="799" t="s">
        <v>2644</v>
      </c>
      <c r="C442" s="617" t="s">
        <v>2655</v>
      </c>
      <c r="D442" s="617" t="s">
        <v>2911</v>
      </c>
      <c r="E442" s="617" t="s">
        <v>407</v>
      </c>
      <c r="F442" s="799">
        <v>99</v>
      </c>
      <c r="G442" s="617" t="s">
        <v>3840</v>
      </c>
      <c r="H442" s="799">
        <v>15126</v>
      </c>
      <c r="I442" s="617" t="s">
        <v>3841</v>
      </c>
      <c r="J442" s="617" t="s">
        <v>3842</v>
      </c>
      <c r="K442" s="838">
        <v>1</v>
      </c>
      <c r="L442" s="725">
        <v>99</v>
      </c>
      <c r="M442" s="850" t="s">
        <v>1624</v>
      </c>
      <c r="N442" s="850"/>
      <c r="O442" s="842"/>
      <c r="P442" s="617" t="s">
        <v>3841</v>
      </c>
      <c r="Q442" s="617" t="s">
        <v>3843</v>
      </c>
      <c r="R442" s="617">
        <v>100</v>
      </c>
      <c r="S442" s="617">
        <f t="shared" si="493"/>
        <v>99</v>
      </c>
      <c r="T442" s="725">
        <f t="shared" si="486"/>
        <v>100</v>
      </c>
      <c r="U442" s="617">
        <f t="shared" si="487"/>
        <v>100</v>
      </c>
      <c r="V442" s="725">
        <f t="shared" si="475"/>
        <v>100</v>
      </c>
      <c r="W442" s="617" t="s">
        <v>407</v>
      </c>
      <c r="X442" s="617">
        <f t="shared" si="410"/>
        <v>100</v>
      </c>
      <c r="Y442" s="725">
        <f t="shared" ref="Y442:AA442" si="503">X442</f>
        <v>100</v>
      </c>
      <c r="Z442" s="725">
        <f t="shared" si="503"/>
        <v>100</v>
      </c>
      <c r="AA442" s="455">
        <f t="shared" si="503"/>
        <v>100</v>
      </c>
      <c r="AB442" s="793" t="s">
        <v>2656</v>
      </c>
      <c r="AC442" s="799" t="s">
        <v>407</v>
      </c>
      <c r="AD442" s="799" t="s">
        <v>3844</v>
      </c>
      <c r="AE442" s="635">
        <v>0</v>
      </c>
      <c r="AF442" s="635">
        <v>0</v>
      </c>
      <c r="AG442" s="635">
        <v>2.2323326446008546E-4</v>
      </c>
      <c r="AH442" s="635">
        <v>4.0785551773399884E-3</v>
      </c>
    </row>
    <row r="443" spans="1:34" ht="12.75">
      <c r="A443" s="14" t="s">
        <v>3845</v>
      </c>
      <c r="B443" s="24" t="s">
        <v>2644</v>
      </c>
      <c r="C443" s="14" t="s">
        <v>2657</v>
      </c>
      <c r="D443" s="14" t="s">
        <v>2911</v>
      </c>
      <c r="E443" s="14" t="s">
        <v>3846</v>
      </c>
      <c r="F443" s="13">
        <v>91</v>
      </c>
      <c r="G443" s="14" t="s">
        <v>3847</v>
      </c>
      <c r="H443" s="13">
        <v>15027</v>
      </c>
      <c r="I443" s="14" t="s">
        <v>3846</v>
      </c>
      <c r="J443" s="14" t="s">
        <v>3848</v>
      </c>
      <c r="K443" s="478">
        <v>1</v>
      </c>
      <c r="L443" s="220">
        <v>91</v>
      </c>
      <c r="M443" s="473" t="s">
        <v>3849</v>
      </c>
      <c r="N443" s="473"/>
      <c r="O443" s="473" t="s">
        <v>3850</v>
      </c>
      <c r="P443" s="14" t="s">
        <v>397</v>
      </c>
      <c r="Q443" s="14" t="s">
        <v>3851</v>
      </c>
      <c r="R443" s="14">
        <v>35</v>
      </c>
      <c r="S443" s="14">
        <f t="shared" si="493"/>
        <v>31.85</v>
      </c>
      <c r="T443" s="220">
        <f>SUM(R443:R462)</f>
        <v>96.099999999999966</v>
      </c>
      <c r="U443" s="14">
        <f t="shared" ref="U443:U462" si="504">R443*100/T443</f>
        <v>36.420395421436019</v>
      </c>
      <c r="V443" s="220">
        <f>U443*100/SUM(U443:U448,U450:U462)</f>
        <v>44.814340588988486</v>
      </c>
      <c r="W443" s="14" t="s">
        <v>397</v>
      </c>
      <c r="X443" s="14">
        <f t="shared" si="410"/>
        <v>44.814340588988486</v>
      </c>
      <c r="Y443" s="220">
        <f t="shared" ref="Y443:AA443" si="505">X443</f>
        <v>44.814340588988486</v>
      </c>
      <c r="Z443" s="220">
        <f t="shared" si="505"/>
        <v>44.814340588988486</v>
      </c>
      <c r="AA443" s="792">
        <f t="shared" si="505"/>
        <v>44.814340588988486</v>
      </c>
      <c r="AB443" s="18" t="s">
        <v>397</v>
      </c>
      <c r="AC443" s="13" t="s">
        <v>18</v>
      </c>
      <c r="AD443" s="13" t="s">
        <v>18</v>
      </c>
      <c r="AE443" s="12">
        <v>0</v>
      </c>
      <c r="AF443" s="12">
        <v>0</v>
      </c>
      <c r="AG443" s="12">
        <v>0</v>
      </c>
      <c r="AH443" s="12">
        <v>3.32666666666667E-3</v>
      </c>
    </row>
    <row r="444" spans="1:34" ht="12.75">
      <c r="A444" s="14" t="s">
        <v>3845</v>
      </c>
      <c r="B444" s="24" t="s">
        <v>2644</v>
      </c>
      <c r="C444" s="14" t="s">
        <v>2657</v>
      </c>
      <c r="D444" s="14" t="s">
        <v>2911</v>
      </c>
      <c r="E444" s="14" t="s">
        <v>3846</v>
      </c>
      <c r="F444" s="13">
        <v>91</v>
      </c>
      <c r="G444" s="14" t="s">
        <v>3847</v>
      </c>
      <c r="H444" s="13">
        <v>15027</v>
      </c>
      <c r="I444" s="14" t="s">
        <v>3846</v>
      </c>
      <c r="J444" s="14" t="s">
        <v>3848</v>
      </c>
      <c r="K444" s="478">
        <v>1</v>
      </c>
      <c r="L444" s="220">
        <v>91</v>
      </c>
      <c r="M444" s="473" t="s">
        <v>3849</v>
      </c>
      <c r="N444" s="473"/>
      <c r="O444" s="473" t="s">
        <v>3850</v>
      </c>
      <c r="P444" s="655" t="s">
        <v>3005</v>
      </c>
      <c r="Q444" s="486" t="s">
        <v>3006</v>
      </c>
      <c r="R444" s="14">
        <v>14</v>
      </c>
      <c r="S444" s="14">
        <f t="shared" si="493"/>
        <v>12.740000000000002</v>
      </c>
      <c r="T444" s="487">
        <f>SUM(R443:R462)</f>
        <v>96.099999999999966</v>
      </c>
      <c r="U444" s="14">
        <f t="shared" si="504"/>
        <v>14.568158168574406</v>
      </c>
      <c r="V444" s="220">
        <f>U444*100/SUM(U443:U448,U450:U462)</f>
        <v>17.925736235595394</v>
      </c>
      <c r="W444" s="14" t="s">
        <v>3852</v>
      </c>
      <c r="X444" s="14">
        <f t="shared" si="410"/>
        <v>17.925736235595394</v>
      </c>
      <c r="Y444" s="220">
        <f>SUM(X444,X458)</f>
        <v>18.053777208706791</v>
      </c>
      <c r="Z444" s="220">
        <f>X444</f>
        <v>17.925736235595394</v>
      </c>
      <c r="AA444" s="792">
        <f>Z444</f>
        <v>17.925736235595394</v>
      </c>
      <c r="AB444" s="18" t="s">
        <v>2658</v>
      </c>
      <c r="AC444" s="13" t="s">
        <v>215</v>
      </c>
      <c r="AD444" s="13" t="s">
        <v>3007</v>
      </c>
      <c r="AE444" s="12">
        <v>5.0851930036188197E-3</v>
      </c>
      <c r="AF444" s="12">
        <v>5.9995417730640897E-2</v>
      </c>
      <c r="AG444" s="12">
        <v>3.4699999999999998E-4</v>
      </c>
      <c r="AH444" s="12">
        <v>2.9762429672480995E-4</v>
      </c>
    </row>
    <row r="445" spans="1:34" ht="12.75">
      <c r="A445" s="14" t="s">
        <v>3845</v>
      </c>
      <c r="B445" s="24" t="s">
        <v>2644</v>
      </c>
      <c r="C445" s="14" t="s">
        <v>2657</v>
      </c>
      <c r="D445" s="14" t="s">
        <v>2911</v>
      </c>
      <c r="E445" s="14" t="s">
        <v>3846</v>
      </c>
      <c r="F445" s="13">
        <v>91</v>
      </c>
      <c r="G445" s="14" t="s">
        <v>3847</v>
      </c>
      <c r="H445" s="13">
        <v>15027</v>
      </c>
      <c r="I445" s="14" t="s">
        <v>3846</v>
      </c>
      <c r="J445" s="14" t="s">
        <v>3848</v>
      </c>
      <c r="K445" s="478">
        <v>1</v>
      </c>
      <c r="L445" s="220">
        <v>91</v>
      </c>
      <c r="M445" s="473" t="s">
        <v>3849</v>
      </c>
      <c r="N445" s="473"/>
      <c r="O445" s="473" t="s">
        <v>3850</v>
      </c>
      <c r="P445" s="14" t="s">
        <v>3853</v>
      </c>
      <c r="Q445" s="486" t="s">
        <v>3854</v>
      </c>
      <c r="R445" s="14">
        <v>4.75</v>
      </c>
      <c r="S445" s="14">
        <f t="shared" si="493"/>
        <v>4.3224999999999998</v>
      </c>
      <c r="T445" s="487">
        <f>SUM(R443:R462)</f>
        <v>96.099999999999966</v>
      </c>
      <c r="U445" s="14">
        <f t="shared" si="504"/>
        <v>4.9427679500520307</v>
      </c>
      <c r="V445" s="220">
        <f>U445*100/SUM(U443:U448,U450:U462)</f>
        <v>6.0819462227912942</v>
      </c>
      <c r="W445" s="14" t="s">
        <v>324</v>
      </c>
      <c r="X445" s="14">
        <f t="shared" si="410"/>
        <v>6.0819462227912942</v>
      </c>
      <c r="Y445" s="220">
        <f t="shared" ref="Y445:AA445" si="506">X445</f>
        <v>6.0819462227912942</v>
      </c>
      <c r="Z445" s="220">
        <f t="shared" si="506"/>
        <v>6.0819462227912942</v>
      </c>
      <c r="AA445" s="792">
        <f t="shared" si="506"/>
        <v>6.0819462227912942</v>
      </c>
      <c r="AB445" s="18" t="s">
        <v>324</v>
      </c>
      <c r="AC445" s="13"/>
      <c r="AD445" s="13"/>
      <c r="AE445" s="12">
        <v>1.0652903141570055E-3</v>
      </c>
      <c r="AF445" s="12">
        <v>1.7273631840796021E-2</v>
      </c>
      <c r="AG445" s="12">
        <v>1.3582399999999999E-4</v>
      </c>
      <c r="AH445" s="12">
        <v>2.14E-3</v>
      </c>
    </row>
    <row r="446" spans="1:34" ht="12.75">
      <c r="A446" s="14" t="s">
        <v>3845</v>
      </c>
      <c r="B446" s="24" t="s">
        <v>2644</v>
      </c>
      <c r="C446" s="14" t="s">
        <v>2657</v>
      </c>
      <c r="D446" s="14" t="s">
        <v>2911</v>
      </c>
      <c r="E446" s="14" t="s">
        <v>3846</v>
      </c>
      <c r="F446" s="13">
        <v>91</v>
      </c>
      <c r="G446" s="14" t="s">
        <v>3847</v>
      </c>
      <c r="H446" s="13">
        <v>15027</v>
      </c>
      <c r="I446" s="14" t="s">
        <v>3846</v>
      </c>
      <c r="J446" s="14" t="s">
        <v>3848</v>
      </c>
      <c r="K446" s="478">
        <v>1</v>
      </c>
      <c r="L446" s="220">
        <v>91</v>
      </c>
      <c r="M446" s="473" t="s">
        <v>3849</v>
      </c>
      <c r="N446" s="473"/>
      <c r="O446" s="473" t="s">
        <v>3850</v>
      </c>
      <c r="P446" s="14" t="s">
        <v>1376</v>
      </c>
      <c r="Q446" s="486" t="s">
        <v>3114</v>
      </c>
      <c r="R446" s="14">
        <v>3.5</v>
      </c>
      <c r="S446" s="14">
        <f t="shared" si="493"/>
        <v>3.1850000000000005</v>
      </c>
      <c r="T446" s="487">
        <f>SUM(R443:R462)</f>
        <v>96.099999999999966</v>
      </c>
      <c r="U446" s="14">
        <f t="shared" si="504"/>
        <v>3.6420395421436016</v>
      </c>
      <c r="V446" s="220">
        <f>U446*100/SUM(U443:U448,U450:U462)</f>
        <v>4.4814340588988486</v>
      </c>
      <c r="W446" s="14" t="s">
        <v>340</v>
      </c>
      <c r="X446" s="14">
        <f t="shared" si="410"/>
        <v>4.4814340588988486</v>
      </c>
      <c r="Y446" s="220">
        <f t="shared" ref="Y446:Y447" si="507">X446</f>
        <v>4.4814340588988486</v>
      </c>
      <c r="Z446" s="220">
        <f t="shared" ref="Z446:Z448" si="508">X446</f>
        <v>4.4814340588988486</v>
      </c>
      <c r="AA446" s="792">
        <f t="shared" ref="AA446:AA448" si="509">Z446</f>
        <v>4.4814340588988486</v>
      </c>
      <c r="AB446" s="18" t="s">
        <v>340</v>
      </c>
      <c r="AC446" s="13" t="s">
        <v>3115</v>
      </c>
      <c r="AD446" s="13" t="s">
        <v>3116</v>
      </c>
      <c r="AE446" s="12">
        <v>2.1708241661196198E-2</v>
      </c>
      <c r="AF446" s="12">
        <v>0.36572952458380198</v>
      </c>
      <c r="AG446" s="12">
        <v>4.6350652173913045E-4</v>
      </c>
      <c r="AH446" s="12">
        <v>1.6975608035415088E-3</v>
      </c>
    </row>
    <row r="447" spans="1:34" ht="12.75">
      <c r="A447" s="14" t="s">
        <v>3845</v>
      </c>
      <c r="B447" s="24" t="s">
        <v>2644</v>
      </c>
      <c r="C447" s="14" t="s">
        <v>2657</v>
      </c>
      <c r="D447" s="14" t="s">
        <v>2911</v>
      </c>
      <c r="E447" s="14" t="s">
        <v>3846</v>
      </c>
      <c r="F447" s="13">
        <v>91</v>
      </c>
      <c r="G447" s="14" t="s">
        <v>3847</v>
      </c>
      <c r="H447" s="13">
        <v>15027</v>
      </c>
      <c r="I447" s="14" t="s">
        <v>3846</v>
      </c>
      <c r="J447" s="14" t="s">
        <v>3848</v>
      </c>
      <c r="K447" s="478">
        <v>1</v>
      </c>
      <c r="L447" s="220">
        <v>91</v>
      </c>
      <c r="M447" s="473" t="s">
        <v>3849</v>
      </c>
      <c r="N447" s="473"/>
      <c r="O447" s="473" t="s">
        <v>3850</v>
      </c>
      <c r="P447" s="14" t="s">
        <v>3021</v>
      </c>
      <c r="Q447" s="486" t="s">
        <v>3022</v>
      </c>
      <c r="R447" s="14">
        <v>3.5</v>
      </c>
      <c r="S447" s="14">
        <f t="shared" si="493"/>
        <v>3.1850000000000005</v>
      </c>
      <c r="T447" s="487">
        <f>SUM(R443:R462)</f>
        <v>96.099999999999966</v>
      </c>
      <c r="U447" s="14">
        <f t="shared" si="504"/>
        <v>3.6420395421436016</v>
      </c>
      <c r="V447" s="220">
        <f>U447*100/SUM(U443:U448,U450:U462)</f>
        <v>4.4814340588988486</v>
      </c>
      <c r="W447" s="14" t="s">
        <v>346</v>
      </c>
      <c r="X447" s="14">
        <f t="shared" si="410"/>
        <v>4.4814340588988486</v>
      </c>
      <c r="Y447" s="220">
        <f t="shared" si="507"/>
        <v>4.4814340588988486</v>
      </c>
      <c r="Z447" s="220">
        <f t="shared" si="508"/>
        <v>4.4814340588988486</v>
      </c>
      <c r="AA447" s="792">
        <f t="shared" si="509"/>
        <v>4.4814340588988486</v>
      </c>
      <c r="AB447" s="18" t="s">
        <v>2659</v>
      </c>
      <c r="AC447" s="13" t="s">
        <v>2982</v>
      </c>
      <c r="AD447" s="13" t="s">
        <v>2983</v>
      </c>
      <c r="AE447" s="12">
        <v>2.9691872042618299E-2</v>
      </c>
      <c r="AF447" s="12">
        <v>7.5368545517799299E-2</v>
      </c>
      <c r="AG447" s="12">
        <v>2.9014018691588786E-4</v>
      </c>
      <c r="AH447" s="12">
        <v>1.4770983615231311E-3</v>
      </c>
    </row>
    <row r="448" spans="1:34" ht="12.75">
      <c r="A448" s="14" t="s">
        <v>3845</v>
      </c>
      <c r="B448" s="24" t="s">
        <v>2644</v>
      </c>
      <c r="C448" s="14" t="s">
        <v>2657</v>
      </c>
      <c r="D448" s="14" t="s">
        <v>2911</v>
      </c>
      <c r="E448" s="14" t="s">
        <v>3846</v>
      </c>
      <c r="F448" s="13">
        <v>91</v>
      </c>
      <c r="G448" s="14" t="s">
        <v>3847</v>
      </c>
      <c r="H448" s="13">
        <v>15027</v>
      </c>
      <c r="I448" s="14" t="s">
        <v>3846</v>
      </c>
      <c r="J448" s="14" t="s">
        <v>3848</v>
      </c>
      <c r="K448" s="478">
        <v>1</v>
      </c>
      <c r="L448" s="220">
        <v>91</v>
      </c>
      <c r="M448" s="473" t="s">
        <v>3849</v>
      </c>
      <c r="N448" s="473"/>
      <c r="O448" s="473" t="s">
        <v>3850</v>
      </c>
      <c r="P448" s="14" t="s">
        <v>3855</v>
      </c>
      <c r="Q448" s="486" t="s">
        <v>3856</v>
      </c>
      <c r="R448" s="14">
        <v>1</v>
      </c>
      <c r="S448" s="14">
        <f t="shared" si="493"/>
        <v>0.91</v>
      </c>
      <c r="T448" s="487">
        <f>SUM(R443:R462)</f>
        <v>96.099999999999966</v>
      </c>
      <c r="U448" s="14">
        <f t="shared" si="504"/>
        <v>1.0405827263267433</v>
      </c>
      <c r="V448" s="220">
        <f>U448*100/SUM(U443:U448,U450:U462)</f>
        <v>1.2804097311139566</v>
      </c>
      <c r="W448" s="14" t="s">
        <v>254</v>
      </c>
      <c r="X448" s="14">
        <f t="shared" si="410"/>
        <v>1.2804097311139566</v>
      </c>
      <c r="Y448" s="499">
        <f>SUM(X448,X462)</f>
        <v>1.4084507042253522</v>
      </c>
      <c r="Z448" s="220">
        <f t="shared" si="508"/>
        <v>1.2804097311139566</v>
      </c>
      <c r="AA448" s="792">
        <f t="shared" si="509"/>
        <v>1.2804097311139566</v>
      </c>
      <c r="AB448" s="18" t="s">
        <v>254</v>
      </c>
      <c r="AC448" s="13" t="s">
        <v>3857</v>
      </c>
      <c r="AD448" s="13" t="s">
        <v>3858</v>
      </c>
      <c r="AE448" s="23">
        <v>8.3620838220657844E-5</v>
      </c>
      <c r="AF448" s="23">
        <v>5.6674497841202156E-3</v>
      </c>
      <c r="AG448" s="12">
        <v>1.7050000000000001E-5</v>
      </c>
      <c r="AH448" s="23">
        <v>7.6059542496340328E-5</v>
      </c>
    </row>
    <row r="449" spans="1:34" ht="12.75">
      <c r="A449" s="14" t="s">
        <v>3845</v>
      </c>
      <c r="B449" s="24" t="s">
        <v>2644</v>
      </c>
      <c r="C449" s="14" t="s">
        <v>2657</v>
      </c>
      <c r="D449" s="14" t="s">
        <v>2911</v>
      </c>
      <c r="E449" s="14" t="s">
        <v>3846</v>
      </c>
      <c r="F449" s="13">
        <v>91</v>
      </c>
      <c r="G449" s="14" t="s">
        <v>3847</v>
      </c>
      <c r="H449" s="13">
        <v>15027</v>
      </c>
      <c r="I449" s="14" t="s">
        <v>3846</v>
      </c>
      <c r="J449" s="14" t="s">
        <v>3848</v>
      </c>
      <c r="K449" s="478">
        <v>1</v>
      </c>
      <c r="L449" s="220">
        <v>91</v>
      </c>
      <c r="M449" s="473" t="s">
        <v>3849</v>
      </c>
      <c r="N449" s="473"/>
      <c r="O449" s="473" t="s">
        <v>3850</v>
      </c>
      <c r="P449" s="14" t="s">
        <v>2938</v>
      </c>
      <c r="Q449" s="435" t="s">
        <v>2939</v>
      </c>
      <c r="R449" s="14">
        <v>18</v>
      </c>
      <c r="S449" s="14">
        <f t="shared" si="493"/>
        <v>16.38</v>
      </c>
      <c r="T449" s="487">
        <f>SUM(R443:R462)</f>
        <v>96.099999999999966</v>
      </c>
      <c r="U449" s="14">
        <f t="shared" si="504"/>
        <v>18.73048907388138</v>
      </c>
      <c r="V449" s="481">
        <f>U449</f>
        <v>18.73048907388138</v>
      </c>
      <c r="W449" s="482" t="s">
        <v>72</v>
      </c>
      <c r="X449" s="515">
        <f t="shared" si="410"/>
        <v>18.73048907388138</v>
      </c>
      <c r="Y449" s="481">
        <f t="shared" ref="Y449:AA449" si="510">X449</f>
        <v>18.73048907388138</v>
      </c>
      <c r="Z449" s="481">
        <f t="shared" si="510"/>
        <v>18.73048907388138</v>
      </c>
      <c r="AA449" s="810">
        <f t="shared" si="510"/>
        <v>18.73048907388138</v>
      </c>
      <c r="AB449" s="456" t="s">
        <v>72</v>
      </c>
      <c r="AC449" s="469" t="s">
        <v>2938</v>
      </c>
      <c r="AD449" s="469" t="s">
        <v>2940</v>
      </c>
      <c r="AE449" s="457">
        <v>0</v>
      </c>
      <c r="AF449" s="457">
        <v>0</v>
      </c>
      <c r="AG449" s="457">
        <v>0</v>
      </c>
      <c r="AH449" s="457">
        <v>0</v>
      </c>
    </row>
    <row r="450" spans="1:34" ht="12.75">
      <c r="A450" s="14" t="s">
        <v>3845</v>
      </c>
      <c r="B450" s="24" t="s">
        <v>2644</v>
      </c>
      <c r="C450" s="14" t="s">
        <v>2657</v>
      </c>
      <c r="D450" s="14" t="s">
        <v>2911</v>
      </c>
      <c r="E450" s="14" t="s">
        <v>3846</v>
      </c>
      <c r="F450" s="13">
        <v>91</v>
      </c>
      <c r="G450" s="14" t="s">
        <v>3847</v>
      </c>
      <c r="H450" s="13">
        <v>15027</v>
      </c>
      <c r="I450" s="14" t="s">
        <v>3846</v>
      </c>
      <c r="J450" s="14" t="s">
        <v>3848</v>
      </c>
      <c r="K450" s="478">
        <v>1</v>
      </c>
      <c r="L450" s="220">
        <v>91</v>
      </c>
      <c r="M450" s="473" t="s">
        <v>3849</v>
      </c>
      <c r="N450" s="473"/>
      <c r="O450" s="473" t="s">
        <v>3850</v>
      </c>
      <c r="P450" s="14" t="s">
        <v>3859</v>
      </c>
      <c r="Q450" s="486" t="s">
        <v>3860</v>
      </c>
      <c r="R450" s="14">
        <v>8</v>
      </c>
      <c r="S450" s="14">
        <f t="shared" si="493"/>
        <v>7.28</v>
      </c>
      <c r="T450" s="487">
        <f>SUM(R443:R462)</f>
        <v>96.099999999999966</v>
      </c>
      <c r="U450" s="14">
        <f t="shared" si="504"/>
        <v>8.3246618106139465</v>
      </c>
      <c r="V450" s="220">
        <f>U450*100/SUM(U443:U448,U450:U462)</f>
        <v>10.243277848911653</v>
      </c>
      <c r="W450" s="14" t="s">
        <v>222</v>
      </c>
      <c r="X450" s="14">
        <f t="shared" si="410"/>
        <v>10.243277848911653</v>
      </c>
      <c r="Y450" s="220">
        <f>SUM(X450,X452,X455,X459)</f>
        <v>14.21254801536492</v>
      </c>
      <c r="Z450" s="220">
        <f t="shared" ref="Z450:AA450" si="511">Y450</f>
        <v>14.21254801536492</v>
      </c>
      <c r="AA450" s="792">
        <f t="shared" si="511"/>
        <v>14.21254801536492</v>
      </c>
      <c r="AB450" s="18" t="s">
        <v>2660</v>
      </c>
      <c r="AC450" s="13" t="s">
        <v>55</v>
      </c>
      <c r="AD450" s="13" t="s">
        <v>2979</v>
      </c>
      <c r="AE450" s="12">
        <v>3.1468479298981202E-3</v>
      </c>
      <c r="AF450" s="12">
        <v>0.16906375764329037</v>
      </c>
      <c r="AG450" s="12">
        <v>9.759036144578314E-5</v>
      </c>
      <c r="AH450" s="12">
        <v>7.171669800597832E-4</v>
      </c>
    </row>
    <row r="451" spans="1:34" ht="12.75">
      <c r="A451" s="14" t="s">
        <v>3845</v>
      </c>
      <c r="B451" s="24" t="s">
        <v>2644</v>
      </c>
      <c r="C451" s="14" t="s">
        <v>2657</v>
      </c>
      <c r="D451" s="14" t="s">
        <v>2911</v>
      </c>
      <c r="E451" s="14" t="s">
        <v>3846</v>
      </c>
      <c r="F451" s="13">
        <v>91</v>
      </c>
      <c r="G451" s="14" t="s">
        <v>3847</v>
      </c>
      <c r="H451" s="13">
        <v>15027</v>
      </c>
      <c r="I451" s="14" t="s">
        <v>3846</v>
      </c>
      <c r="J451" s="14" t="s">
        <v>3848</v>
      </c>
      <c r="K451" s="478">
        <v>1</v>
      </c>
      <c r="L451" s="220">
        <v>91</v>
      </c>
      <c r="M451" s="473" t="s">
        <v>3849</v>
      </c>
      <c r="N451" s="473"/>
      <c r="O451" s="473" t="s">
        <v>3850</v>
      </c>
      <c r="P451" s="14" t="s">
        <v>2945</v>
      </c>
      <c r="Q451" s="14" t="s">
        <v>2946</v>
      </c>
      <c r="R451" s="14">
        <v>2.25</v>
      </c>
      <c r="S451" s="14">
        <f t="shared" si="493"/>
        <v>2.0474999999999999</v>
      </c>
      <c r="T451" s="487">
        <f>SUM(R443:R462)</f>
        <v>96.099999999999966</v>
      </c>
      <c r="U451" s="14">
        <f t="shared" si="504"/>
        <v>2.3413111342351725</v>
      </c>
      <c r="V451" s="220">
        <f>U451*100/SUM(U443:U448,U450:U462)</f>
        <v>2.8809218950064022</v>
      </c>
      <c r="W451" s="14" t="s">
        <v>433</v>
      </c>
      <c r="X451" s="14">
        <f t="shared" si="410"/>
        <v>2.8809218950064022</v>
      </c>
      <c r="Y451" s="14">
        <f>X451</f>
        <v>2.8809218950064022</v>
      </c>
      <c r="Z451" s="220">
        <f>X451</f>
        <v>2.8809218950064022</v>
      </c>
      <c r="AA451" s="792">
        <f>Z451</f>
        <v>2.8809218950064022</v>
      </c>
      <c r="AB451" s="18" t="s">
        <v>433</v>
      </c>
      <c r="AC451" s="13" t="s">
        <v>433</v>
      </c>
      <c r="AD451" s="13" t="s">
        <v>2947</v>
      </c>
      <c r="AE451" s="12">
        <v>3.0104466724907065E-4</v>
      </c>
      <c r="AF451" s="12">
        <v>1.2500000000000001E-2</v>
      </c>
      <c r="AG451" s="12">
        <v>5.1818181818181835E-4</v>
      </c>
      <c r="AH451" s="12">
        <v>4.0084080366977777E-4</v>
      </c>
    </row>
    <row r="452" spans="1:34" ht="12.75">
      <c r="A452" s="14" t="s">
        <v>3845</v>
      </c>
      <c r="B452" s="24" t="s">
        <v>2644</v>
      </c>
      <c r="C452" s="14" t="s">
        <v>2657</v>
      </c>
      <c r="D452" s="14" t="s">
        <v>2911</v>
      </c>
      <c r="E452" s="14" t="s">
        <v>3846</v>
      </c>
      <c r="F452" s="13">
        <v>91</v>
      </c>
      <c r="G452" s="14" t="s">
        <v>3847</v>
      </c>
      <c r="H452" s="13">
        <v>15027</v>
      </c>
      <c r="I452" s="14" t="s">
        <v>3846</v>
      </c>
      <c r="J452" s="14" t="s">
        <v>3848</v>
      </c>
      <c r="K452" s="478">
        <v>1</v>
      </c>
      <c r="L452" s="220">
        <v>91</v>
      </c>
      <c r="M452" s="473" t="s">
        <v>3849</v>
      </c>
      <c r="N452" s="473"/>
      <c r="O452" s="473" t="s">
        <v>3850</v>
      </c>
      <c r="P452" s="655" t="s">
        <v>3763</v>
      </c>
      <c r="Q452" s="486" t="s">
        <v>3861</v>
      </c>
      <c r="R452" s="14">
        <v>2</v>
      </c>
      <c r="S452" s="14">
        <f t="shared" si="493"/>
        <v>1.82</v>
      </c>
      <c r="T452" s="487">
        <f>SUM(R443:R462)</f>
        <v>96.099999999999966</v>
      </c>
      <c r="U452" s="14">
        <f t="shared" si="504"/>
        <v>2.0811654526534866</v>
      </c>
      <c r="V452" s="220">
        <f>U452*100/SUM(U443:U448,U450:U462)</f>
        <v>2.5608194622279132</v>
      </c>
      <c r="W452" s="14" t="s">
        <v>227</v>
      </c>
      <c r="X452" s="14">
        <f t="shared" si="410"/>
        <v>2.5608194622279132</v>
      </c>
      <c r="Y452" s="14" t="s">
        <v>1666</v>
      </c>
      <c r="Z452" s="220" t="str">
        <f t="shared" ref="Z452:AH452" si="512">Y452</f>
        <v>*</v>
      </c>
      <c r="AA452" s="792" t="str">
        <f t="shared" si="512"/>
        <v>*</v>
      </c>
      <c r="AB452" s="458" t="str">
        <f t="shared" si="512"/>
        <v>*</v>
      </c>
      <c r="AC452" s="497" t="str">
        <f t="shared" si="512"/>
        <v>*</v>
      </c>
      <c r="AD452" s="497" t="str">
        <f t="shared" si="512"/>
        <v>*</v>
      </c>
      <c r="AE452" s="454" t="str">
        <f t="shared" si="512"/>
        <v>*</v>
      </c>
      <c r="AF452" s="454" t="str">
        <f t="shared" si="512"/>
        <v>*</v>
      </c>
      <c r="AG452" s="454" t="str">
        <f t="shared" si="512"/>
        <v>*</v>
      </c>
      <c r="AH452" s="454" t="str">
        <f t="shared" si="512"/>
        <v>*</v>
      </c>
    </row>
    <row r="453" spans="1:34" ht="12.75">
      <c r="A453" s="14" t="s">
        <v>3845</v>
      </c>
      <c r="B453" s="24" t="s">
        <v>2644</v>
      </c>
      <c r="C453" s="14" t="s">
        <v>2657</v>
      </c>
      <c r="D453" s="14" t="s">
        <v>2911</v>
      </c>
      <c r="E453" s="14" t="s">
        <v>3846</v>
      </c>
      <c r="F453" s="13">
        <v>91</v>
      </c>
      <c r="G453" s="14" t="s">
        <v>3847</v>
      </c>
      <c r="H453" s="13">
        <v>15027</v>
      </c>
      <c r="I453" s="14" t="s">
        <v>3846</v>
      </c>
      <c r="J453" s="14" t="s">
        <v>3848</v>
      </c>
      <c r="K453" s="478">
        <v>1</v>
      </c>
      <c r="L453" s="220">
        <v>91</v>
      </c>
      <c r="M453" s="473" t="s">
        <v>3849</v>
      </c>
      <c r="N453" s="473"/>
      <c r="O453" s="473" t="s">
        <v>3850</v>
      </c>
      <c r="P453" s="14" t="s">
        <v>3764</v>
      </c>
      <c r="Q453" s="527" t="s">
        <v>3430</v>
      </c>
      <c r="R453" s="14">
        <v>1</v>
      </c>
      <c r="S453" s="14">
        <f t="shared" si="493"/>
        <v>0.91</v>
      </c>
      <c r="T453" s="487">
        <f>SUM(R443:R462)</f>
        <v>96.099999999999966</v>
      </c>
      <c r="U453" s="14">
        <f t="shared" si="504"/>
        <v>1.0405827263267433</v>
      </c>
      <c r="V453" s="220">
        <f>U453*100/SUM(U443:U448,U450:U462)</f>
        <v>1.2804097311139566</v>
      </c>
      <c r="W453" s="14" t="s">
        <v>83</v>
      </c>
      <c r="X453" s="14">
        <f t="shared" si="410"/>
        <v>1.2804097311139566</v>
      </c>
      <c r="Y453" s="499">
        <f t="shared" ref="Y453:Y454" si="513">X453</f>
        <v>1.2804097311139566</v>
      </c>
      <c r="Z453" s="220">
        <f>X453</f>
        <v>1.2804097311139566</v>
      </c>
      <c r="AA453" s="792">
        <f>Z453</f>
        <v>1.2804097311139566</v>
      </c>
      <c r="AB453" s="18" t="s">
        <v>83</v>
      </c>
      <c r="AC453" s="14" t="s">
        <v>83</v>
      </c>
      <c r="AD453" s="14" t="s">
        <v>2951</v>
      </c>
      <c r="AE453" s="12">
        <v>0</v>
      </c>
      <c r="AF453" s="12">
        <v>0</v>
      </c>
      <c r="AG453" s="12">
        <v>0</v>
      </c>
      <c r="AH453" s="12">
        <v>0</v>
      </c>
    </row>
    <row r="454" spans="1:34" ht="12.75">
      <c r="A454" s="14" t="s">
        <v>3845</v>
      </c>
      <c r="B454" s="24" t="s">
        <v>2644</v>
      </c>
      <c r="C454" s="14" t="s">
        <v>2657</v>
      </c>
      <c r="D454" s="14" t="s">
        <v>2911</v>
      </c>
      <c r="E454" s="14" t="s">
        <v>3846</v>
      </c>
      <c r="F454" s="13">
        <v>91</v>
      </c>
      <c r="G454" s="14" t="s">
        <v>3847</v>
      </c>
      <c r="H454" s="13">
        <v>15027</v>
      </c>
      <c r="I454" s="14" t="s">
        <v>3846</v>
      </c>
      <c r="J454" s="14" t="s">
        <v>3848</v>
      </c>
      <c r="K454" s="478">
        <v>1</v>
      </c>
      <c r="L454" s="220">
        <v>91</v>
      </c>
      <c r="M454" s="473" t="s">
        <v>3849</v>
      </c>
      <c r="N454" s="473"/>
      <c r="O454" s="473" t="s">
        <v>3850</v>
      </c>
      <c r="P454" s="14" t="s">
        <v>3051</v>
      </c>
      <c r="Q454" s="486" t="s">
        <v>3084</v>
      </c>
      <c r="R454" s="14">
        <v>1</v>
      </c>
      <c r="S454" s="14">
        <f t="shared" si="493"/>
        <v>0.91</v>
      </c>
      <c r="T454" s="487">
        <f>SUM(R443:R462)</f>
        <v>96.099999999999966</v>
      </c>
      <c r="U454" s="14">
        <f t="shared" si="504"/>
        <v>1.0405827263267433</v>
      </c>
      <c r="V454" s="220">
        <f>U454*100/SUM(U443:U448,U450:U462)</f>
        <v>1.2804097311139566</v>
      </c>
      <c r="W454" s="14" t="s">
        <v>134</v>
      </c>
      <c r="X454" s="14">
        <f t="shared" si="410"/>
        <v>1.2804097311139566</v>
      </c>
      <c r="Y454" s="499">
        <f t="shared" si="513"/>
        <v>1.2804097311139566</v>
      </c>
      <c r="Z454" s="220">
        <f t="shared" ref="Z454:AA454" si="514">Y454</f>
        <v>1.2804097311139566</v>
      </c>
      <c r="AA454" s="792">
        <f t="shared" si="514"/>
        <v>1.2804097311139566</v>
      </c>
      <c r="AB454" s="18" t="s">
        <v>2661</v>
      </c>
      <c r="AC454" s="13" t="s">
        <v>134</v>
      </c>
      <c r="AD454" s="13" t="s">
        <v>3053</v>
      </c>
      <c r="AE454" s="12">
        <v>3.0177940758293843E-3</v>
      </c>
      <c r="AF454" s="12">
        <v>8.8728561611374421E-3</v>
      </c>
      <c r="AG454" s="12">
        <v>5.9155383175355464E-5</v>
      </c>
      <c r="AH454" s="12">
        <v>5.56622037914692E-4</v>
      </c>
    </row>
    <row r="455" spans="1:34" ht="12.75">
      <c r="A455" s="14" t="s">
        <v>3845</v>
      </c>
      <c r="B455" s="24" t="s">
        <v>2644</v>
      </c>
      <c r="C455" s="14" t="s">
        <v>2657</v>
      </c>
      <c r="D455" s="14" t="s">
        <v>2911</v>
      </c>
      <c r="E455" s="14" t="s">
        <v>3846</v>
      </c>
      <c r="F455" s="13">
        <v>91</v>
      </c>
      <c r="G455" s="14" t="s">
        <v>3847</v>
      </c>
      <c r="H455" s="13">
        <v>15027</v>
      </c>
      <c r="I455" s="14" t="s">
        <v>3846</v>
      </c>
      <c r="J455" s="14" t="s">
        <v>3848</v>
      </c>
      <c r="K455" s="478">
        <v>1</v>
      </c>
      <c r="L455" s="220">
        <v>91</v>
      </c>
      <c r="M455" s="473" t="s">
        <v>3849</v>
      </c>
      <c r="N455" s="473"/>
      <c r="O455" s="473" t="s">
        <v>3850</v>
      </c>
      <c r="P455" s="655" t="s">
        <v>3763</v>
      </c>
      <c r="Q455" s="435" t="s">
        <v>2978</v>
      </c>
      <c r="R455" s="14">
        <v>1</v>
      </c>
      <c r="S455" s="14">
        <f t="shared" si="493"/>
        <v>0.91</v>
      </c>
      <c r="T455" s="487">
        <f>SUM(R443:R462)</f>
        <v>96.099999999999966</v>
      </c>
      <c r="U455" s="14">
        <f t="shared" si="504"/>
        <v>1.0405827263267433</v>
      </c>
      <c r="V455" s="220">
        <f>U455*100/SUM(U443:U448,U450:U462)</f>
        <v>1.2804097311139566</v>
      </c>
      <c r="W455" s="14" t="s">
        <v>227</v>
      </c>
      <c r="X455" s="14">
        <f t="shared" si="410"/>
        <v>1.2804097311139566</v>
      </c>
      <c r="Y455" s="220" t="s">
        <v>1666</v>
      </c>
      <c r="Z455" s="220" t="s">
        <v>1666</v>
      </c>
      <c r="AA455" s="792" t="str">
        <f t="shared" ref="AA455:AH455" si="515">Z455</f>
        <v>*</v>
      </c>
      <c r="AB455" s="458" t="str">
        <f t="shared" si="515"/>
        <v>*</v>
      </c>
      <c r="AC455" s="497" t="str">
        <f t="shared" si="515"/>
        <v>*</v>
      </c>
      <c r="AD455" s="497" t="str">
        <f t="shared" si="515"/>
        <v>*</v>
      </c>
      <c r="AE455" s="454" t="str">
        <f t="shared" si="515"/>
        <v>*</v>
      </c>
      <c r="AF455" s="454" t="str">
        <f t="shared" si="515"/>
        <v>*</v>
      </c>
      <c r="AG455" s="454" t="str">
        <f t="shared" si="515"/>
        <v>*</v>
      </c>
      <c r="AH455" s="454" t="str">
        <f t="shared" si="515"/>
        <v>*</v>
      </c>
    </row>
    <row r="456" spans="1:34" ht="12.75">
      <c r="A456" s="14" t="s">
        <v>3845</v>
      </c>
      <c r="B456" s="24" t="s">
        <v>2644</v>
      </c>
      <c r="C456" s="14" t="s">
        <v>2657</v>
      </c>
      <c r="D456" s="14" t="s">
        <v>2911</v>
      </c>
      <c r="E456" s="14" t="s">
        <v>3846</v>
      </c>
      <c r="F456" s="13">
        <v>91</v>
      </c>
      <c r="G456" s="14" t="s">
        <v>3847</v>
      </c>
      <c r="H456" s="13">
        <v>15027</v>
      </c>
      <c r="I456" s="14" t="s">
        <v>3846</v>
      </c>
      <c r="J456" s="14" t="s">
        <v>3848</v>
      </c>
      <c r="K456" s="478">
        <v>1</v>
      </c>
      <c r="L456" s="220">
        <v>91</v>
      </c>
      <c r="M456" s="473" t="s">
        <v>3849</v>
      </c>
      <c r="N456" s="473"/>
      <c r="O456" s="473" t="s">
        <v>3850</v>
      </c>
      <c r="P456" s="14" t="s">
        <v>86</v>
      </c>
      <c r="Q456" s="14" t="s">
        <v>3442</v>
      </c>
      <c r="R456" s="14">
        <v>0.5</v>
      </c>
      <c r="S456" s="14">
        <f t="shared" si="493"/>
        <v>0.45500000000000002</v>
      </c>
      <c r="T456" s="487">
        <f>SUM(R443:R462)</f>
        <v>96.099999999999966</v>
      </c>
      <c r="U456" s="14">
        <f t="shared" si="504"/>
        <v>0.52029136316337166</v>
      </c>
      <c r="V456" s="220">
        <f>U456*100/SUM(U443:U448,U450:U462)</f>
        <v>0.64020486555697831</v>
      </c>
      <c r="W456" s="14" t="s">
        <v>86</v>
      </c>
      <c r="X456" s="14">
        <f t="shared" si="410"/>
        <v>0.64020486555697831</v>
      </c>
      <c r="Y456" s="499">
        <f t="shared" ref="Y456:AA456" si="516">X456</f>
        <v>0.64020486555697831</v>
      </c>
      <c r="Z456" s="220">
        <f t="shared" si="516"/>
        <v>0.64020486555697831</v>
      </c>
      <c r="AA456" s="792">
        <f t="shared" si="516"/>
        <v>0.64020486555697831</v>
      </c>
      <c r="AB456" s="18" t="s">
        <v>86</v>
      </c>
      <c r="AC456" s="13" t="s">
        <v>18</v>
      </c>
      <c r="AD456" s="13" t="s">
        <v>18</v>
      </c>
      <c r="AE456" s="12">
        <v>0</v>
      </c>
      <c r="AF456" s="12">
        <v>0</v>
      </c>
      <c r="AG456" s="12">
        <v>0</v>
      </c>
      <c r="AH456" s="12">
        <v>0</v>
      </c>
    </row>
    <row r="457" spans="1:34" ht="12.75">
      <c r="A457" s="14" t="s">
        <v>3845</v>
      </c>
      <c r="B457" s="24" t="s">
        <v>2644</v>
      </c>
      <c r="C457" s="14" t="s">
        <v>2657</v>
      </c>
      <c r="D457" s="14" t="s">
        <v>2911</v>
      </c>
      <c r="E457" s="14" t="s">
        <v>3846</v>
      </c>
      <c r="F457" s="13">
        <v>91</v>
      </c>
      <c r="G457" s="14" t="s">
        <v>3847</v>
      </c>
      <c r="H457" s="13">
        <v>15027</v>
      </c>
      <c r="I457" s="14" t="s">
        <v>3846</v>
      </c>
      <c r="J457" s="14" t="s">
        <v>3848</v>
      </c>
      <c r="K457" s="478">
        <v>1</v>
      </c>
      <c r="L457" s="220">
        <v>91</v>
      </c>
      <c r="M457" s="473" t="s">
        <v>3849</v>
      </c>
      <c r="N457" s="473"/>
      <c r="O457" s="473" t="s">
        <v>3850</v>
      </c>
      <c r="P457" s="14" t="s">
        <v>3862</v>
      </c>
      <c r="Q457" s="486" t="s">
        <v>3863</v>
      </c>
      <c r="R457" s="14">
        <v>0.1</v>
      </c>
      <c r="S457" s="14">
        <f t="shared" si="493"/>
        <v>9.0999999999999998E-2</v>
      </c>
      <c r="T457" s="487">
        <f>SUM(R443:R462)</f>
        <v>96.099999999999966</v>
      </c>
      <c r="U457" s="14">
        <f t="shared" si="504"/>
        <v>0.10405827263267434</v>
      </c>
      <c r="V457" s="220">
        <f>U457*100/SUM(U443:U448,U450:U462)</f>
        <v>0.12804097311139567</v>
      </c>
      <c r="W457" s="14" t="s">
        <v>2662</v>
      </c>
      <c r="X457" s="14">
        <f t="shared" si="410"/>
        <v>0.12804097311139567</v>
      </c>
      <c r="Y457" s="499">
        <f>X457</f>
        <v>0.12804097311139567</v>
      </c>
      <c r="Z457" s="220">
        <f t="shared" ref="Z457:Z458" si="517">X457</f>
        <v>0.12804097311139567</v>
      </c>
      <c r="AA457" s="792">
        <f t="shared" ref="AA457:AA459" si="518">Z457</f>
        <v>0.12804097311139567</v>
      </c>
      <c r="AB457" s="18" t="s">
        <v>2662</v>
      </c>
      <c r="AC457" s="13" t="s">
        <v>208</v>
      </c>
      <c r="AD457" s="13" t="s">
        <v>3864</v>
      </c>
      <c r="AE457" s="12">
        <v>6.399192301960112E-3</v>
      </c>
      <c r="AF457" s="12">
        <v>0.12411340117772937</v>
      </c>
      <c r="AG457" s="12">
        <v>9.8749999999999988E-5</v>
      </c>
      <c r="AH457" s="12">
        <v>3.8580927353216109E-4</v>
      </c>
    </row>
    <row r="458" spans="1:34" ht="12.75">
      <c r="A458" s="14" t="s">
        <v>3845</v>
      </c>
      <c r="B458" s="24" t="s">
        <v>2644</v>
      </c>
      <c r="C458" s="14" t="s">
        <v>2657</v>
      </c>
      <c r="D458" s="14" t="s">
        <v>2911</v>
      </c>
      <c r="E458" s="14" t="s">
        <v>3846</v>
      </c>
      <c r="F458" s="13">
        <v>91</v>
      </c>
      <c r="G458" s="14" t="s">
        <v>3847</v>
      </c>
      <c r="H458" s="13">
        <v>15027</v>
      </c>
      <c r="I458" s="14" t="s">
        <v>3846</v>
      </c>
      <c r="J458" s="14" t="s">
        <v>3848</v>
      </c>
      <c r="K458" s="478">
        <v>1</v>
      </c>
      <c r="L458" s="220">
        <v>91</v>
      </c>
      <c r="M458" s="473" t="s">
        <v>3849</v>
      </c>
      <c r="N458" s="473"/>
      <c r="O458" s="473" t="s">
        <v>3850</v>
      </c>
      <c r="P458" s="14" t="s">
        <v>3865</v>
      </c>
      <c r="Q458" s="486" t="s">
        <v>3866</v>
      </c>
      <c r="R458" s="14">
        <v>0.1</v>
      </c>
      <c r="S458" s="14">
        <f t="shared" si="493"/>
        <v>9.0999999999999998E-2</v>
      </c>
      <c r="T458" s="487">
        <f>SUM(R443:R462)</f>
        <v>96.099999999999966</v>
      </c>
      <c r="U458" s="14">
        <f t="shared" si="504"/>
        <v>0.10405827263267434</v>
      </c>
      <c r="V458" s="220">
        <f>U458*100/SUM(U443:U448,U450:U462)</f>
        <v>0.12804097311139567</v>
      </c>
      <c r="W458" s="14" t="s">
        <v>1165</v>
      </c>
      <c r="X458" s="14">
        <f t="shared" si="410"/>
        <v>0.12804097311139567</v>
      </c>
      <c r="Y458" s="220" t="s">
        <v>1666</v>
      </c>
      <c r="Z458" s="220">
        <f t="shared" si="517"/>
        <v>0.12804097311139567</v>
      </c>
      <c r="AA458" s="792">
        <f t="shared" si="518"/>
        <v>0.12804097311139567</v>
      </c>
      <c r="AB458" s="18" t="s">
        <v>2663</v>
      </c>
      <c r="AC458" s="13" t="s">
        <v>3867</v>
      </c>
      <c r="AD458" s="13" t="s">
        <v>3007</v>
      </c>
      <c r="AE458" s="12">
        <v>3.1660297063617504E-2</v>
      </c>
      <c r="AF458" s="12">
        <v>0.3735301190055475</v>
      </c>
      <c r="AG458" s="12">
        <v>2.1604141815772032E-3</v>
      </c>
      <c r="AH458" s="12">
        <v>1.8530021654934324E-3</v>
      </c>
    </row>
    <row r="459" spans="1:34" ht="12.75">
      <c r="A459" s="14" t="s">
        <v>3845</v>
      </c>
      <c r="B459" s="24" t="s">
        <v>2644</v>
      </c>
      <c r="C459" s="14" t="s">
        <v>2657</v>
      </c>
      <c r="D459" s="14" t="s">
        <v>2911</v>
      </c>
      <c r="E459" s="14" t="s">
        <v>3846</v>
      </c>
      <c r="F459" s="13">
        <v>91</v>
      </c>
      <c r="G459" s="14" t="s">
        <v>3847</v>
      </c>
      <c r="H459" s="13">
        <v>15027</v>
      </c>
      <c r="I459" s="14" t="s">
        <v>3846</v>
      </c>
      <c r="J459" s="14" t="s">
        <v>3848</v>
      </c>
      <c r="K459" s="478">
        <v>1</v>
      </c>
      <c r="L459" s="220">
        <v>91</v>
      </c>
      <c r="M459" s="473" t="s">
        <v>3849</v>
      </c>
      <c r="N459" s="473"/>
      <c r="O459" s="473" t="s">
        <v>3850</v>
      </c>
      <c r="P459" s="14" t="s">
        <v>3868</v>
      </c>
      <c r="Q459" s="486" t="s">
        <v>3869</v>
      </c>
      <c r="R459" s="14">
        <v>0.1</v>
      </c>
      <c r="S459" s="14">
        <f t="shared" si="493"/>
        <v>9.0999999999999998E-2</v>
      </c>
      <c r="T459" s="487">
        <f>SUM(R443:R462)</f>
        <v>96.099999999999966</v>
      </c>
      <c r="U459" s="14">
        <f t="shared" si="504"/>
        <v>0.10405827263267434</v>
      </c>
      <c r="V459" s="220">
        <f>U459*100/SUM(U443:U448,U450:U462)</f>
        <v>0.12804097311139567</v>
      </c>
      <c r="W459" s="14" t="s">
        <v>227</v>
      </c>
      <c r="X459" s="14">
        <f t="shared" si="410"/>
        <v>0.12804097311139567</v>
      </c>
      <c r="Y459" s="220" t="s">
        <v>1666</v>
      </c>
      <c r="Z459" s="220" t="s">
        <v>1666</v>
      </c>
      <c r="AA459" s="792" t="str">
        <f t="shared" si="518"/>
        <v>*</v>
      </c>
      <c r="AB459" s="458" t="str">
        <f t="shared" ref="AB459:AH459" si="519">AA459</f>
        <v>*</v>
      </c>
      <c r="AC459" s="497" t="str">
        <f t="shared" si="519"/>
        <v>*</v>
      </c>
      <c r="AD459" s="497" t="str">
        <f t="shared" si="519"/>
        <v>*</v>
      </c>
      <c r="AE459" s="454" t="str">
        <f t="shared" si="519"/>
        <v>*</v>
      </c>
      <c r="AF459" s="454" t="str">
        <f t="shared" si="519"/>
        <v>*</v>
      </c>
      <c r="AG459" s="454" t="str">
        <f t="shared" si="519"/>
        <v>*</v>
      </c>
      <c r="AH459" s="454" t="str">
        <f t="shared" si="519"/>
        <v>*</v>
      </c>
    </row>
    <row r="460" spans="1:34" ht="12.75">
      <c r="A460" s="14" t="s">
        <v>3845</v>
      </c>
      <c r="B460" s="24" t="s">
        <v>2644</v>
      </c>
      <c r="C460" s="14" t="s">
        <v>2657</v>
      </c>
      <c r="D460" s="14" t="s">
        <v>2911</v>
      </c>
      <c r="E460" s="14" t="s">
        <v>3846</v>
      </c>
      <c r="F460" s="13">
        <v>91</v>
      </c>
      <c r="G460" s="14" t="s">
        <v>3847</v>
      </c>
      <c r="H460" s="13">
        <v>15027</v>
      </c>
      <c r="I460" s="14" t="s">
        <v>3846</v>
      </c>
      <c r="J460" s="14" t="s">
        <v>3848</v>
      </c>
      <c r="K460" s="478">
        <v>1</v>
      </c>
      <c r="L460" s="220">
        <v>91</v>
      </c>
      <c r="M460" s="473" t="s">
        <v>3849</v>
      </c>
      <c r="N460" s="473"/>
      <c r="O460" s="473" t="s">
        <v>3850</v>
      </c>
      <c r="P460" s="14" t="s">
        <v>2584</v>
      </c>
      <c r="Q460" s="14" t="s">
        <v>3423</v>
      </c>
      <c r="R460" s="14">
        <v>0.1</v>
      </c>
      <c r="S460" s="14">
        <f t="shared" si="493"/>
        <v>9.0999999999999998E-2</v>
      </c>
      <c r="T460" s="487">
        <f>SUM(R443:R462)</f>
        <v>96.099999999999966</v>
      </c>
      <c r="U460" s="14">
        <f t="shared" si="504"/>
        <v>0.10405827263267434</v>
      </c>
      <c r="V460" s="220">
        <f>U460*100/SUM(U443:U448,U450:U462)</f>
        <v>0.12804097311139567</v>
      </c>
      <c r="W460" s="14" t="s">
        <v>2584</v>
      </c>
      <c r="X460" s="14">
        <f t="shared" si="410"/>
        <v>0.12804097311139567</v>
      </c>
      <c r="Y460" s="499">
        <f t="shared" ref="Y460:AA460" si="520">X460</f>
        <v>0.12804097311139567</v>
      </c>
      <c r="Z460" s="220">
        <f t="shared" si="520"/>
        <v>0.12804097311139567</v>
      </c>
      <c r="AA460" s="792">
        <f t="shared" si="520"/>
        <v>0.12804097311139567</v>
      </c>
      <c r="AB460" s="18" t="s">
        <v>2584</v>
      </c>
      <c r="AC460" s="13" t="s">
        <v>3424</v>
      </c>
      <c r="AD460" s="13" t="s">
        <v>3425</v>
      </c>
      <c r="AE460" s="12">
        <v>4.7754773653722405E-4</v>
      </c>
      <c r="AF460" s="12">
        <v>9.9048845026103102E-3</v>
      </c>
      <c r="AG460" s="12">
        <v>1.1598405219282348E-5</v>
      </c>
      <c r="AH460" s="12">
        <v>9.908404494382022E-5</v>
      </c>
    </row>
    <row r="461" spans="1:34" ht="12.75">
      <c r="A461" s="14" t="s">
        <v>3845</v>
      </c>
      <c r="B461" s="24" t="s">
        <v>2644</v>
      </c>
      <c r="C461" s="14" t="s">
        <v>2657</v>
      </c>
      <c r="D461" s="14" t="s">
        <v>2911</v>
      </c>
      <c r="E461" s="14" t="s">
        <v>3846</v>
      </c>
      <c r="F461" s="13">
        <v>91</v>
      </c>
      <c r="G461" s="14" t="s">
        <v>3847</v>
      </c>
      <c r="H461" s="13">
        <v>15027</v>
      </c>
      <c r="I461" s="14" t="s">
        <v>3846</v>
      </c>
      <c r="J461" s="14" t="s">
        <v>3848</v>
      </c>
      <c r="K461" s="478">
        <v>1</v>
      </c>
      <c r="L461" s="220">
        <v>91</v>
      </c>
      <c r="M461" s="473" t="s">
        <v>3849</v>
      </c>
      <c r="N461" s="473"/>
      <c r="O461" s="473" t="s">
        <v>3850</v>
      </c>
      <c r="P461" s="14" t="s">
        <v>3870</v>
      </c>
      <c r="Q461" s="14" t="s">
        <v>3871</v>
      </c>
      <c r="R461" s="14">
        <v>0.1</v>
      </c>
      <c r="S461" s="14">
        <f t="shared" si="493"/>
        <v>9.0999999999999998E-2</v>
      </c>
      <c r="T461" s="487">
        <f>SUM(R443:R462)</f>
        <v>96.099999999999966</v>
      </c>
      <c r="U461" s="14">
        <f t="shared" si="504"/>
        <v>0.10405827263267434</v>
      </c>
      <c r="V461" s="220">
        <f>U461*100/SUM(U443:U448,U450:U462)</f>
        <v>0.12804097311139567</v>
      </c>
      <c r="W461" s="14" t="s">
        <v>3872</v>
      </c>
      <c r="X461" s="14">
        <f t="shared" si="410"/>
        <v>0.12804097311139567</v>
      </c>
      <c r="Y461" s="499">
        <f>X461</f>
        <v>0.12804097311139567</v>
      </c>
      <c r="Z461" s="220">
        <f t="shared" ref="Z461:Z462" si="521">X461</f>
        <v>0.12804097311139567</v>
      </c>
      <c r="AA461" s="792">
        <f>Z461</f>
        <v>0.12804097311139567</v>
      </c>
      <c r="AB461" s="809" t="s">
        <v>2664</v>
      </c>
      <c r="AC461" s="13" t="s">
        <v>3174</v>
      </c>
      <c r="AD461" s="13" t="s">
        <v>3174</v>
      </c>
      <c r="AE461" s="461">
        <v>2.2073766211046637E-2</v>
      </c>
      <c r="AF461" s="461">
        <v>8.7246004352723297E-2</v>
      </c>
      <c r="AG461" s="461">
        <v>5.8202330775582959E-4</v>
      </c>
      <c r="AH461" s="461">
        <v>2.670351142205461E-3</v>
      </c>
    </row>
    <row r="462" spans="1:34" ht="12.75">
      <c r="A462" s="617" t="s">
        <v>3845</v>
      </c>
      <c r="B462" s="794" t="s">
        <v>2644</v>
      </c>
      <c r="C462" s="617" t="s">
        <v>2657</v>
      </c>
      <c r="D462" s="617" t="s">
        <v>2911</v>
      </c>
      <c r="E462" s="617" t="s">
        <v>3846</v>
      </c>
      <c r="F462" s="799">
        <v>91</v>
      </c>
      <c r="G462" s="617" t="s">
        <v>3847</v>
      </c>
      <c r="H462" s="799">
        <v>15027</v>
      </c>
      <c r="I462" s="617" t="s">
        <v>3846</v>
      </c>
      <c r="J462" s="617" t="s">
        <v>3848</v>
      </c>
      <c r="K462" s="838">
        <v>1</v>
      </c>
      <c r="L462" s="725">
        <v>91</v>
      </c>
      <c r="M462" s="850" t="s">
        <v>3849</v>
      </c>
      <c r="N462" s="850"/>
      <c r="O462" s="850" t="s">
        <v>3850</v>
      </c>
      <c r="P462" s="617" t="s">
        <v>3873</v>
      </c>
      <c r="Q462" s="856" t="s">
        <v>3874</v>
      </c>
      <c r="R462" s="617">
        <v>0.1</v>
      </c>
      <c r="S462" s="617">
        <f t="shared" si="493"/>
        <v>9.0999999999999998E-2</v>
      </c>
      <c r="T462" s="725">
        <f>SUM(R443:R462)</f>
        <v>96.099999999999966</v>
      </c>
      <c r="U462" s="617">
        <f t="shared" si="504"/>
        <v>0.10405827263267434</v>
      </c>
      <c r="V462" s="725">
        <f>U462*100/SUM(U443:U448,U450:U462)</f>
        <v>0.12804097311139567</v>
      </c>
      <c r="W462" s="617" t="s">
        <v>1124</v>
      </c>
      <c r="X462" s="617">
        <f t="shared" si="410"/>
        <v>0.12804097311139567</v>
      </c>
      <c r="Y462" s="725">
        <f>SUM(X460:X462,X456:X457,X453:X454,X448)</f>
        <v>4.9935979513444311</v>
      </c>
      <c r="Z462" s="725">
        <f t="shared" si="521"/>
        <v>0.12804097311139567</v>
      </c>
      <c r="AA462" s="455">
        <f t="shared" ref="AA462:AA465" si="522">X462</f>
        <v>0.12804097311139567</v>
      </c>
      <c r="AB462" s="793" t="s">
        <v>1124</v>
      </c>
      <c r="AC462" s="799" t="s">
        <v>3875</v>
      </c>
      <c r="AD462" s="799" t="s">
        <v>3876</v>
      </c>
      <c r="AE462" s="635">
        <v>2.38916680630451E-3</v>
      </c>
      <c r="AF462" s="635">
        <v>0.16192713668914901</v>
      </c>
      <c r="AG462" s="635">
        <v>4.8714285714285716E-4</v>
      </c>
      <c r="AH462" s="635">
        <v>2.358948129596642E-3</v>
      </c>
    </row>
    <row r="463" spans="1:34" ht="12.75">
      <c r="A463" s="14" t="s">
        <v>3877</v>
      </c>
      <c r="B463" s="13" t="s">
        <v>2644</v>
      </c>
      <c r="C463" s="14" t="s">
        <v>2665</v>
      </c>
      <c r="D463" s="14" t="s">
        <v>2911</v>
      </c>
      <c r="E463" s="14" t="s">
        <v>3878</v>
      </c>
      <c r="F463" s="13">
        <v>85</v>
      </c>
      <c r="G463" s="14" t="s">
        <v>3755</v>
      </c>
      <c r="H463" s="13">
        <v>15151</v>
      </c>
      <c r="I463" s="14" t="s">
        <v>3878</v>
      </c>
      <c r="J463" s="14" t="s">
        <v>3879</v>
      </c>
      <c r="K463" s="478">
        <v>0.85</v>
      </c>
      <c r="L463" s="220">
        <v>72.25</v>
      </c>
      <c r="M463" s="473" t="s">
        <v>3880</v>
      </c>
      <c r="N463" s="473"/>
      <c r="O463" s="480"/>
      <c r="P463" s="14" t="s">
        <v>3878</v>
      </c>
      <c r="Q463" s="14" t="s">
        <v>3881</v>
      </c>
      <c r="R463" s="14">
        <v>100</v>
      </c>
      <c r="S463" s="14">
        <f t="shared" si="493"/>
        <v>72.25</v>
      </c>
      <c r="T463" s="220"/>
      <c r="U463" s="14">
        <v>85</v>
      </c>
      <c r="V463" s="220">
        <f t="shared" ref="V463:V548" si="523">U463</f>
        <v>85</v>
      </c>
      <c r="W463" s="14" t="s">
        <v>3879</v>
      </c>
      <c r="X463" s="14">
        <f t="shared" ref="X463:X465" si="524">V463</f>
        <v>85</v>
      </c>
      <c r="Y463" s="220">
        <f t="shared" ref="Y463:Z463" si="525">X463</f>
        <v>85</v>
      </c>
      <c r="Z463" s="220">
        <f t="shared" si="525"/>
        <v>85</v>
      </c>
      <c r="AA463" s="792">
        <f t="shared" si="522"/>
        <v>85</v>
      </c>
      <c r="AB463" s="18" t="s">
        <v>402</v>
      </c>
      <c r="AC463" s="13" t="s">
        <v>402</v>
      </c>
      <c r="AD463" s="14" t="s">
        <v>3882</v>
      </c>
      <c r="AE463" s="12">
        <v>3.2015555555555601E-4</v>
      </c>
      <c r="AF463" s="12">
        <v>4.9060800000000002E-4</v>
      </c>
      <c r="AG463" s="12">
        <v>3.2872385079429705E-4</v>
      </c>
      <c r="AH463" s="12">
        <v>1.0873333333333299E-2</v>
      </c>
    </row>
    <row r="464" spans="1:34" ht="12.75">
      <c r="A464" s="14" t="s">
        <v>3877</v>
      </c>
      <c r="B464" s="13" t="s">
        <v>2644</v>
      </c>
      <c r="C464" s="14" t="s">
        <v>2665</v>
      </c>
      <c r="D464" s="14" t="s">
        <v>2911</v>
      </c>
      <c r="E464" s="14" t="s">
        <v>3878</v>
      </c>
      <c r="F464" s="13">
        <v>85</v>
      </c>
      <c r="G464" s="14" t="s">
        <v>3755</v>
      </c>
      <c r="H464" s="13">
        <v>15151</v>
      </c>
      <c r="I464" s="14" t="s">
        <v>3883</v>
      </c>
      <c r="J464" s="14" t="s">
        <v>3884</v>
      </c>
      <c r="K464" s="478">
        <v>0.06</v>
      </c>
      <c r="L464" s="220">
        <v>5.0999999999999996</v>
      </c>
      <c r="M464" s="473" t="s">
        <v>3885</v>
      </c>
      <c r="N464" s="473"/>
      <c r="O464" s="480"/>
      <c r="P464" s="14" t="s">
        <v>3883</v>
      </c>
      <c r="Q464" s="14" t="s">
        <v>3886</v>
      </c>
      <c r="R464" s="14">
        <v>100</v>
      </c>
      <c r="S464" s="14">
        <f t="shared" si="493"/>
        <v>5.0999999999999996</v>
      </c>
      <c r="T464" s="220"/>
      <c r="U464" s="14">
        <v>6</v>
      </c>
      <c r="V464" s="220">
        <f t="shared" si="523"/>
        <v>6</v>
      </c>
      <c r="W464" s="14" t="s">
        <v>3884</v>
      </c>
      <c r="X464" s="14">
        <f t="shared" si="524"/>
        <v>6</v>
      </c>
      <c r="Y464" s="220">
        <f t="shared" ref="Y464:Z464" si="526">X464</f>
        <v>6</v>
      </c>
      <c r="Z464" s="220">
        <f t="shared" si="526"/>
        <v>6</v>
      </c>
      <c r="AA464" s="792">
        <f t="shared" si="522"/>
        <v>6</v>
      </c>
      <c r="AB464" s="18" t="s">
        <v>396</v>
      </c>
      <c r="AC464" s="13" t="s">
        <v>18</v>
      </c>
      <c r="AD464" s="13" t="s">
        <v>18</v>
      </c>
      <c r="AE464" s="12">
        <v>0</v>
      </c>
      <c r="AF464" s="12">
        <f>5.05833333333333E-06/100</f>
        <v>5.0583333333333307E-8</v>
      </c>
      <c r="AG464" s="12">
        <v>0</v>
      </c>
      <c r="AH464" s="12">
        <f>0.27715/100</f>
        <v>2.7715000000000001E-3</v>
      </c>
    </row>
    <row r="465" spans="1:34" ht="12.75">
      <c r="A465" s="617" t="s">
        <v>3877</v>
      </c>
      <c r="B465" s="799" t="s">
        <v>2644</v>
      </c>
      <c r="C465" s="617" t="s">
        <v>2665</v>
      </c>
      <c r="D465" s="617" t="s">
        <v>2911</v>
      </c>
      <c r="E465" s="617" t="s">
        <v>3878</v>
      </c>
      <c r="F465" s="799">
        <v>85</v>
      </c>
      <c r="G465" s="617" t="s">
        <v>3755</v>
      </c>
      <c r="H465" s="799">
        <v>15151</v>
      </c>
      <c r="I465" s="617" t="s">
        <v>3887</v>
      </c>
      <c r="J465" s="617" t="s">
        <v>3888</v>
      </c>
      <c r="K465" s="838">
        <v>0.09</v>
      </c>
      <c r="L465" s="725">
        <v>7.65</v>
      </c>
      <c r="M465" s="850" t="s">
        <v>3889</v>
      </c>
      <c r="N465" s="850"/>
      <c r="O465" s="842"/>
      <c r="P465" s="617" t="s">
        <v>3887</v>
      </c>
      <c r="Q465" s="617" t="s">
        <v>3890</v>
      </c>
      <c r="R465" s="617">
        <v>100</v>
      </c>
      <c r="S465" s="617">
        <f t="shared" si="493"/>
        <v>7.65</v>
      </c>
      <c r="T465" s="885">
        <f>SUM(K463:K465)</f>
        <v>0.99999999999999989</v>
      </c>
      <c r="U465" s="617">
        <v>9</v>
      </c>
      <c r="V465" s="725">
        <f t="shared" si="523"/>
        <v>9</v>
      </c>
      <c r="W465" s="617" t="s">
        <v>3888</v>
      </c>
      <c r="X465" s="617">
        <f t="shared" si="524"/>
        <v>9</v>
      </c>
      <c r="Y465" s="725">
        <f t="shared" ref="Y465:Z465" si="527">X465</f>
        <v>9</v>
      </c>
      <c r="Z465" s="725">
        <f t="shared" si="527"/>
        <v>9</v>
      </c>
      <c r="AA465" s="455">
        <f t="shared" si="522"/>
        <v>9</v>
      </c>
      <c r="AB465" s="793" t="s">
        <v>388</v>
      </c>
      <c r="AC465" s="799" t="s">
        <v>3891</v>
      </c>
      <c r="AD465" s="799" t="s">
        <v>3892</v>
      </c>
      <c r="AE465" s="635">
        <v>0</v>
      </c>
      <c r="AF465" s="635">
        <v>0</v>
      </c>
      <c r="AG465" s="635">
        <v>0</v>
      </c>
      <c r="AH465" s="635">
        <v>2.7715000000000001E-3</v>
      </c>
    </row>
    <row r="466" spans="1:34" ht="12.75">
      <c r="A466" s="14" t="s">
        <v>3893</v>
      </c>
      <c r="B466" s="13" t="s">
        <v>2644</v>
      </c>
      <c r="C466" s="14" t="s">
        <v>2666</v>
      </c>
      <c r="D466" s="14" t="s">
        <v>2911</v>
      </c>
      <c r="E466" s="14" t="s">
        <v>3894</v>
      </c>
      <c r="F466" s="13">
        <v>113</v>
      </c>
      <c r="G466" s="14" t="s">
        <v>3895</v>
      </c>
      <c r="H466" s="13">
        <v>15086</v>
      </c>
      <c r="I466" s="135" t="s">
        <v>403</v>
      </c>
      <c r="J466" s="135" t="s">
        <v>3896</v>
      </c>
      <c r="K466" s="475">
        <f>4/101</f>
        <v>3.9603960396039604E-2</v>
      </c>
      <c r="L466" s="476">
        <v>4.5199999999999996</v>
      </c>
      <c r="M466" s="492" t="s">
        <v>3897</v>
      </c>
      <c r="N466" s="492"/>
      <c r="O466" s="494"/>
      <c r="P466" s="135" t="s">
        <v>403</v>
      </c>
      <c r="Q466" s="135" t="s">
        <v>3898</v>
      </c>
      <c r="R466" s="135">
        <v>100</v>
      </c>
      <c r="S466" s="135">
        <f t="shared" si="493"/>
        <v>4.5199999999999996</v>
      </c>
      <c r="T466" s="476">
        <f t="shared" ref="T466:T474" si="528">R466</f>
        <v>100</v>
      </c>
      <c r="U466" s="135">
        <f t="shared" ref="U466:U474" si="529">R466</f>
        <v>100</v>
      </c>
      <c r="V466" s="534">
        <f t="shared" si="523"/>
        <v>100</v>
      </c>
      <c r="W466" s="535" t="s">
        <v>3896</v>
      </c>
      <c r="X466">
        <f t="shared" ref="X466:X474" si="530">V466*K466</f>
        <v>3.9603960396039604</v>
      </c>
      <c r="Y466" s="220">
        <f t="shared" ref="Y466:Y467" si="531">X466</f>
        <v>3.9603960396039604</v>
      </c>
      <c r="Z466" s="220">
        <f t="shared" ref="Z466:Z467" si="532">X466</f>
        <v>3.9603960396039604</v>
      </c>
      <c r="AA466" s="792">
        <f t="shared" ref="AA466:AA467" si="533">Z466</f>
        <v>3.9603960396039604</v>
      </c>
      <c r="AB466" s="18" t="s">
        <v>403</v>
      </c>
      <c r="AC466" s="13" t="s">
        <v>18</v>
      </c>
      <c r="AD466" s="13" t="s">
        <v>18</v>
      </c>
      <c r="AE466" s="12">
        <v>0</v>
      </c>
      <c r="AF466" s="12">
        <v>0</v>
      </c>
      <c r="AG466" s="12">
        <v>0</v>
      </c>
      <c r="AH466" s="12">
        <v>1.4499999999999999E-2</v>
      </c>
    </row>
    <row r="467" spans="1:34" ht="12.75">
      <c r="A467" s="14" t="s">
        <v>3893</v>
      </c>
      <c r="B467" s="13" t="s">
        <v>2644</v>
      </c>
      <c r="C467" s="14" t="s">
        <v>2666</v>
      </c>
      <c r="D467" s="14" t="s">
        <v>2911</v>
      </c>
      <c r="E467" s="14" t="s">
        <v>3894</v>
      </c>
      <c r="F467" s="13">
        <v>113</v>
      </c>
      <c r="G467" s="14" t="s">
        <v>3895</v>
      </c>
      <c r="H467" s="13">
        <v>15086</v>
      </c>
      <c r="I467" s="298" t="s">
        <v>3899</v>
      </c>
      <c r="J467" s="298" t="s">
        <v>3900</v>
      </c>
      <c r="K467" s="531">
        <f>3/101</f>
        <v>2.9702970297029702E-2</v>
      </c>
      <c r="L467" s="528">
        <v>3.39</v>
      </c>
      <c r="M467" s="532" t="s">
        <v>3901</v>
      </c>
      <c r="N467" s="532"/>
      <c r="O467" s="533"/>
      <c r="P467" s="298" t="s">
        <v>3899</v>
      </c>
      <c r="Q467" s="298" t="s">
        <v>3902</v>
      </c>
      <c r="R467" s="298">
        <v>100</v>
      </c>
      <c r="S467" s="298">
        <f t="shared" si="493"/>
        <v>3.39</v>
      </c>
      <c r="T467" s="476">
        <f t="shared" si="528"/>
        <v>100</v>
      </c>
      <c r="U467" s="135">
        <f t="shared" si="529"/>
        <v>100</v>
      </c>
      <c r="V467" s="534">
        <f t="shared" si="523"/>
        <v>100</v>
      </c>
      <c r="W467" s="298" t="s">
        <v>3903</v>
      </c>
      <c r="X467">
        <f t="shared" si="530"/>
        <v>2.9702970297029703</v>
      </c>
      <c r="Y467" s="499">
        <f t="shared" si="531"/>
        <v>2.9702970297029703</v>
      </c>
      <c r="Z467" s="220">
        <f t="shared" si="532"/>
        <v>2.9702970297029703</v>
      </c>
      <c r="AA467" s="792">
        <f t="shared" si="533"/>
        <v>2.9702970297029703</v>
      </c>
      <c r="AB467" s="18" t="s">
        <v>393</v>
      </c>
      <c r="AC467" s="13" t="s">
        <v>18</v>
      </c>
      <c r="AD467" s="13" t="s">
        <v>3904</v>
      </c>
      <c r="AE467" s="12">
        <v>0</v>
      </c>
      <c r="AF467" s="12">
        <v>0</v>
      </c>
      <c r="AG467" s="12">
        <v>0</v>
      </c>
      <c r="AH467" s="12">
        <v>5.2883477142857101E-3</v>
      </c>
    </row>
    <row r="468" spans="1:34" ht="12.75">
      <c r="A468" s="14" t="s">
        <v>3893</v>
      </c>
      <c r="B468" s="13" t="s">
        <v>2644</v>
      </c>
      <c r="C468" s="14" t="s">
        <v>2666</v>
      </c>
      <c r="D468" s="14" t="s">
        <v>2911</v>
      </c>
      <c r="E468" s="14" t="s">
        <v>3894</v>
      </c>
      <c r="F468" s="13">
        <v>113</v>
      </c>
      <c r="G468" s="14" t="s">
        <v>3895</v>
      </c>
      <c r="H468" s="13">
        <v>15086</v>
      </c>
      <c r="I468" s="298" t="s">
        <v>3894</v>
      </c>
      <c r="J468" s="298" t="s">
        <v>3905</v>
      </c>
      <c r="K468" s="531">
        <f>2/101</f>
        <v>1.9801980198019802E-2</v>
      </c>
      <c r="L468" s="528">
        <v>1.69</v>
      </c>
      <c r="M468" s="536">
        <v>15086</v>
      </c>
      <c r="N468" s="536"/>
      <c r="O468" s="536"/>
      <c r="P468" s="298" t="s">
        <v>3894</v>
      </c>
      <c r="Q468" s="298" t="s">
        <v>3906</v>
      </c>
      <c r="R468" s="298">
        <v>100</v>
      </c>
      <c r="S468" s="298">
        <f t="shared" si="493"/>
        <v>1.69</v>
      </c>
      <c r="T468" s="476">
        <f t="shared" si="528"/>
        <v>100</v>
      </c>
      <c r="U468" s="135">
        <f t="shared" si="529"/>
        <v>100</v>
      </c>
      <c r="V468" s="534">
        <f t="shared" si="523"/>
        <v>100</v>
      </c>
      <c r="W468" s="537" t="s">
        <v>3905</v>
      </c>
      <c r="X468">
        <f t="shared" si="530"/>
        <v>1.9801980198019802</v>
      </c>
      <c r="Y468" s="220">
        <f>SUM(X468,X470,X471,X472,X473)</f>
        <v>68.316831683168317</v>
      </c>
      <c r="Z468" s="220">
        <f t="shared" ref="Z468:AA468" si="534">Y468</f>
        <v>68.316831683168317</v>
      </c>
      <c r="AA468" s="792">
        <f t="shared" si="534"/>
        <v>68.316831683168317</v>
      </c>
      <c r="AB468" s="18" t="s">
        <v>399</v>
      </c>
      <c r="AC468" s="13" t="s">
        <v>399</v>
      </c>
      <c r="AD468" s="13" t="s">
        <v>3907</v>
      </c>
      <c r="AE468" s="12">
        <v>3.0225999999999999E-3</v>
      </c>
      <c r="AF468" s="12">
        <v>4.3179999999999997E-5</v>
      </c>
      <c r="AG468" s="12">
        <v>2.5442078733963202E-4</v>
      </c>
      <c r="AH468" s="12">
        <v>5.1247625279999993E-3</v>
      </c>
    </row>
    <row r="469" spans="1:34" ht="12.75">
      <c r="A469" s="14" t="s">
        <v>3893</v>
      </c>
      <c r="B469" s="13" t="s">
        <v>2644</v>
      </c>
      <c r="C469" s="14" t="s">
        <v>2666</v>
      </c>
      <c r="D469" s="14" t="s">
        <v>2911</v>
      </c>
      <c r="E469" s="14" t="s">
        <v>3894</v>
      </c>
      <c r="F469" s="13">
        <v>113</v>
      </c>
      <c r="G469" s="14" t="s">
        <v>3895</v>
      </c>
      <c r="H469" s="13">
        <v>15086</v>
      </c>
      <c r="I469" s="298" t="s">
        <v>3908</v>
      </c>
      <c r="J469" s="298" t="s">
        <v>3909</v>
      </c>
      <c r="K469" s="531">
        <f>20/101</f>
        <v>0.19801980198019803</v>
      </c>
      <c r="L469" s="528">
        <v>22.6</v>
      </c>
      <c r="M469" s="532" t="s">
        <v>3910</v>
      </c>
      <c r="N469" s="532"/>
      <c r="O469" s="533"/>
      <c r="P469" s="298" t="s">
        <v>3908</v>
      </c>
      <c r="Q469" s="298" t="s">
        <v>3911</v>
      </c>
      <c r="R469" s="298">
        <v>100</v>
      </c>
      <c r="S469" s="298">
        <f t="shared" si="493"/>
        <v>22.6</v>
      </c>
      <c r="T469" s="476">
        <f t="shared" si="528"/>
        <v>100</v>
      </c>
      <c r="U469" s="135">
        <f t="shared" si="529"/>
        <v>100</v>
      </c>
      <c r="V469" s="534">
        <f t="shared" si="523"/>
        <v>100</v>
      </c>
      <c r="W469" s="298" t="s">
        <v>3909</v>
      </c>
      <c r="X469">
        <f t="shared" si="530"/>
        <v>19.801980198019802</v>
      </c>
      <c r="Y469" s="220">
        <f t="shared" ref="Y469:AA469" si="535">X469</f>
        <v>19.801980198019802</v>
      </c>
      <c r="Z469" s="220">
        <f t="shared" si="535"/>
        <v>19.801980198019802</v>
      </c>
      <c r="AA469" s="792">
        <f t="shared" si="535"/>
        <v>19.801980198019802</v>
      </c>
      <c r="AB469" s="18" t="s">
        <v>406</v>
      </c>
      <c r="AC469" s="13" t="s">
        <v>407</v>
      </c>
      <c r="AD469" s="13" t="s">
        <v>3844</v>
      </c>
      <c r="AE469" s="12">
        <v>0</v>
      </c>
      <c r="AF469" s="12">
        <v>0</v>
      </c>
      <c r="AG469" s="12">
        <v>3.3744563232338502E-4</v>
      </c>
      <c r="AH469" s="12">
        <v>4.1018149762685327E-3</v>
      </c>
    </row>
    <row r="470" spans="1:34" ht="12.75">
      <c r="A470" s="14" t="s">
        <v>3893</v>
      </c>
      <c r="B470" s="13" t="s">
        <v>2644</v>
      </c>
      <c r="C470" s="14" t="s">
        <v>2666</v>
      </c>
      <c r="D470" s="14" t="s">
        <v>2911</v>
      </c>
      <c r="E470" s="14" t="s">
        <v>3894</v>
      </c>
      <c r="F470" s="13">
        <v>113</v>
      </c>
      <c r="G470" s="14" t="s">
        <v>3895</v>
      </c>
      <c r="H470" s="13">
        <v>15086</v>
      </c>
      <c r="I470" s="298" t="s">
        <v>3912</v>
      </c>
      <c r="J470" s="298" t="s">
        <v>3913</v>
      </c>
      <c r="K470" s="531">
        <f>2/101</f>
        <v>1.9801980198019802E-2</v>
      </c>
      <c r="L470" s="528">
        <v>2.2599999999999998</v>
      </c>
      <c r="M470" s="532" t="s">
        <v>3914</v>
      </c>
      <c r="N470" s="532"/>
      <c r="O470" s="533"/>
      <c r="P470" s="298" t="s">
        <v>3912</v>
      </c>
      <c r="Q470" s="298" t="s">
        <v>3915</v>
      </c>
      <c r="R470" s="298">
        <v>100</v>
      </c>
      <c r="S470" s="298">
        <f t="shared" si="493"/>
        <v>2.2599999999999998</v>
      </c>
      <c r="T470" s="476">
        <f t="shared" si="528"/>
        <v>100</v>
      </c>
      <c r="U470" s="135">
        <f t="shared" si="529"/>
        <v>100</v>
      </c>
      <c r="V470" s="534">
        <f t="shared" si="523"/>
        <v>100</v>
      </c>
      <c r="W470" s="537" t="s">
        <v>3913</v>
      </c>
      <c r="X470">
        <f t="shared" si="530"/>
        <v>1.9801980198019802</v>
      </c>
      <c r="Y470" s="220" t="s">
        <v>1666</v>
      </c>
      <c r="Z470" s="220" t="s">
        <v>1666</v>
      </c>
      <c r="AA470" s="792" t="str">
        <f t="shared" ref="AA470:AH470" si="536">Z470</f>
        <v>*</v>
      </c>
      <c r="AB470" s="458" t="str">
        <f t="shared" si="536"/>
        <v>*</v>
      </c>
      <c r="AC470" s="497" t="str">
        <f t="shared" si="536"/>
        <v>*</v>
      </c>
      <c r="AD470" s="497" t="str">
        <f t="shared" si="536"/>
        <v>*</v>
      </c>
      <c r="AE470" s="454" t="str">
        <f t="shared" si="536"/>
        <v>*</v>
      </c>
      <c r="AF470" s="454" t="str">
        <f t="shared" si="536"/>
        <v>*</v>
      </c>
      <c r="AG470" s="454" t="str">
        <f t="shared" si="536"/>
        <v>*</v>
      </c>
      <c r="AH470" s="454" t="str">
        <f t="shared" si="536"/>
        <v>*</v>
      </c>
    </row>
    <row r="471" spans="1:34" ht="12.75">
      <c r="A471" s="14" t="s">
        <v>3893</v>
      </c>
      <c r="B471" s="13" t="s">
        <v>2644</v>
      </c>
      <c r="C471" s="14" t="s">
        <v>2666</v>
      </c>
      <c r="D471" s="14" t="s">
        <v>2911</v>
      </c>
      <c r="E471" s="14" t="s">
        <v>3894</v>
      </c>
      <c r="F471" s="13">
        <v>113</v>
      </c>
      <c r="G471" s="14" t="s">
        <v>3895</v>
      </c>
      <c r="H471" s="13">
        <v>15086</v>
      </c>
      <c r="I471" s="886" t="s">
        <v>3916</v>
      </c>
      <c r="J471" s="298" t="s">
        <v>3917</v>
      </c>
      <c r="K471" s="531">
        <f>19/101</f>
        <v>0.18811881188118812</v>
      </c>
      <c r="L471" s="528">
        <v>21.47</v>
      </c>
      <c r="M471" s="532" t="s">
        <v>3918</v>
      </c>
      <c r="N471" s="532"/>
      <c r="O471" s="533"/>
      <c r="P471" s="886" t="s">
        <v>3916</v>
      </c>
      <c r="Q471" s="298" t="s">
        <v>3919</v>
      </c>
      <c r="R471" s="298">
        <v>100</v>
      </c>
      <c r="S471" s="298">
        <f t="shared" si="493"/>
        <v>21.47</v>
      </c>
      <c r="T471" s="476">
        <f t="shared" si="528"/>
        <v>100</v>
      </c>
      <c r="U471" s="135">
        <f t="shared" si="529"/>
        <v>100</v>
      </c>
      <c r="V471" s="534">
        <f t="shared" si="523"/>
        <v>100</v>
      </c>
      <c r="W471" s="298" t="s">
        <v>3917</v>
      </c>
      <c r="X471">
        <f t="shared" si="530"/>
        <v>18.811881188118811</v>
      </c>
      <c r="Y471" s="220" t="s">
        <v>1666</v>
      </c>
      <c r="Z471" s="220" t="s">
        <v>1666</v>
      </c>
      <c r="AA471" s="792" t="str">
        <f t="shared" ref="AA471:AH471" si="537">Z471</f>
        <v>*</v>
      </c>
      <c r="AB471" s="458" t="str">
        <f t="shared" si="537"/>
        <v>*</v>
      </c>
      <c r="AC471" s="497" t="str">
        <f t="shared" si="537"/>
        <v>*</v>
      </c>
      <c r="AD471" s="497" t="str">
        <f t="shared" si="537"/>
        <v>*</v>
      </c>
      <c r="AE471" s="454" t="str">
        <f t="shared" si="537"/>
        <v>*</v>
      </c>
      <c r="AF471" s="454" t="str">
        <f t="shared" si="537"/>
        <v>*</v>
      </c>
      <c r="AG471" s="454" t="str">
        <f t="shared" si="537"/>
        <v>*</v>
      </c>
      <c r="AH471" s="454" t="str">
        <f t="shared" si="537"/>
        <v>*</v>
      </c>
    </row>
    <row r="472" spans="1:34" ht="12.75">
      <c r="A472" s="14" t="s">
        <v>3893</v>
      </c>
      <c r="B472" s="13" t="s">
        <v>2644</v>
      </c>
      <c r="C472" s="14" t="s">
        <v>2666</v>
      </c>
      <c r="D472" s="14" t="s">
        <v>2911</v>
      </c>
      <c r="E472" s="14" t="s">
        <v>3894</v>
      </c>
      <c r="F472" s="13">
        <v>113</v>
      </c>
      <c r="G472" s="14" t="s">
        <v>3895</v>
      </c>
      <c r="H472" s="13">
        <v>15086</v>
      </c>
      <c r="I472" s="298" t="s">
        <v>3920</v>
      </c>
      <c r="J472" s="298" t="s">
        <v>3921</v>
      </c>
      <c r="K472" s="531">
        <f>2/101</f>
        <v>1.9801980198019802E-2</v>
      </c>
      <c r="L472" s="528">
        <v>1.69</v>
      </c>
      <c r="M472" s="532" t="s">
        <v>3922</v>
      </c>
      <c r="N472" s="532"/>
      <c r="O472" s="533"/>
      <c r="P472" s="298" t="s">
        <v>3923</v>
      </c>
      <c r="Q472" s="298" t="s">
        <v>3924</v>
      </c>
      <c r="R472" s="298">
        <v>100</v>
      </c>
      <c r="S472" s="298">
        <f t="shared" si="493"/>
        <v>1.69</v>
      </c>
      <c r="T472" s="476">
        <f t="shared" si="528"/>
        <v>100</v>
      </c>
      <c r="U472" s="135">
        <f t="shared" si="529"/>
        <v>100</v>
      </c>
      <c r="V472" s="534">
        <f t="shared" si="523"/>
        <v>100</v>
      </c>
      <c r="W472" s="537" t="s">
        <v>3921</v>
      </c>
      <c r="X472">
        <f t="shared" si="530"/>
        <v>1.9801980198019802</v>
      </c>
      <c r="Y472" s="220" t="s">
        <v>1666</v>
      </c>
      <c r="Z472" s="220" t="s">
        <v>1666</v>
      </c>
      <c r="AA472" s="792" t="str">
        <f t="shared" ref="AA472:AH472" si="538">Z472</f>
        <v>*</v>
      </c>
      <c r="AB472" s="458" t="str">
        <f t="shared" si="538"/>
        <v>*</v>
      </c>
      <c r="AC472" s="497" t="str">
        <f t="shared" si="538"/>
        <v>*</v>
      </c>
      <c r="AD472" s="497" t="str">
        <f t="shared" si="538"/>
        <v>*</v>
      </c>
      <c r="AE472" s="454" t="str">
        <f t="shared" si="538"/>
        <v>*</v>
      </c>
      <c r="AF472" s="454" t="str">
        <f t="shared" si="538"/>
        <v>*</v>
      </c>
      <c r="AG472" s="454" t="str">
        <f t="shared" si="538"/>
        <v>*</v>
      </c>
      <c r="AH472" s="454" t="str">
        <f t="shared" si="538"/>
        <v>*</v>
      </c>
    </row>
    <row r="473" spans="1:34" ht="12.75">
      <c r="A473" s="14" t="s">
        <v>3893</v>
      </c>
      <c r="B473" s="13" t="s">
        <v>2644</v>
      </c>
      <c r="C473" s="14" t="s">
        <v>2666</v>
      </c>
      <c r="D473" s="14" t="s">
        <v>2911</v>
      </c>
      <c r="E473" s="14" t="s">
        <v>3894</v>
      </c>
      <c r="F473" s="13">
        <v>113</v>
      </c>
      <c r="G473" s="14" t="s">
        <v>3895</v>
      </c>
      <c r="H473" s="13">
        <v>15086</v>
      </c>
      <c r="I473" s="298" t="s">
        <v>3925</v>
      </c>
      <c r="J473" s="298" t="s">
        <v>3926</v>
      </c>
      <c r="K473" s="531">
        <f>44/101</f>
        <v>0.43564356435643564</v>
      </c>
      <c r="L473" s="528">
        <v>49.72</v>
      </c>
      <c r="M473" s="532" t="s">
        <v>3927</v>
      </c>
      <c r="N473" s="532"/>
      <c r="O473" s="533"/>
      <c r="P473" s="298" t="s">
        <v>3928</v>
      </c>
      <c r="Q473" s="298" t="s">
        <v>3929</v>
      </c>
      <c r="R473" s="298">
        <v>100</v>
      </c>
      <c r="S473" s="298">
        <f t="shared" si="493"/>
        <v>49.72</v>
      </c>
      <c r="T473" s="476">
        <f t="shared" si="528"/>
        <v>100</v>
      </c>
      <c r="U473" s="135">
        <f t="shared" si="529"/>
        <v>100</v>
      </c>
      <c r="V473" s="534">
        <f t="shared" si="523"/>
        <v>100</v>
      </c>
      <c r="W473" s="298" t="s">
        <v>3926</v>
      </c>
      <c r="X473">
        <f t="shared" si="530"/>
        <v>43.564356435643568</v>
      </c>
      <c r="Y473" s="220" t="s">
        <v>1666</v>
      </c>
      <c r="Z473" s="220" t="s">
        <v>1666</v>
      </c>
      <c r="AA473" s="792" t="str">
        <f t="shared" ref="AA473:AH473" si="539">Z473</f>
        <v>*</v>
      </c>
      <c r="AB473" s="458" t="str">
        <f t="shared" si="539"/>
        <v>*</v>
      </c>
      <c r="AC473" s="497" t="str">
        <f t="shared" si="539"/>
        <v>*</v>
      </c>
      <c r="AD473" s="497" t="str">
        <f t="shared" si="539"/>
        <v>*</v>
      </c>
      <c r="AE473" s="454" t="str">
        <f t="shared" si="539"/>
        <v>*</v>
      </c>
      <c r="AF473" s="454" t="str">
        <f t="shared" si="539"/>
        <v>*</v>
      </c>
      <c r="AG473" s="454" t="str">
        <f t="shared" si="539"/>
        <v>*</v>
      </c>
      <c r="AH473" s="454" t="str">
        <f t="shared" si="539"/>
        <v>*</v>
      </c>
    </row>
    <row r="474" spans="1:34" ht="12.75">
      <c r="A474" s="14" t="s">
        <v>3893</v>
      </c>
      <c r="B474" s="13" t="s">
        <v>2644</v>
      </c>
      <c r="C474" s="14" t="s">
        <v>2666</v>
      </c>
      <c r="D474" s="14" t="s">
        <v>2911</v>
      </c>
      <c r="E474" s="14" t="s">
        <v>3894</v>
      </c>
      <c r="F474" s="13">
        <v>113</v>
      </c>
      <c r="G474" s="14" t="s">
        <v>3895</v>
      </c>
      <c r="H474" s="13">
        <v>15086</v>
      </c>
      <c r="I474" s="298" t="s">
        <v>3930</v>
      </c>
      <c r="J474" s="298" t="s">
        <v>3931</v>
      </c>
      <c r="K474" s="531">
        <f>1/101</f>
        <v>9.9009900990099011E-3</v>
      </c>
      <c r="L474" s="528">
        <v>1.1299999999999999</v>
      </c>
      <c r="M474" s="532" t="s">
        <v>3932</v>
      </c>
      <c r="N474" s="532"/>
      <c r="O474" s="533"/>
      <c r="P474" s="298" t="s">
        <v>381</v>
      </c>
      <c r="Q474" s="298" t="s">
        <v>3933</v>
      </c>
      <c r="R474" s="298">
        <v>100</v>
      </c>
      <c r="S474" s="298">
        <f t="shared" si="493"/>
        <v>1.1299999999999999</v>
      </c>
      <c r="T474" s="476">
        <f t="shared" si="528"/>
        <v>100</v>
      </c>
      <c r="U474" s="135">
        <f t="shared" si="529"/>
        <v>100</v>
      </c>
      <c r="V474" s="534">
        <f t="shared" si="523"/>
        <v>100</v>
      </c>
      <c r="W474" s="537" t="s">
        <v>3931</v>
      </c>
      <c r="X474">
        <f t="shared" si="530"/>
        <v>0.99009900990099009</v>
      </c>
      <c r="Y474" s="499">
        <f t="shared" ref="Y474:AA474" si="540">X474</f>
        <v>0.99009900990099009</v>
      </c>
      <c r="Z474" s="220">
        <f t="shared" si="540"/>
        <v>0.99009900990099009</v>
      </c>
      <c r="AA474" s="792">
        <f t="shared" si="540"/>
        <v>0.99009900990099009</v>
      </c>
      <c r="AB474" s="18" t="s">
        <v>381</v>
      </c>
      <c r="AC474" s="13" t="s">
        <v>18</v>
      </c>
      <c r="AD474" s="13" t="s">
        <v>3934</v>
      </c>
      <c r="AE474" s="12">
        <v>0</v>
      </c>
      <c r="AF474" s="12">
        <v>0</v>
      </c>
      <c r="AG474" s="12">
        <v>0</v>
      </c>
      <c r="AH474" s="12">
        <v>4.4753931430000001E-3</v>
      </c>
    </row>
    <row r="475" spans="1:34" ht="12.75">
      <c r="A475" s="14" t="s">
        <v>3893</v>
      </c>
      <c r="B475" s="13" t="s">
        <v>2644</v>
      </c>
      <c r="C475" s="14" t="s">
        <v>2666</v>
      </c>
      <c r="D475" s="14" t="s">
        <v>2911</v>
      </c>
      <c r="E475" s="14" t="s">
        <v>3894</v>
      </c>
      <c r="F475" s="13">
        <v>113</v>
      </c>
      <c r="G475" s="14" t="s">
        <v>3895</v>
      </c>
      <c r="H475" s="13">
        <v>15086</v>
      </c>
      <c r="I475" s="14" t="s">
        <v>3935</v>
      </c>
      <c r="J475" s="14" t="s">
        <v>3936</v>
      </c>
      <c r="K475" s="478">
        <f t="shared" ref="K475:K479" si="541">4/101</f>
        <v>3.9603960396039604E-2</v>
      </c>
      <c r="L475" s="220">
        <v>4.5199999999999996</v>
      </c>
      <c r="M475" s="473" t="s">
        <v>3937</v>
      </c>
      <c r="N475" s="473"/>
      <c r="O475" s="480"/>
      <c r="P475" s="14" t="s">
        <v>3938</v>
      </c>
      <c r="Q475" s="486" t="s">
        <v>3939</v>
      </c>
      <c r="R475" s="887">
        <f>90</f>
        <v>90</v>
      </c>
      <c r="S475" s="14">
        <f t="shared" si="493"/>
        <v>4.0679999999999996</v>
      </c>
      <c r="T475" s="538">
        <f>SUM(R475,R477:R479)</f>
        <v>100.00000000000001</v>
      </c>
      <c r="U475" s="225">
        <f t="shared" ref="U475:U479" si="542">R475*100/T475</f>
        <v>89.999999999999986</v>
      </c>
      <c r="V475" s="539">
        <f t="shared" si="523"/>
        <v>89.999999999999986</v>
      </c>
      <c r="W475" s="14" t="s">
        <v>3940</v>
      </c>
      <c r="X475">
        <f t="shared" ref="X475:X486" si="543">U475*K475</f>
        <v>3.564356435643564</v>
      </c>
      <c r="Y475" s="220">
        <f t="shared" ref="Y475:Y486" si="544">X475</f>
        <v>3.564356435643564</v>
      </c>
      <c r="Z475" s="220">
        <f>X475</f>
        <v>3.564356435643564</v>
      </c>
      <c r="AA475" s="792">
        <f>Z475</f>
        <v>3.564356435643564</v>
      </c>
      <c r="AB475" s="18" t="s">
        <v>401</v>
      </c>
      <c r="AC475" s="13" t="s">
        <v>18</v>
      </c>
      <c r="AD475" s="13" t="s">
        <v>18</v>
      </c>
      <c r="AE475" s="12">
        <v>0</v>
      </c>
      <c r="AF475" s="12">
        <v>0</v>
      </c>
      <c r="AG475" s="12">
        <v>0</v>
      </c>
      <c r="AH475" s="12">
        <v>5.93392928571429E-3</v>
      </c>
    </row>
    <row r="476" spans="1:34" ht="12.75">
      <c r="A476" s="14" t="s">
        <v>3893</v>
      </c>
      <c r="B476" s="13" t="s">
        <v>2644</v>
      </c>
      <c r="C476" s="14" t="s">
        <v>2666</v>
      </c>
      <c r="D476" s="14" t="s">
        <v>2911</v>
      </c>
      <c r="E476" s="14" t="s">
        <v>3894</v>
      </c>
      <c r="F476" s="13">
        <v>113</v>
      </c>
      <c r="G476" s="14" t="s">
        <v>3895</v>
      </c>
      <c r="H476" s="13">
        <v>15086</v>
      </c>
      <c r="I476" s="14" t="s">
        <v>3935</v>
      </c>
      <c r="J476" s="14" t="s">
        <v>3936</v>
      </c>
      <c r="K476" s="478">
        <f t="shared" si="541"/>
        <v>3.9603960396039604E-2</v>
      </c>
      <c r="L476" s="220">
        <v>4.5199999999999996</v>
      </c>
      <c r="M476" s="473" t="s">
        <v>3937</v>
      </c>
      <c r="N476" s="473"/>
      <c r="O476" s="888" t="s">
        <v>3941</v>
      </c>
      <c r="P476" s="489" t="s">
        <v>3416</v>
      </c>
      <c r="Q476" s="489" t="s">
        <v>3473</v>
      </c>
      <c r="R476" s="470">
        <f>10*0.448654037886341</f>
        <v>4.4865403788634097</v>
      </c>
      <c r="S476" s="523">
        <f t="shared" si="493"/>
        <v>0.20279162512462612</v>
      </c>
      <c r="T476" s="540">
        <v>100</v>
      </c>
      <c r="U476" s="225">
        <f t="shared" si="542"/>
        <v>4.4865403788634097</v>
      </c>
      <c r="V476" s="889">
        <f t="shared" si="523"/>
        <v>4.4865403788634097</v>
      </c>
      <c r="W476" s="522" t="s">
        <v>3474</v>
      </c>
      <c r="X476" s="482">
        <f t="shared" si="543"/>
        <v>0.17768476747973899</v>
      </c>
      <c r="Y476" s="516">
        <f t="shared" si="544"/>
        <v>0.17768476747973899</v>
      </c>
      <c r="Z476" s="481">
        <f t="shared" ref="Z476:AA476" si="545">Y476</f>
        <v>0.17768476747973899</v>
      </c>
      <c r="AA476" s="796">
        <f t="shared" si="545"/>
        <v>0.17768476747973899</v>
      </c>
      <c r="AB476" s="456" t="s">
        <v>72</v>
      </c>
      <c r="AC476" s="541" t="str">
        <f t="shared" ref="AC476:AH476" si="546">AB476</f>
        <v>water</v>
      </c>
      <c r="AD476" s="541" t="str">
        <f t="shared" si="546"/>
        <v>water</v>
      </c>
      <c r="AE476" s="464" t="str">
        <f t="shared" si="546"/>
        <v>water</v>
      </c>
      <c r="AF476" s="464" t="str">
        <f t="shared" si="546"/>
        <v>water</v>
      </c>
      <c r="AG476" s="464" t="str">
        <f t="shared" si="546"/>
        <v>water</v>
      </c>
      <c r="AH476" s="464" t="str">
        <f t="shared" si="546"/>
        <v>water</v>
      </c>
    </row>
    <row r="477" spans="1:34" ht="12.75">
      <c r="A477" s="14" t="s">
        <v>3893</v>
      </c>
      <c r="B477" s="13" t="s">
        <v>2644</v>
      </c>
      <c r="C477" s="14" t="s">
        <v>2666</v>
      </c>
      <c r="D477" s="14" t="s">
        <v>2911</v>
      </c>
      <c r="E477" s="14" t="s">
        <v>3894</v>
      </c>
      <c r="F477" s="13">
        <v>113</v>
      </c>
      <c r="G477" s="14" t="s">
        <v>3895</v>
      </c>
      <c r="H477" s="13">
        <v>15086</v>
      </c>
      <c r="I477" s="14" t="s">
        <v>3935</v>
      </c>
      <c r="J477" s="14" t="s">
        <v>3936</v>
      </c>
      <c r="K477" s="478">
        <f t="shared" si="541"/>
        <v>3.9603960396039604E-2</v>
      </c>
      <c r="L477" s="220">
        <v>4.5199999999999996</v>
      </c>
      <c r="M477" s="473" t="s">
        <v>3937</v>
      </c>
      <c r="N477" s="473"/>
      <c r="O477" s="473" t="s">
        <v>3941</v>
      </c>
      <c r="P477" s="14" t="s">
        <v>3416</v>
      </c>
      <c r="Q477" s="14" t="s">
        <v>3473</v>
      </c>
      <c r="R477" s="220">
        <f>10*0.723327305605787</f>
        <v>7.23327305605787</v>
      </c>
      <c r="S477" s="220">
        <f t="shared" si="493"/>
        <v>0.32694394213381572</v>
      </c>
      <c r="T477" s="542">
        <f>SUM(R475,R477:R479)</f>
        <v>100.00000000000001</v>
      </c>
      <c r="U477" s="225">
        <f t="shared" si="542"/>
        <v>7.2332730560578691</v>
      </c>
      <c r="V477" s="519">
        <f t="shared" si="523"/>
        <v>7.2332730560578691</v>
      </c>
      <c r="W477" s="14" t="s">
        <v>3475</v>
      </c>
      <c r="X477">
        <f t="shared" si="543"/>
        <v>0.2864662596458562</v>
      </c>
      <c r="Y477" s="499">
        <f t="shared" si="544"/>
        <v>0.2864662596458562</v>
      </c>
      <c r="Z477" s="220">
        <f t="shared" ref="Z477:Z478" si="547">X477</f>
        <v>0.2864662596458562</v>
      </c>
      <c r="AA477" s="792">
        <f t="shared" ref="AA477:AA478" si="548">Z477</f>
        <v>0.2864662596458562</v>
      </c>
      <c r="AB477" s="18" t="s">
        <v>506</v>
      </c>
      <c r="AC477" s="13" t="s">
        <v>1780</v>
      </c>
      <c r="AD477" s="13" t="s">
        <v>1781</v>
      </c>
      <c r="AE477" s="12">
        <v>4.8057057617005398E-4</v>
      </c>
      <c r="AF477" s="12">
        <v>9.8776215197699697E-3</v>
      </c>
      <c r="AG477" s="12">
        <v>6.3E-5</v>
      </c>
      <c r="AH477" s="12">
        <v>2.4250819999999999E-4</v>
      </c>
    </row>
    <row r="478" spans="1:34" ht="12.75">
      <c r="A478" s="14" t="s">
        <v>3893</v>
      </c>
      <c r="B478" s="13" t="s">
        <v>2644</v>
      </c>
      <c r="C478" s="14" t="s">
        <v>2666</v>
      </c>
      <c r="D478" s="14" t="s">
        <v>2911</v>
      </c>
      <c r="E478" s="14" t="s">
        <v>3894</v>
      </c>
      <c r="F478" s="13">
        <v>113</v>
      </c>
      <c r="G478" s="14" t="s">
        <v>3895</v>
      </c>
      <c r="H478" s="13">
        <v>15086</v>
      </c>
      <c r="I478" s="14" t="s">
        <v>3935</v>
      </c>
      <c r="J478" s="14" t="s">
        <v>3936</v>
      </c>
      <c r="K478" s="478">
        <f t="shared" si="541"/>
        <v>3.9603960396039604E-2</v>
      </c>
      <c r="L478" s="220">
        <v>4.5199999999999996</v>
      </c>
      <c r="M478" s="473" t="s">
        <v>3937</v>
      </c>
      <c r="N478" s="473"/>
      <c r="O478" s="473" t="s">
        <v>3941</v>
      </c>
      <c r="P478" s="14" t="s">
        <v>3416</v>
      </c>
      <c r="Q478" s="14" t="s">
        <v>3473</v>
      </c>
      <c r="R478" s="220">
        <f>10* 0.180831826401447</f>
        <v>1.8083182640144699</v>
      </c>
      <c r="S478" s="220">
        <f t="shared" si="493"/>
        <v>8.1735985533454042E-2</v>
      </c>
      <c r="T478" s="542">
        <f>SUM(R475,R477:R479)</f>
        <v>100.00000000000001</v>
      </c>
      <c r="U478" s="225">
        <f t="shared" si="542"/>
        <v>1.8083182640144697</v>
      </c>
      <c r="V478" s="519">
        <f t="shared" si="523"/>
        <v>1.8083182640144697</v>
      </c>
      <c r="W478" s="14" t="s">
        <v>3476</v>
      </c>
      <c r="X478">
        <f t="shared" si="543"/>
        <v>7.1616564911464148E-2</v>
      </c>
      <c r="Y478" s="499">
        <f t="shared" si="544"/>
        <v>7.1616564911464148E-2</v>
      </c>
      <c r="Z478" s="220">
        <f t="shared" si="547"/>
        <v>7.1616564911464148E-2</v>
      </c>
      <c r="AA478" s="792">
        <f t="shared" si="548"/>
        <v>7.1616564911464148E-2</v>
      </c>
      <c r="AB478" s="18" t="s">
        <v>2584</v>
      </c>
      <c r="AC478" s="13" t="s">
        <v>3424</v>
      </c>
      <c r="AD478" s="13" t="s">
        <v>3425</v>
      </c>
      <c r="AE478" s="12">
        <v>4.7754773653722405E-4</v>
      </c>
      <c r="AF478" s="12">
        <v>9.9048845026103102E-3</v>
      </c>
      <c r="AG478" s="12">
        <v>1.1598405219282348E-5</v>
      </c>
      <c r="AH478" s="12">
        <v>9.908404494382022E-5</v>
      </c>
    </row>
    <row r="479" spans="1:34" ht="12.75">
      <c r="A479" s="617" t="s">
        <v>3893</v>
      </c>
      <c r="B479" s="799" t="s">
        <v>2644</v>
      </c>
      <c r="C479" s="617" t="s">
        <v>2666</v>
      </c>
      <c r="D479" s="617" t="s">
        <v>2911</v>
      </c>
      <c r="E479" s="617" t="s">
        <v>3894</v>
      </c>
      <c r="F479" s="799">
        <v>113</v>
      </c>
      <c r="G479" s="617" t="s">
        <v>3895</v>
      </c>
      <c r="H479" s="799">
        <v>15086</v>
      </c>
      <c r="I479" s="617" t="s">
        <v>3935</v>
      </c>
      <c r="J479" s="617" t="s">
        <v>3936</v>
      </c>
      <c r="K479" s="838">
        <f t="shared" si="541"/>
        <v>3.9603960396039604E-2</v>
      </c>
      <c r="L479" s="725">
        <v>4.5199999999999996</v>
      </c>
      <c r="M479" s="850" t="s">
        <v>3937</v>
      </c>
      <c r="N479" s="850"/>
      <c r="O479" s="850" t="s">
        <v>3941</v>
      </c>
      <c r="P479" s="617" t="s">
        <v>3416</v>
      </c>
      <c r="Q479" s="617" t="s">
        <v>3473</v>
      </c>
      <c r="R479" s="725">
        <f>10*0.0958408679927667</f>
        <v>0.95840867992766698</v>
      </c>
      <c r="S479" s="725">
        <f t="shared" si="493"/>
        <v>4.3320072332730539E-2</v>
      </c>
      <c r="T479" s="890">
        <f>SUM(R475,R477:R479)</f>
        <v>100.00000000000001</v>
      </c>
      <c r="U479" s="891">
        <f t="shared" si="542"/>
        <v>0.95840867992766687</v>
      </c>
      <c r="V479" s="892">
        <f t="shared" si="523"/>
        <v>0.95840867992766687</v>
      </c>
      <c r="W479" s="617" t="s">
        <v>3477</v>
      </c>
      <c r="X479" s="617">
        <f t="shared" si="543"/>
        <v>3.7956779403075916E-2</v>
      </c>
      <c r="Y479" s="862">
        <f t="shared" si="544"/>
        <v>3.7956779403075916E-2</v>
      </c>
      <c r="Z479" s="725">
        <f>SUM(X467,X474,X477:X479)</f>
        <v>4.3564356435643559</v>
      </c>
      <c r="AA479" s="455">
        <f>X479</f>
        <v>3.7956779403075916E-2</v>
      </c>
      <c r="AB479" s="797" t="s">
        <v>2594</v>
      </c>
      <c r="AC479" s="847" t="s">
        <v>3174</v>
      </c>
      <c r="AD479" s="847" t="s">
        <v>3174</v>
      </c>
      <c r="AE479" s="803">
        <v>2.2073766211046637E-2</v>
      </c>
      <c r="AF479" s="803">
        <v>8.7246004352723297E-2</v>
      </c>
      <c r="AG479" s="803">
        <v>5.8202330775582959E-4</v>
      </c>
      <c r="AH479" s="803">
        <v>2.670351142205461E-3</v>
      </c>
    </row>
    <row r="480" spans="1:34" ht="12.75">
      <c r="A480" s="14" t="s">
        <v>3942</v>
      </c>
      <c r="B480" s="13" t="s">
        <v>2644</v>
      </c>
      <c r="C480" s="14" t="s">
        <v>2667</v>
      </c>
      <c r="D480" s="14" t="s">
        <v>2911</v>
      </c>
      <c r="E480" s="14" t="s">
        <v>3943</v>
      </c>
      <c r="F480" s="13">
        <v>113</v>
      </c>
      <c r="G480" s="14" t="s">
        <v>3895</v>
      </c>
      <c r="H480" s="13">
        <v>15016</v>
      </c>
      <c r="I480" s="135" t="s">
        <v>397</v>
      </c>
      <c r="J480" s="135" t="s">
        <v>3944</v>
      </c>
      <c r="K480" s="475">
        <v>0.03</v>
      </c>
      <c r="L480" s="476">
        <v>3.39</v>
      </c>
      <c r="M480" s="492" t="s">
        <v>3945</v>
      </c>
      <c r="N480" s="492"/>
      <c r="O480" s="494"/>
      <c r="P480" s="135" t="s">
        <v>397</v>
      </c>
      <c r="Q480" s="135" t="s">
        <v>3851</v>
      </c>
      <c r="R480" s="135">
        <v>100</v>
      </c>
      <c r="S480" s="135">
        <f t="shared" si="493"/>
        <v>3.39</v>
      </c>
      <c r="T480" s="476">
        <f t="shared" ref="T480:T486" si="549">R480</f>
        <v>100</v>
      </c>
      <c r="U480" s="135">
        <f t="shared" ref="U480:U486" si="550">R480</f>
        <v>100</v>
      </c>
      <c r="V480" s="543">
        <f t="shared" si="523"/>
        <v>100</v>
      </c>
      <c r="W480" s="507" t="s">
        <v>3944</v>
      </c>
      <c r="X480">
        <f t="shared" si="543"/>
        <v>3</v>
      </c>
      <c r="Y480" s="220">
        <f t="shared" si="544"/>
        <v>3</v>
      </c>
      <c r="Z480" s="220">
        <f t="shared" ref="Z480:Z488" si="551">Y480</f>
        <v>3</v>
      </c>
      <c r="AA480" s="792">
        <f>Y480</f>
        <v>3</v>
      </c>
      <c r="AB480" s="18" t="s">
        <v>397</v>
      </c>
      <c r="AC480" s="13" t="s">
        <v>18</v>
      </c>
      <c r="AD480" s="13" t="s">
        <v>18</v>
      </c>
      <c r="AE480" s="12">
        <v>0</v>
      </c>
      <c r="AF480" s="12">
        <v>0</v>
      </c>
      <c r="AG480" s="12">
        <v>0</v>
      </c>
      <c r="AH480" s="12">
        <v>3.32666666666667E-3</v>
      </c>
    </row>
    <row r="481" spans="1:34" ht="12.75">
      <c r="A481" s="14" t="s">
        <v>3942</v>
      </c>
      <c r="B481" s="13" t="s">
        <v>2644</v>
      </c>
      <c r="C481" s="14" t="s">
        <v>2667</v>
      </c>
      <c r="D481" s="14" t="s">
        <v>2911</v>
      </c>
      <c r="E481" s="14" t="s">
        <v>3943</v>
      </c>
      <c r="F481" s="13">
        <v>113</v>
      </c>
      <c r="G481" s="14" t="s">
        <v>3895</v>
      </c>
      <c r="H481" s="13">
        <v>15016</v>
      </c>
      <c r="I481" s="135" t="s">
        <v>386</v>
      </c>
      <c r="J481" s="135" t="s">
        <v>3946</v>
      </c>
      <c r="K481" s="475">
        <v>0.1</v>
      </c>
      <c r="L481" s="476">
        <v>11.3</v>
      </c>
      <c r="M481" s="492" t="s">
        <v>3947</v>
      </c>
      <c r="N481" s="492"/>
      <c r="O481" s="494"/>
      <c r="P481" s="135" t="s">
        <v>386</v>
      </c>
      <c r="Q481" s="135" t="s">
        <v>3948</v>
      </c>
      <c r="R481" s="135">
        <v>100</v>
      </c>
      <c r="S481" s="135">
        <f t="shared" si="493"/>
        <v>11.3</v>
      </c>
      <c r="T481" s="476">
        <f t="shared" si="549"/>
        <v>100</v>
      </c>
      <c r="U481" s="135">
        <f t="shared" si="550"/>
        <v>100</v>
      </c>
      <c r="V481" s="543">
        <f t="shared" si="523"/>
        <v>100</v>
      </c>
      <c r="W481" s="135" t="s">
        <v>3946</v>
      </c>
      <c r="X481">
        <f t="shared" si="543"/>
        <v>10</v>
      </c>
      <c r="Y481" s="220">
        <f t="shared" si="544"/>
        <v>10</v>
      </c>
      <c r="Z481" s="220">
        <f t="shared" si="551"/>
        <v>10</v>
      </c>
      <c r="AA481" s="792">
        <f t="shared" ref="AA481:AA503" si="552">Z481</f>
        <v>10</v>
      </c>
      <c r="AB481" s="18" t="s">
        <v>386</v>
      </c>
      <c r="AC481" s="13" t="s">
        <v>18</v>
      </c>
      <c r="AD481" s="13" t="s">
        <v>18</v>
      </c>
      <c r="AE481" s="12">
        <v>1.4205941722987801E-2</v>
      </c>
      <c r="AF481" s="12">
        <v>2.3570399999999999E-4</v>
      </c>
      <c r="AG481" s="12">
        <v>2.1285206449999999E-4</v>
      </c>
      <c r="AH481" s="12">
        <v>8.081666666666671E-3</v>
      </c>
    </row>
    <row r="482" spans="1:34" ht="12.75">
      <c r="A482" s="14" t="s">
        <v>3942</v>
      </c>
      <c r="B482" s="13" t="s">
        <v>2644</v>
      </c>
      <c r="C482" s="14" t="s">
        <v>2667</v>
      </c>
      <c r="D482" s="14" t="s">
        <v>2911</v>
      </c>
      <c r="E482" s="14" t="s">
        <v>3943</v>
      </c>
      <c r="F482" s="13">
        <v>113</v>
      </c>
      <c r="G482" s="14" t="s">
        <v>3895</v>
      </c>
      <c r="H482" s="13">
        <v>15016</v>
      </c>
      <c r="I482" s="298" t="s">
        <v>3949</v>
      </c>
      <c r="J482" s="298" t="s">
        <v>3950</v>
      </c>
      <c r="K482" s="531">
        <v>0.31</v>
      </c>
      <c r="L482" s="528">
        <v>35.03</v>
      </c>
      <c r="M482" s="532" t="s">
        <v>1624</v>
      </c>
      <c r="N482" s="532"/>
      <c r="O482" s="533"/>
      <c r="P482" s="298" t="s">
        <v>3949</v>
      </c>
      <c r="Q482" s="298" t="s">
        <v>3951</v>
      </c>
      <c r="R482" s="298">
        <v>100</v>
      </c>
      <c r="S482" s="298">
        <f t="shared" si="493"/>
        <v>35.03</v>
      </c>
      <c r="T482" s="476">
        <f t="shared" si="549"/>
        <v>100</v>
      </c>
      <c r="U482" s="135">
        <f t="shared" si="550"/>
        <v>100</v>
      </c>
      <c r="V482" s="543">
        <f t="shared" si="523"/>
        <v>100</v>
      </c>
      <c r="W482" s="298" t="s">
        <v>3950</v>
      </c>
      <c r="X482">
        <f t="shared" si="543"/>
        <v>31</v>
      </c>
      <c r="Y482" s="220">
        <f t="shared" si="544"/>
        <v>31</v>
      </c>
      <c r="Z482" s="220">
        <f t="shared" si="551"/>
        <v>31</v>
      </c>
      <c r="AA482" s="792">
        <f t="shared" si="552"/>
        <v>31</v>
      </c>
      <c r="AB482" s="18" t="s">
        <v>405</v>
      </c>
      <c r="AC482" s="13" t="s">
        <v>18</v>
      </c>
      <c r="AD482" s="13" t="s">
        <v>18</v>
      </c>
      <c r="AE482" s="12">
        <v>1.2876666666666701E-2</v>
      </c>
      <c r="AF482" s="12">
        <v>3.6204E-4</v>
      </c>
      <c r="AG482" s="12">
        <v>2.9941586091339101E-4</v>
      </c>
      <c r="AH482" s="12">
        <v>1.907E-2</v>
      </c>
    </row>
    <row r="483" spans="1:34" ht="12.75">
      <c r="A483" s="14" t="s">
        <v>3942</v>
      </c>
      <c r="B483" s="13" t="s">
        <v>2644</v>
      </c>
      <c r="C483" s="14" t="s">
        <v>2667</v>
      </c>
      <c r="D483" s="14" t="s">
        <v>2911</v>
      </c>
      <c r="E483" s="14" t="s">
        <v>3943</v>
      </c>
      <c r="F483" s="13">
        <v>113</v>
      </c>
      <c r="G483" s="14" t="s">
        <v>3895</v>
      </c>
      <c r="H483" s="13">
        <v>15016</v>
      </c>
      <c r="I483" s="298" t="s">
        <v>3952</v>
      </c>
      <c r="J483" s="298" t="s">
        <v>3953</v>
      </c>
      <c r="K483" s="531">
        <v>0.24</v>
      </c>
      <c r="L483" s="528">
        <v>27.12</v>
      </c>
      <c r="M483" s="532" t="s">
        <v>3954</v>
      </c>
      <c r="N483" s="532"/>
      <c r="O483" s="533"/>
      <c r="P483" s="298" t="s">
        <v>3952</v>
      </c>
      <c r="Q483" s="298" t="s">
        <v>3955</v>
      </c>
      <c r="R483" s="298">
        <v>100</v>
      </c>
      <c r="S483" s="298">
        <f t="shared" si="493"/>
        <v>27.12</v>
      </c>
      <c r="T483" s="476">
        <f t="shared" si="549"/>
        <v>100</v>
      </c>
      <c r="U483" s="135">
        <f t="shared" si="550"/>
        <v>100</v>
      </c>
      <c r="V483" s="543">
        <f t="shared" si="523"/>
        <v>100</v>
      </c>
      <c r="W483" s="298" t="s">
        <v>3953</v>
      </c>
      <c r="X483">
        <f t="shared" si="543"/>
        <v>24</v>
      </c>
      <c r="Y483" s="220">
        <f t="shared" si="544"/>
        <v>24</v>
      </c>
      <c r="Z483" s="220">
        <f t="shared" si="551"/>
        <v>24</v>
      </c>
      <c r="AA483" s="792">
        <f t="shared" si="552"/>
        <v>24</v>
      </c>
      <c r="AB483" s="18" t="s">
        <v>389</v>
      </c>
      <c r="AC483" s="13" t="s">
        <v>18</v>
      </c>
      <c r="AD483" s="13" t="s">
        <v>18</v>
      </c>
      <c r="AE483" s="12">
        <v>0</v>
      </c>
      <c r="AF483" s="12">
        <v>0</v>
      </c>
      <c r="AG483" s="12">
        <v>0</v>
      </c>
      <c r="AH483" s="12">
        <v>4.18814893617021E-3</v>
      </c>
    </row>
    <row r="484" spans="1:34" ht="12.75">
      <c r="A484" s="14" t="s">
        <v>3942</v>
      </c>
      <c r="B484" s="13" t="s">
        <v>2644</v>
      </c>
      <c r="C484" s="14" t="s">
        <v>2667</v>
      </c>
      <c r="D484" s="14" t="s">
        <v>2911</v>
      </c>
      <c r="E484" s="14" t="s">
        <v>3943</v>
      </c>
      <c r="F484" s="13">
        <v>113</v>
      </c>
      <c r="G484" s="14" t="s">
        <v>3895</v>
      </c>
      <c r="H484" s="13">
        <v>15016</v>
      </c>
      <c r="I484" s="298" t="s">
        <v>3956</v>
      </c>
      <c r="J484" s="298" t="s">
        <v>3957</v>
      </c>
      <c r="K484" s="531">
        <v>0.11</v>
      </c>
      <c r="L484" s="528">
        <v>12.43</v>
      </c>
      <c r="M484" s="532" t="s">
        <v>3958</v>
      </c>
      <c r="N484" s="532"/>
      <c r="O484" s="533"/>
      <c r="P484" s="298" t="s">
        <v>3956</v>
      </c>
      <c r="Q484" s="298" t="s">
        <v>3959</v>
      </c>
      <c r="R484" s="298">
        <v>100</v>
      </c>
      <c r="S484" s="298">
        <f t="shared" si="493"/>
        <v>12.43</v>
      </c>
      <c r="T484" s="476">
        <f t="shared" si="549"/>
        <v>100</v>
      </c>
      <c r="U484" s="135">
        <f t="shared" si="550"/>
        <v>100</v>
      </c>
      <c r="V484" s="543">
        <f t="shared" si="523"/>
        <v>100</v>
      </c>
      <c r="W484" s="298" t="s">
        <v>3957</v>
      </c>
      <c r="X484">
        <f t="shared" si="543"/>
        <v>11</v>
      </c>
      <c r="Y484" s="220">
        <f t="shared" si="544"/>
        <v>11</v>
      </c>
      <c r="Z484" s="220">
        <f t="shared" si="551"/>
        <v>11</v>
      </c>
      <c r="AA484" s="792">
        <f t="shared" si="552"/>
        <v>11</v>
      </c>
      <c r="AB484" s="18" t="s">
        <v>390</v>
      </c>
      <c r="AC484" s="13" t="s">
        <v>18</v>
      </c>
      <c r="AD484" s="13" t="s">
        <v>18</v>
      </c>
      <c r="AE484" s="12">
        <v>0</v>
      </c>
      <c r="AF484" s="12">
        <v>0</v>
      </c>
      <c r="AG484" s="12">
        <v>0</v>
      </c>
      <c r="AH484" s="12">
        <v>1.6038461538461498E-2</v>
      </c>
    </row>
    <row r="485" spans="1:34" ht="12.75">
      <c r="A485" s="14" t="s">
        <v>3942</v>
      </c>
      <c r="B485" s="13" t="s">
        <v>2644</v>
      </c>
      <c r="C485" s="14" t="s">
        <v>2667</v>
      </c>
      <c r="D485" s="14" t="s">
        <v>2911</v>
      </c>
      <c r="E485" s="14" t="s">
        <v>3943</v>
      </c>
      <c r="F485" s="13">
        <v>113</v>
      </c>
      <c r="G485" s="14" t="s">
        <v>3895</v>
      </c>
      <c r="H485" s="13">
        <v>15016</v>
      </c>
      <c r="I485" s="298" t="s">
        <v>392</v>
      </c>
      <c r="J485" s="298" t="s">
        <v>3960</v>
      </c>
      <c r="K485" s="531">
        <v>7.0000000000000007E-2</v>
      </c>
      <c r="L485" s="528">
        <v>7.91</v>
      </c>
      <c r="M485" s="532" t="s">
        <v>3961</v>
      </c>
      <c r="N485" s="532"/>
      <c r="O485" s="533"/>
      <c r="P485" s="298" t="s">
        <v>392</v>
      </c>
      <c r="Q485" s="298" t="s">
        <v>3962</v>
      </c>
      <c r="R485" s="298">
        <v>100</v>
      </c>
      <c r="S485" s="298">
        <f t="shared" si="493"/>
        <v>7.91</v>
      </c>
      <c r="T485" s="476">
        <f t="shared" si="549"/>
        <v>100</v>
      </c>
      <c r="U485" s="135">
        <f t="shared" si="550"/>
        <v>100</v>
      </c>
      <c r="V485" s="543">
        <f t="shared" si="523"/>
        <v>100</v>
      </c>
      <c r="W485" s="298" t="s">
        <v>3960</v>
      </c>
      <c r="X485">
        <f t="shared" si="543"/>
        <v>7.0000000000000009</v>
      </c>
      <c r="Y485" s="220">
        <f t="shared" si="544"/>
        <v>7.0000000000000009</v>
      </c>
      <c r="Z485" s="220">
        <f t="shared" si="551"/>
        <v>7.0000000000000009</v>
      </c>
      <c r="AA485" s="792">
        <f t="shared" si="552"/>
        <v>7.0000000000000009</v>
      </c>
      <c r="AB485" s="18" t="s">
        <v>392</v>
      </c>
      <c r="AC485" s="13" t="s">
        <v>18</v>
      </c>
      <c r="AD485" s="13" t="s">
        <v>18</v>
      </c>
      <c r="AE485" s="12">
        <v>0</v>
      </c>
      <c r="AF485" s="12">
        <v>0</v>
      </c>
      <c r="AG485" s="12">
        <v>0</v>
      </c>
      <c r="AH485" s="12">
        <v>3.6863489999999998E-3</v>
      </c>
    </row>
    <row r="486" spans="1:34" ht="12.75">
      <c r="A486" s="617" t="s">
        <v>3942</v>
      </c>
      <c r="B486" s="799" t="s">
        <v>2644</v>
      </c>
      <c r="C486" s="617" t="s">
        <v>2667</v>
      </c>
      <c r="D486" s="617" t="s">
        <v>2911</v>
      </c>
      <c r="E486" s="617" t="s">
        <v>3943</v>
      </c>
      <c r="F486" s="799">
        <v>113</v>
      </c>
      <c r="G486" s="617" t="s">
        <v>3895</v>
      </c>
      <c r="H486" s="799">
        <v>15016</v>
      </c>
      <c r="I486" s="617" t="s">
        <v>391</v>
      </c>
      <c r="J486" s="617" t="s">
        <v>3963</v>
      </c>
      <c r="K486" s="838">
        <v>0.14000000000000001</v>
      </c>
      <c r="L486" s="725">
        <v>15.82</v>
      </c>
      <c r="M486" s="850" t="s">
        <v>3964</v>
      </c>
      <c r="N486" s="850"/>
      <c r="O486" s="842"/>
      <c r="P486" s="617" t="s">
        <v>391</v>
      </c>
      <c r="Q486" s="617" t="s">
        <v>3965</v>
      </c>
      <c r="R486" s="617">
        <v>100</v>
      </c>
      <c r="S486" s="617">
        <f t="shared" si="493"/>
        <v>15.82</v>
      </c>
      <c r="T486" s="725">
        <f t="shared" si="549"/>
        <v>100</v>
      </c>
      <c r="U486" s="617">
        <f t="shared" si="550"/>
        <v>100</v>
      </c>
      <c r="V486" s="843">
        <f t="shared" si="523"/>
        <v>100</v>
      </c>
      <c r="W486" s="617" t="s">
        <v>3963</v>
      </c>
      <c r="X486" s="617">
        <f t="shared" si="543"/>
        <v>14.000000000000002</v>
      </c>
      <c r="Y486" s="725">
        <f t="shared" si="544"/>
        <v>14.000000000000002</v>
      </c>
      <c r="Z486" s="725">
        <f t="shared" si="551"/>
        <v>14.000000000000002</v>
      </c>
      <c r="AA486" s="455">
        <f t="shared" si="552"/>
        <v>14.000000000000002</v>
      </c>
      <c r="AB486" s="793" t="s">
        <v>391</v>
      </c>
      <c r="AC486" s="799" t="s">
        <v>18</v>
      </c>
      <c r="AD486" s="799" t="s">
        <v>18</v>
      </c>
      <c r="AE486" s="635">
        <v>0</v>
      </c>
      <c r="AF486" s="635">
        <v>0</v>
      </c>
      <c r="AG486" s="635">
        <v>0</v>
      </c>
      <c r="AH486" s="635">
        <v>3.2798717142857097E-3</v>
      </c>
    </row>
    <row r="487" spans="1:34" ht="14.25">
      <c r="A487" s="14" t="s">
        <v>3966</v>
      </c>
      <c r="B487" s="13" t="s">
        <v>2668</v>
      </c>
      <c r="C487" s="14" t="s">
        <v>2669</v>
      </c>
      <c r="D487" s="14" t="s">
        <v>2911</v>
      </c>
      <c r="E487" s="14" t="s">
        <v>3967</v>
      </c>
      <c r="F487" s="13">
        <v>40.96</v>
      </c>
      <c r="G487" s="14" t="s">
        <v>3968</v>
      </c>
      <c r="H487" s="473" t="s">
        <v>3969</v>
      </c>
      <c r="I487" s="655" t="s">
        <v>3970</v>
      </c>
      <c r="J487" s="14" t="s">
        <v>3971</v>
      </c>
      <c r="K487" s="65">
        <f t="shared" ref="K487:K492" si="553">11/99</f>
        <v>0.1111111111111111</v>
      </c>
      <c r="L487" s="220">
        <v>4.0999999999999996</v>
      </c>
      <c r="M487" s="13" t="s">
        <v>3971</v>
      </c>
      <c r="N487" s="13" t="s">
        <v>3972</v>
      </c>
      <c r="O487" s="480" t="s">
        <v>1624</v>
      </c>
      <c r="P487" s="14" t="s">
        <v>3973</v>
      </c>
      <c r="Q487" s="486" t="s">
        <v>3974</v>
      </c>
      <c r="R487" s="14">
        <v>58</v>
      </c>
      <c r="S487" s="14">
        <f t="shared" si="493"/>
        <v>2.3779999999999997</v>
      </c>
      <c r="T487" s="487">
        <f>SUM(R487:R489)</f>
        <v>88.5</v>
      </c>
      <c r="U487" s="14">
        <f t="shared" ref="U487:U696" si="554">R487*100/T487</f>
        <v>65.536723163841813</v>
      </c>
      <c r="V487" s="220">
        <f t="shared" si="523"/>
        <v>65.536723163841813</v>
      </c>
      <c r="W487" s="14" t="s">
        <v>1112</v>
      </c>
      <c r="X487" s="87">
        <f t="shared" ref="X487:X541" si="555">V487*K487</f>
        <v>7.2818581293157569</v>
      </c>
      <c r="Y487" s="544">
        <f>SUM(X487,X510,X513,X524,X533,X536)</f>
        <v>14.0030578937243</v>
      </c>
      <c r="Z487" s="544">
        <f t="shared" si="551"/>
        <v>14.0030578937243</v>
      </c>
      <c r="AA487" s="792">
        <f t="shared" si="552"/>
        <v>14.0030578937243</v>
      </c>
      <c r="AB487" s="18" t="s">
        <v>1112</v>
      </c>
      <c r="AC487" s="545" t="s">
        <v>244</v>
      </c>
      <c r="AD487" s="13" t="s">
        <v>3975</v>
      </c>
      <c r="AE487" s="12">
        <v>7.6594132480302998E-3</v>
      </c>
      <c r="AF487" s="12">
        <v>0.25452159072024799</v>
      </c>
      <c r="AG487" s="12">
        <v>2.4499999999999999E-4</v>
      </c>
      <c r="AH487" s="12">
        <v>3.0864741882572887E-4</v>
      </c>
    </row>
    <row r="488" spans="1:34" ht="14.25">
      <c r="A488" s="14" t="s">
        <v>3966</v>
      </c>
      <c r="B488" s="13" t="s">
        <v>2668</v>
      </c>
      <c r="C488" s="14" t="s">
        <v>2669</v>
      </c>
      <c r="D488" s="14" t="s">
        <v>2911</v>
      </c>
      <c r="E488" s="14" t="s">
        <v>3967</v>
      </c>
      <c r="F488" s="13">
        <v>40.96</v>
      </c>
      <c r="G488" s="14" t="s">
        <v>3968</v>
      </c>
      <c r="H488" s="473" t="s">
        <v>3969</v>
      </c>
      <c r="I488" s="655" t="s">
        <v>3970</v>
      </c>
      <c r="J488" s="14" t="s">
        <v>3971</v>
      </c>
      <c r="K488" s="65">
        <f t="shared" si="553"/>
        <v>0.1111111111111111</v>
      </c>
      <c r="L488" s="220">
        <v>4.0999999999999996</v>
      </c>
      <c r="M488" s="13" t="s">
        <v>3971</v>
      </c>
      <c r="N488" s="13" t="s">
        <v>3972</v>
      </c>
      <c r="O488" s="480" t="s">
        <v>1624</v>
      </c>
      <c r="P488" s="14" t="s">
        <v>2945</v>
      </c>
      <c r="Q488" s="486" t="s">
        <v>2946</v>
      </c>
      <c r="R488" s="14">
        <v>25.5</v>
      </c>
      <c r="S488" s="14">
        <f t="shared" si="493"/>
        <v>1.0454999999999999</v>
      </c>
      <c r="T488" s="487">
        <f>SUM(R487:R489)</f>
        <v>88.5</v>
      </c>
      <c r="U488" s="14">
        <f t="shared" si="554"/>
        <v>28.8135593220339</v>
      </c>
      <c r="V488" s="220">
        <f t="shared" si="523"/>
        <v>28.8135593220339</v>
      </c>
      <c r="W488" s="14" t="s">
        <v>433</v>
      </c>
      <c r="X488" s="87">
        <f t="shared" si="555"/>
        <v>3.2015065913370999</v>
      </c>
      <c r="Y488" s="544">
        <f>SUM(X488,X492,X494,X502,X505,X509,X512,X515,X532,X537,X534,X518)</f>
        <v>15.015744260624786</v>
      </c>
      <c r="Z488" s="544">
        <f t="shared" si="551"/>
        <v>15.015744260624786</v>
      </c>
      <c r="AA488" s="792">
        <f t="shared" si="552"/>
        <v>15.015744260624786</v>
      </c>
      <c r="AB488" s="18" t="s">
        <v>433</v>
      </c>
      <c r="AC488" s="545" t="s">
        <v>433</v>
      </c>
      <c r="AD488" s="13" t="s">
        <v>2947</v>
      </c>
      <c r="AE488" s="12">
        <v>3.0104466724907065E-4</v>
      </c>
      <c r="AF488" s="12">
        <v>1.2500000000000001E-2</v>
      </c>
      <c r="AG488" s="12">
        <v>5.1818181818181835E-4</v>
      </c>
      <c r="AH488" s="12">
        <v>4.0084080366977777E-4</v>
      </c>
    </row>
    <row r="489" spans="1:34" ht="14.25">
      <c r="A489" s="14" t="s">
        <v>3966</v>
      </c>
      <c r="B489" s="13" t="s">
        <v>2668</v>
      </c>
      <c r="C489" s="14" t="s">
        <v>2669</v>
      </c>
      <c r="D489" s="14" t="s">
        <v>2911</v>
      </c>
      <c r="E489" s="14" t="s">
        <v>3967</v>
      </c>
      <c r="F489" s="13">
        <v>40.96</v>
      </c>
      <c r="G489" s="14" t="s">
        <v>3968</v>
      </c>
      <c r="H489" s="473" t="s">
        <v>3969</v>
      </c>
      <c r="I489" s="848" t="s">
        <v>3970</v>
      </c>
      <c r="J489" s="135" t="s">
        <v>3971</v>
      </c>
      <c r="K489" s="546">
        <f t="shared" si="553"/>
        <v>0.1111111111111111</v>
      </c>
      <c r="L489" s="476">
        <v>4.0999999999999996</v>
      </c>
      <c r="M489" s="477" t="s">
        <v>3971</v>
      </c>
      <c r="N489" s="477" t="s">
        <v>3972</v>
      </c>
      <c r="O489" s="494" t="s">
        <v>1624</v>
      </c>
      <c r="P489" s="848" t="s">
        <v>2977</v>
      </c>
      <c r="Q489" s="547" t="s">
        <v>2978</v>
      </c>
      <c r="R489" s="135">
        <v>5</v>
      </c>
      <c r="S489" s="135"/>
      <c r="T489" s="476">
        <f>SUM(R487:R489)</f>
        <v>88.5</v>
      </c>
      <c r="U489" s="135">
        <f t="shared" si="554"/>
        <v>5.6497175141242941</v>
      </c>
      <c r="V489" s="476">
        <f t="shared" si="523"/>
        <v>5.6497175141242941</v>
      </c>
      <c r="W489" s="135" t="s">
        <v>227</v>
      </c>
      <c r="X489" s="87">
        <f t="shared" si="555"/>
        <v>0.62774639045825487</v>
      </c>
      <c r="Y489" s="544">
        <f>SUM(X489,X497,X495,X506,X507,X519,X529,X530,X538,X539)</f>
        <v>11.361885652213365</v>
      </c>
      <c r="Z489" s="544">
        <f>SUM(X489,X506,X530,X538:X539,X507,X519,X529)</f>
        <v>6.3954389381938359</v>
      </c>
      <c r="AA489" s="792">
        <f t="shared" si="552"/>
        <v>6.3954389381938359</v>
      </c>
      <c r="AB489" s="18" t="s">
        <v>2670</v>
      </c>
      <c r="AC489" s="13" t="s">
        <v>55</v>
      </c>
      <c r="AD489" s="13" t="s">
        <v>2979</v>
      </c>
      <c r="AE489" s="12">
        <v>2.5055367220000002E-3</v>
      </c>
      <c r="AF489" s="12">
        <v>3.8459841414181101E-2</v>
      </c>
      <c r="AG489" s="12">
        <v>1.1035422343324251E-4</v>
      </c>
      <c r="AH489" s="12">
        <v>8.109653861711444E-4</v>
      </c>
    </row>
    <row r="490" spans="1:34" ht="14.25">
      <c r="A490" s="14" t="s">
        <v>3966</v>
      </c>
      <c r="B490" s="13" t="s">
        <v>2668</v>
      </c>
      <c r="C490" s="14" t="s">
        <v>2669</v>
      </c>
      <c r="D490" s="14" t="s">
        <v>2911</v>
      </c>
      <c r="E490" s="14" t="s">
        <v>3967</v>
      </c>
      <c r="F490" s="13">
        <v>40.96</v>
      </c>
      <c r="G490" s="14" t="s">
        <v>3968</v>
      </c>
      <c r="H490" s="473" t="s">
        <v>3969</v>
      </c>
      <c r="I490" s="14" t="s">
        <v>3976</v>
      </c>
      <c r="J490" s="14" t="s">
        <v>3977</v>
      </c>
      <c r="K490" s="65">
        <f t="shared" si="553"/>
        <v>0.1111111111111111</v>
      </c>
      <c r="L490" s="220">
        <v>4.3899999999999997</v>
      </c>
      <c r="M490" s="13" t="s">
        <v>3977</v>
      </c>
      <c r="N490" s="13" t="s">
        <v>3972</v>
      </c>
      <c r="O490" s="480" t="s">
        <v>1624</v>
      </c>
      <c r="P490" s="655" t="s">
        <v>3978</v>
      </c>
      <c r="Q490" s="486" t="s">
        <v>3979</v>
      </c>
      <c r="R490" s="14">
        <v>50</v>
      </c>
      <c r="S490" s="14">
        <f t="shared" ref="S490:S744" si="556">(0.01*R490)*L490</f>
        <v>2.1949999999999998</v>
      </c>
      <c r="T490" s="487">
        <f>SUM(R490:R492)</f>
        <v>92.5</v>
      </c>
      <c r="U490" s="14">
        <f t="shared" si="554"/>
        <v>54.054054054054056</v>
      </c>
      <c r="V490" s="220">
        <f t="shared" si="523"/>
        <v>54.054054054054056</v>
      </c>
      <c r="W490" s="14" t="s">
        <v>2658</v>
      </c>
      <c r="X490" s="87">
        <f t="shared" si="555"/>
        <v>6.0060060060060056</v>
      </c>
      <c r="Y490" s="544">
        <f>SUM(X490,X493,X496,X498,X501,X508,X514,X522,X525,X531,X540,X491,X503)</f>
        <v>36.865172869919178</v>
      </c>
      <c r="Z490" s="544">
        <f>SUM(X490,X493,X496,X498,X501,X508,X514,X522,X525,X531,X540)</f>
        <v>32.867923872670183</v>
      </c>
      <c r="AA490" s="792">
        <f t="shared" si="552"/>
        <v>32.867923872670183</v>
      </c>
      <c r="AB490" s="18" t="s">
        <v>2658</v>
      </c>
      <c r="AC490" s="545" t="s">
        <v>215</v>
      </c>
      <c r="AD490" s="13" t="s">
        <v>3007</v>
      </c>
      <c r="AE490" s="12">
        <v>5.0851930036188197E-3</v>
      </c>
      <c r="AF490" s="12">
        <v>5.9995417730640897E-2</v>
      </c>
      <c r="AG490" s="12">
        <v>3.4699999999999998E-4</v>
      </c>
      <c r="AH490" s="12">
        <v>2.9762429672480995E-4</v>
      </c>
    </row>
    <row r="491" spans="1:34" ht="12.75">
      <c r="A491" s="14" t="s">
        <v>3966</v>
      </c>
      <c r="B491" s="13" t="s">
        <v>2668</v>
      </c>
      <c r="C491" s="14" t="s">
        <v>2669</v>
      </c>
      <c r="D491" s="14" t="s">
        <v>2911</v>
      </c>
      <c r="E491" s="14" t="s">
        <v>3967</v>
      </c>
      <c r="F491" s="13">
        <v>40.96</v>
      </c>
      <c r="G491" s="14" t="s">
        <v>3968</v>
      </c>
      <c r="H491" s="473" t="s">
        <v>3969</v>
      </c>
      <c r="I491" s="14" t="s">
        <v>3976</v>
      </c>
      <c r="J491" s="14" t="s">
        <v>3977</v>
      </c>
      <c r="K491" s="65">
        <f t="shared" si="553"/>
        <v>0.1111111111111111</v>
      </c>
      <c r="L491" s="220">
        <v>4.3899999999999997</v>
      </c>
      <c r="M491" s="13" t="s">
        <v>3977</v>
      </c>
      <c r="N491" s="13" t="s">
        <v>3972</v>
      </c>
      <c r="O491" s="480" t="s">
        <v>1624</v>
      </c>
      <c r="P491" s="14" t="s">
        <v>214</v>
      </c>
      <c r="Q491" s="486" t="s">
        <v>3980</v>
      </c>
      <c r="R491" s="14">
        <v>26</v>
      </c>
      <c r="S491" s="14">
        <f t="shared" si="556"/>
        <v>1.1414</v>
      </c>
      <c r="T491" s="487">
        <f>SUM(R490:R492)</f>
        <v>92.5</v>
      </c>
      <c r="U491" s="14">
        <f t="shared" si="554"/>
        <v>28.108108108108109</v>
      </c>
      <c r="V491" s="220">
        <f t="shared" si="523"/>
        <v>28.108108108108109</v>
      </c>
      <c r="W491" s="14" t="s">
        <v>214</v>
      </c>
      <c r="X491" s="87">
        <f t="shared" si="555"/>
        <v>3.1231231231231229</v>
      </c>
      <c r="Y491" s="548" t="s">
        <v>1666</v>
      </c>
      <c r="Z491" s="548">
        <f>SUM(X491,X503)</f>
        <v>3.9972489972489971</v>
      </c>
      <c r="AA491" s="792">
        <f t="shared" si="552"/>
        <v>3.9972489972489971</v>
      </c>
      <c r="AB491" s="18" t="s">
        <v>2671</v>
      </c>
      <c r="AC491" s="545" t="s">
        <v>214</v>
      </c>
      <c r="AD491" s="13" t="s">
        <v>3981</v>
      </c>
      <c r="AE491" s="12">
        <v>2.5425965018094099E-4</v>
      </c>
      <c r="AF491" s="12">
        <v>2.999770886532045E-3</v>
      </c>
      <c r="AG491" s="12">
        <v>1.7349999999999998E-5</v>
      </c>
      <c r="AH491" s="12">
        <v>1.4881214836240498E-5</v>
      </c>
    </row>
    <row r="492" spans="1:34" ht="12.75">
      <c r="A492" s="14" t="s">
        <v>3966</v>
      </c>
      <c r="B492" s="13" t="s">
        <v>2668</v>
      </c>
      <c r="C492" s="14" t="s">
        <v>2669</v>
      </c>
      <c r="D492" s="14" t="s">
        <v>2911</v>
      </c>
      <c r="E492" s="14" t="s">
        <v>3967</v>
      </c>
      <c r="F492" s="13">
        <v>40.96</v>
      </c>
      <c r="G492" s="14" t="s">
        <v>3968</v>
      </c>
      <c r="H492" s="473" t="s">
        <v>3969</v>
      </c>
      <c r="I492" s="135" t="s">
        <v>3976</v>
      </c>
      <c r="J492" s="135" t="s">
        <v>3977</v>
      </c>
      <c r="K492" s="546">
        <f t="shared" si="553"/>
        <v>0.1111111111111111</v>
      </c>
      <c r="L492" s="476">
        <v>4.3899999999999997</v>
      </c>
      <c r="M492" s="477" t="s">
        <v>3977</v>
      </c>
      <c r="N492" s="477" t="s">
        <v>3972</v>
      </c>
      <c r="O492" s="494" t="s">
        <v>1624</v>
      </c>
      <c r="P492" s="135" t="s">
        <v>2945</v>
      </c>
      <c r="Q492" s="495" t="s">
        <v>2946</v>
      </c>
      <c r="R492" s="135">
        <v>16.5</v>
      </c>
      <c r="S492" s="135">
        <f t="shared" si="556"/>
        <v>0.72434999999999994</v>
      </c>
      <c r="T492" s="476">
        <f>SUM(R490:R492)</f>
        <v>92.5</v>
      </c>
      <c r="U492" s="135">
        <f t="shared" si="554"/>
        <v>17.837837837837839</v>
      </c>
      <c r="V492" s="476">
        <f t="shared" si="523"/>
        <v>17.837837837837839</v>
      </c>
      <c r="W492" s="135" t="s">
        <v>433</v>
      </c>
      <c r="X492" s="87">
        <f t="shared" si="555"/>
        <v>1.9819819819819819</v>
      </c>
      <c r="Y492" s="548" t="s">
        <v>1666</v>
      </c>
      <c r="Z492" s="220" t="s">
        <v>1666</v>
      </c>
      <c r="AA492" s="792" t="str">
        <f t="shared" si="552"/>
        <v>*</v>
      </c>
      <c r="AB492" s="458" t="str">
        <f t="shared" ref="AB492:AH492" si="557">AA492</f>
        <v>*</v>
      </c>
      <c r="AC492" s="497" t="str">
        <f t="shared" si="557"/>
        <v>*</v>
      </c>
      <c r="AD492" s="497" t="str">
        <f t="shared" si="557"/>
        <v>*</v>
      </c>
      <c r="AE492" s="454" t="str">
        <f t="shared" si="557"/>
        <v>*</v>
      </c>
      <c r="AF492" s="454" t="str">
        <f t="shared" si="557"/>
        <v>*</v>
      </c>
      <c r="AG492" s="454" t="str">
        <f t="shared" si="557"/>
        <v>*</v>
      </c>
      <c r="AH492" s="454" t="str">
        <f t="shared" si="557"/>
        <v>*</v>
      </c>
    </row>
    <row r="493" spans="1:34" ht="12.75">
      <c r="A493" s="14" t="s">
        <v>3966</v>
      </c>
      <c r="B493" s="13" t="s">
        <v>2668</v>
      </c>
      <c r="C493" s="14" t="s">
        <v>2669</v>
      </c>
      <c r="D493" s="14" t="s">
        <v>2911</v>
      </c>
      <c r="E493" s="14" t="s">
        <v>3967</v>
      </c>
      <c r="F493" s="13">
        <v>40.96</v>
      </c>
      <c r="G493" s="14" t="s">
        <v>3968</v>
      </c>
      <c r="H493" s="473" t="s">
        <v>3969</v>
      </c>
      <c r="I493" s="14" t="s">
        <v>3982</v>
      </c>
      <c r="J493" s="14" t="s">
        <v>3983</v>
      </c>
      <c r="K493" s="65">
        <f t="shared" ref="K493:K495" si="558">13/99</f>
        <v>0.13131313131313133</v>
      </c>
      <c r="L493" s="220">
        <v>6.63</v>
      </c>
      <c r="M493" s="13" t="s">
        <v>3983</v>
      </c>
      <c r="N493" s="13" t="s">
        <v>3972</v>
      </c>
      <c r="O493" s="480" t="s">
        <v>1624</v>
      </c>
      <c r="P493" s="655" t="s">
        <v>3978</v>
      </c>
      <c r="Q493" s="486" t="s">
        <v>3979</v>
      </c>
      <c r="R493" s="14">
        <v>83</v>
      </c>
      <c r="S493" s="14">
        <f t="shared" si="556"/>
        <v>5.5029000000000003</v>
      </c>
      <c r="T493" s="487">
        <f>SUM(R493:R495)</f>
        <v>103</v>
      </c>
      <c r="U493" s="14">
        <f t="shared" si="554"/>
        <v>80.582524271844662</v>
      </c>
      <c r="V493" s="220">
        <f t="shared" si="523"/>
        <v>80.582524271844662</v>
      </c>
      <c r="W493" s="14" t="s">
        <v>2658</v>
      </c>
      <c r="X493" s="87">
        <f t="shared" si="555"/>
        <v>10.581543591252331</v>
      </c>
      <c r="Y493" s="548" t="s">
        <v>1666</v>
      </c>
      <c r="Z493" s="220" t="s">
        <v>1666</v>
      </c>
      <c r="AA493" s="792" t="str">
        <f t="shared" si="552"/>
        <v>*</v>
      </c>
      <c r="AB493" s="458" t="str">
        <f t="shared" ref="AB493:AH493" si="559">AA493</f>
        <v>*</v>
      </c>
      <c r="AC493" s="497" t="str">
        <f t="shared" si="559"/>
        <v>*</v>
      </c>
      <c r="AD493" s="497" t="str">
        <f t="shared" si="559"/>
        <v>*</v>
      </c>
      <c r="AE493" s="454" t="str">
        <f t="shared" si="559"/>
        <v>*</v>
      </c>
      <c r="AF493" s="454" t="str">
        <f t="shared" si="559"/>
        <v>*</v>
      </c>
      <c r="AG493" s="454" t="str">
        <f t="shared" si="559"/>
        <v>*</v>
      </c>
      <c r="AH493" s="454" t="str">
        <f t="shared" si="559"/>
        <v>*</v>
      </c>
    </row>
    <row r="494" spans="1:34" ht="12.75">
      <c r="A494" s="14" t="s">
        <v>3966</v>
      </c>
      <c r="B494" s="13" t="s">
        <v>2668</v>
      </c>
      <c r="C494" s="14" t="s">
        <v>2669</v>
      </c>
      <c r="D494" s="14" t="s">
        <v>2911</v>
      </c>
      <c r="E494" s="14" t="s">
        <v>3967</v>
      </c>
      <c r="F494" s="13">
        <v>40.96</v>
      </c>
      <c r="G494" s="14" t="s">
        <v>3968</v>
      </c>
      <c r="H494" s="473" t="s">
        <v>3969</v>
      </c>
      <c r="I494" s="14" t="s">
        <v>3982</v>
      </c>
      <c r="J494" s="14" t="s">
        <v>3983</v>
      </c>
      <c r="K494" s="65">
        <f t="shared" si="558"/>
        <v>0.13131313131313133</v>
      </c>
      <c r="L494" s="220">
        <v>6.63</v>
      </c>
      <c r="M494" s="13" t="s">
        <v>3983</v>
      </c>
      <c r="N494" s="13" t="s">
        <v>3972</v>
      </c>
      <c r="O494" s="480" t="s">
        <v>1624</v>
      </c>
      <c r="P494" s="14" t="s">
        <v>2945</v>
      </c>
      <c r="Q494" s="486" t="s">
        <v>2946</v>
      </c>
      <c r="R494" s="14">
        <v>15</v>
      </c>
      <c r="S494" s="14">
        <f t="shared" si="556"/>
        <v>0.99449999999999994</v>
      </c>
      <c r="T494" s="487">
        <f>SUM(R493:R495)</f>
        <v>103</v>
      </c>
      <c r="U494" s="14">
        <f t="shared" si="554"/>
        <v>14.563106796116505</v>
      </c>
      <c r="V494" s="220">
        <f t="shared" si="523"/>
        <v>14.563106796116505</v>
      </c>
      <c r="W494" s="14" t="s">
        <v>433</v>
      </c>
      <c r="X494" s="87">
        <f t="shared" si="555"/>
        <v>1.912327155045602</v>
      </c>
      <c r="Y494" s="548" t="s">
        <v>1666</v>
      </c>
      <c r="Z494" s="220" t="s">
        <v>1666</v>
      </c>
      <c r="AA494" s="792" t="str">
        <f t="shared" si="552"/>
        <v>*</v>
      </c>
      <c r="AB494" s="458" t="str">
        <f t="shared" ref="AB494:AH494" si="560">AA494</f>
        <v>*</v>
      </c>
      <c r="AC494" s="497" t="str">
        <f t="shared" si="560"/>
        <v>*</v>
      </c>
      <c r="AD494" s="497" t="str">
        <f t="shared" si="560"/>
        <v>*</v>
      </c>
      <c r="AE494" s="454" t="str">
        <f t="shared" si="560"/>
        <v>*</v>
      </c>
      <c r="AF494" s="454" t="str">
        <f t="shared" si="560"/>
        <v>*</v>
      </c>
      <c r="AG494" s="454" t="str">
        <f t="shared" si="560"/>
        <v>*</v>
      </c>
      <c r="AH494" s="454" t="str">
        <f t="shared" si="560"/>
        <v>*</v>
      </c>
    </row>
    <row r="495" spans="1:34" ht="12.75">
      <c r="A495" s="14" t="s">
        <v>3966</v>
      </c>
      <c r="B495" s="13" t="s">
        <v>2668</v>
      </c>
      <c r="C495" s="14" t="s">
        <v>2669</v>
      </c>
      <c r="D495" s="14" t="s">
        <v>2911</v>
      </c>
      <c r="E495" s="14" t="s">
        <v>3967</v>
      </c>
      <c r="F495" s="13">
        <v>40.96</v>
      </c>
      <c r="G495" s="14" t="s">
        <v>3968</v>
      </c>
      <c r="H495" s="473" t="s">
        <v>3969</v>
      </c>
      <c r="I495" s="135" t="s">
        <v>3982</v>
      </c>
      <c r="J495" s="135" t="s">
        <v>3983</v>
      </c>
      <c r="K495" s="546">
        <f t="shared" si="558"/>
        <v>0.13131313131313133</v>
      </c>
      <c r="L495" s="476">
        <v>6.63</v>
      </c>
      <c r="M495" s="477" t="s">
        <v>3983</v>
      </c>
      <c r="N495" s="477" t="s">
        <v>3972</v>
      </c>
      <c r="O495" s="494" t="s">
        <v>1624</v>
      </c>
      <c r="P495" s="135" t="s">
        <v>2962</v>
      </c>
      <c r="Q495" s="495" t="s">
        <v>2963</v>
      </c>
      <c r="R495" s="135">
        <v>5</v>
      </c>
      <c r="S495" s="135">
        <f t="shared" si="556"/>
        <v>0.33150000000000002</v>
      </c>
      <c r="T495" s="476">
        <f>SUM(R493:R495)</f>
        <v>103</v>
      </c>
      <c r="U495" s="135">
        <f t="shared" si="554"/>
        <v>4.8543689320388346</v>
      </c>
      <c r="V495" s="476">
        <f t="shared" si="523"/>
        <v>4.8543689320388346</v>
      </c>
      <c r="W495" s="135" t="s">
        <v>425</v>
      </c>
      <c r="X495" s="87">
        <f t="shared" si="555"/>
        <v>0.63744238501520056</v>
      </c>
      <c r="Y495" s="548" t="s">
        <v>1666</v>
      </c>
      <c r="Z495" s="548">
        <f>X495</f>
        <v>0.63744238501520056</v>
      </c>
      <c r="AA495" s="792">
        <f t="shared" si="552"/>
        <v>0.63744238501520056</v>
      </c>
      <c r="AB495" s="18" t="s">
        <v>2525</v>
      </c>
      <c r="AC495" s="13" t="s">
        <v>2964</v>
      </c>
      <c r="AD495" s="13" t="s">
        <v>2965</v>
      </c>
      <c r="AE495" s="12">
        <v>3.8102374934982654E-3</v>
      </c>
      <c r="AF495" s="12">
        <v>0.20470422547079484</v>
      </c>
      <c r="AG495" s="12">
        <v>1.210810810810811E-4</v>
      </c>
      <c r="AH495" s="12">
        <v>1.0002400855855065E-3</v>
      </c>
    </row>
    <row r="496" spans="1:34" ht="12.75">
      <c r="A496" s="14" t="s">
        <v>3966</v>
      </c>
      <c r="B496" s="13" t="s">
        <v>2668</v>
      </c>
      <c r="C496" s="14" t="s">
        <v>2669</v>
      </c>
      <c r="D496" s="14" t="s">
        <v>2911</v>
      </c>
      <c r="E496" s="14" t="s">
        <v>3967</v>
      </c>
      <c r="F496" s="13">
        <v>40.96</v>
      </c>
      <c r="G496" s="14" t="s">
        <v>3968</v>
      </c>
      <c r="H496" s="473" t="s">
        <v>3969</v>
      </c>
      <c r="I496" s="14" t="s">
        <v>3984</v>
      </c>
      <c r="J496" s="14" t="s">
        <v>3985</v>
      </c>
      <c r="K496" s="65">
        <f t="shared" ref="K496:K499" si="561">10/99</f>
        <v>0.10101010101010101</v>
      </c>
      <c r="L496" s="220">
        <v>3</v>
      </c>
      <c r="M496" s="13" t="s">
        <v>3985</v>
      </c>
      <c r="N496" s="13" t="s">
        <v>3972</v>
      </c>
      <c r="O496" s="480" t="s">
        <v>1624</v>
      </c>
      <c r="P496" s="655" t="s">
        <v>3978</v>
      </c>
      <c r="Q496" s="486" t="s">
        <v>3979</v>
      </c>
      <c r="R496" s="14">
        <v>50</v>
      </c>
      <c r="S496" s="14">
        <f t="shared" si="556"/>
        <v>1.5</v>
      </c>
      <c r="T496" s="487">
        <f>SUM(R496:R499)</f>
        <v>105</v>
      </c>
      <c r="U496" s="14">
        <f t="shared" si="554"/>
        <v>47.61904761904762</v>
      </c>
      <c r="V496" s="220">
        <f t="shared" si="523"/>
        <v>47.61904761904762</v>
      </c>
      <c r="W496" s="14" t="s">
        <v>2658</v>
      </c>
      <c r="X496" s="87">
        <f t="shared" si="555"/>
        <v>4.8100048100048101</v>
      </c>
      <c r="Y496" s="548" t="s">
        <v>1666</v>
      </c>
      <c r="Z496" s="220" t="s">
        <v>1666</v>
      </c>
      <c r="AA496" s="792" t="str">
        <f t="shared" si="552"/>
        <v>*</v>
      </c>
      <c r="AB496" s="458" t="str">
        <f t="shared" ref="AB496:AH496" si="562">AA496</f>
        <v>*</v>
      </c>
      <c r="AC496" s="497" t="str">
        <f t="shared" si="562"/>
        <v>*</v>
      </c>
      <c r="AD496" s="497" t="str">
        <f t="shared" si="562"/>
        <v>*</v>
      </c>
      <c r="AE496" s="454" t="str">
        <f t="shared" si="562"/>
        <v>*</v>
      </c>
      <c r="AF496" s="454" t="str">
        <f t="shared" si="562"/>
        <v>*</v>
      </c>
      <c r="AG496" s="454" t="str">
        <f t="shared" si="562"/>
        <v>*</v>
      </c>
      <c r="AH496" s="454" t="str">
        <f t="shared" si="562"/>
        <v>*</v>
      </c>
    </row>
    <row r="497" spans="1:34" ht="12.75">
      <c r="A497" s="14" t="s">
        <v>3966</v>
      </c>
      <c r="B497" s="13" t="s">
        <v>2668</v>
      </c>
      <c r="C497" s="14" t="s">
        <v>2669</v>
      </c>
      <c r="D497" s="14" t="s">
        <v>2911</v>
      </c>
      <c r="E497" s="14" t="s">
        <v>3967</v>
      </c>
      <c r="F497" s="13">
        <v>40.96</v>
      </c>
      <c r="G497" s="14" t="s">
        <v>3968</v>
      </c>
      <c r="H497" s="473" t="s">
        <v>3969</v>
      </c>
      <c r="I497" s="14" t="s">
        <v>3984</v>
      </c>
      <c r="J497" s="14" t="s">
        <v>3985</v>
      </c>
      <c r="K497" s="65">
        <f t="shared" si="561"/>
        <v>0.10101010101010101</v>
      </c>
      <c r="L497" s="220">
        <v>3</v>
      </c>
      <c r="M497" s="13" t="s">
        <v>3985</v>
      </c>
      <c r="N497" s="13" t="s">
        <v>3972</v>
      </c>
      <c r="O497" s="480" t="s">
        <v>1624</v>
      </c>
      <c r="P497" s="14" t="s">
        <v>3986</v>
      </c>
      <c r="Q497" s="486" t="s">
        <v>3987</v>
      </c>
      <c r="R497" s="14">
        <v>45</v>
      </c>
      <c r="S497" s="14">
        <f t="shared" si="556"/>
        <v>1.35</v>
      </c>
      <c r="T497" s="487">
        <f>SUM(R496:R499)</f>
        <v>105</v>
      </c>
      <c r="U497" s="14">
        <f t="shared" si="554"/>
        <v>42.857142857142854</v>
      </c>
      <c r="V497" s="220">
        <f t="shared" si="523"/>
        <v>42.857142857142854</v>
      </c>
      <c r="W497" s="14" t="s">
        <v>220</v>
      </c>
      <c r="X497" s="87">
        <f t="shared" si="555"/>
        <v>4.329004329004329</v>
      </c>
      <c r="Y497" s="548" t="s">
        <v>1666</v>
      </c>
      <c r="Z497" s="548">
        <f>X497</f>
        <v>4.329004329004329</v>
      </c>
      <c r="AA497" s="792">
        <f t="shared" si="552"/>
        <v>4.329004329004329</v>
      </c>
      <c r="AB497" s="18" t="s">
        <v>2672</v>
      </c>
      <c r="AC497" s="545" t="s">
        <v>3988</v>
      </c>
      <c r="AD497" s="13" t="s">
        <v>2979</v>
      </c>
      <c r="AE497" s="12">
        <v>1.30594189090772E-4</v>
      </c>
      <c r="AF497" s="12">
        <v>7.0161459421965505E-3</v>
      </c>
      <c r="AG497" s="12">
        <v>4.0500000000000002E-6</v>
      </c>
      <c r="AH497" s="12">
        <v>2.9762429672481003E-5</v>
      </c>
    </row>
    <row r="498" spans="1:34" ht="12.75">
      <c r="A498" s="14" t="s">
        <v>3966</v>
      </c>
      <c r="B498" s="13" t="s">
        <v>2668</v>
      </c>
      <c r="C498" s="14" t="s">
        <v>2669</v>
      </c>
      <c r="D498" s="14" t="s">
        <v>2911</v>
      </c>
      <c r="E498" s="14" t="s">
        <v>3967</v>
      </c>
      <c r="F498" s="13">
        <v>40.96</v>
      </c>
      <c r="G498" s="14" t="s">
        <v>3968</v>
      </c>
      <c r="H498" s="473" t="s">
        <v>3969</v>
      </c>
      <c r="I498" s="14" t="s">
        <v>3984</v>
      </c>
      <c r="J498" s="14" t="s">
        <v>3985</v>
      </c>
      <c r="K498" s="65">
        <f t="shared" si="561"/>
        <v>0.10101010101010101</v>
      </c>
      <c r="L498" s="220">
        <v>3</v>
      </c>
      <c r="M498" s="13" t="s">
        <v>3985</v>
      </c>
      <c r="N498" s="13" t="s">
        <v>3972</v>
      </c>
      <c r="O498" s="480" t="s">
        <v>1624</v>
      </c>
      <c r="P498" s="655" t="s">
        <v>3005</v>
      </c>
      <c r="Q498" s="486" t="s">
        <v>3006</v>
      </c>
      <c r="R498" s="14">
        <v>5</v>
      </c>
      <c r="S498" s="14">
        <f t="shared" si="556"/>
        <v>0.15000000000000002</v>
      </c>
      <c r="T498" s="487">
        <f>SUM(R496:R499)</f>
        <v>105</v>
      </c>
      <c r="U498" s="14">
        <f t="shared" si="554"/>
        <v>4.7619047619047619</v>
      </c>
      <c r="V498" s="220">
        <f t="shared" si="523"/>
        <v>4.7619047619047619</v>
      </c>
      <c r="W498" s="14" t="s">
        <v>2658</v>
      </c>
      <c r="X498" s="87">
        <f t="shared" si="555"/>
        <v>0.48100048100048098</v>
      </c>
      <c r="Y498" s="548" t="s">
        <v>1666</v>
      </c>
      <c r="Z498" s="220" t="s">
        <v>1666</v>
      </c>
      <c r="AA498" s="792" t="str">
        <f t="shared" si="552"/>
        <v>*</v>
      </c>
      <c r="AB498" s="458" t="str">
        <f t="shared" ref="AB498:AH498" si="563">AA498</f>
        <v>*</v>
      </c>
      <c r="AC498" s="497" t="str">
        <f t="shared" si="563"/>
        <v>*</v>
      </c>
      <c r="AD498" s="497" t="str">
        <f t="shared" si="563"/>
        <v>*</v>
      </c>
      <c r="AE498" s="454" t="str">
        <f t="shared" si="563"/>
        <v>*</v>
      </c>
      <c r="AF498" s="454" t="str">
        <f t="shared" si="563"/>
        <v>*</v>
      </c>
      <c r="AG498" s="454" t="str">
        <f t="shared" si="563"/>
        <v>*</v>
      </c>
      <c r="AH498" s="454" t="str">
        <f t="shared" si="563"/>
        <v>*</v>
      </c>
    </row>
    <row r="499" spans="1:34" ht="12.75">
      <c r="A499" s="14" t="s">
        <v>3966</v>
      </c>
      <c r="B499" s="13" t="s">
        <v>2668</v>
      </c>
      <c r="C499" s="14" t="s">
        <v>2669</v>
      </c>
      <c r="D499" s="14" t="s">
        <v>2911</v>
      </c>
      <c r="E499" s="14" t="s">
        <v>3967</v>
      </c>
      <c r="F499" s="13">
        <v>40.96</v>
      </c>
      <c r="G499" s="14" t="s">
        <v>3968</v>
      </c>
      <c r="H499" s="473" t="s">
        <v>3969</v>
      </c>
      <c r="I499" s="135" t="s">
        <v>3984</v>
      </c>
      <c r="J499" s="135" t="s">
        <v>3985</v>
      </c>
      <c r="K499" s="546">
        <f t="shared" si="561"/>
        <v>0.10101010101010101</v>
      </c>
      <c r="L499" s="476">
        <v>3</v>
      </c>
      <c r="M499" s="477" t="s">
        <v>3985</v>
      </c>
      <c r="N499" s="477" t="s">
        <v>3972</v>
      </c>
      <c r="O499" s="494" t="s">
        <v>1624</v>
      </c>
      <c r="P499" s="135" t="s">
        <v>3041</v>
      </c>
      <c r="Q499" s="495" t="s">
        <v>3089</v>
      </c>
      <c r="R499" s="135">
        <v>5</v>
      </c>
      <c r="S499" s="135">
        <f t="shared" si="556"/>
        <v>0.15000000000000002</v>
      </c>
      <c r="T499" s="476">
        <f>SUM(R496:R499)</f>
        <v>105</v>
      </c>
      <c r="U499" s="135">
        <f t="shared" si="554"/>
        <v>4.7619047619047619</v>
      </c>
      <c r="V499" s="476">
        <f t="shared" si="523"/>
        <v>4.7619047619047619</v>
      </c>
      <c r="W499" s="135" t="s">
        <v>81</v>
      </c>
      <c r="X499" s="87">
        <f t="shared" si="555"/>
        <v>0.48100048100048098</v>
      </c>
      <c r="Y499" s="549">
        <f>X499</f>
        <v>0.48100048100048098</v>
      </c>
      <c r="Z499" s="548">
        <f>X499</f>
        <v>0.48100048100048098</v>
      </c>
      <c r="AA499" s="792">
        <f t="shared" si="552"/>
        <v>0.48100048100048098</v>
      </c>
      <c r="AB499" s="18" t="s">
        <v>81</v>
      </c>
      <c r="AC499" s="13" t="s">
        <v>18</v>
      </c>
      <c r="AD499" s="13" t="s">
        <v>18</v>
      </c>
      <c r="AE499" s="12">
        <v>1.9912385503783353E-2</v>
      </c>
      <c r="AF499" s="12">
        <v>5.6949422540820388E-2</v>
      </c>
      <c r="AG499" s="12">
        <v>3.8829151732377542E-3</v>
      </c>
      <c r="AH499" s="12">
        <v>5.6321186778176026E-3</v>
      </c>
    </row>
    <row r="500" spans="1:34" ht="14.25">
      <c r="A500" s="14" t="s">
        <v>3966</v>
      </c>
      <c r="B500" s="13" t="s">
        <v>2668</v>
      </c>
      <c r="C500" s="14" t="s">
        <v>2669</v>
      </c>
      <c r="D500" s="14" t="s">
        <v>2911</v>
      </c>
      <c r="E500" s="14" t="s">
        <v>3967</v>
      </c>
      <c r="F500" s="13">
        <v>40.96</v>
      </c>
      <c r="G500" s="14" t="s">
        <v>3968</v>
      </c>
      <c r="H500" s="473" t="s">
        <v>3969</v>
      </c>
      <c r="I500" s="14" t="s">
        <v>3989</v>
      </c>
      <c r="J500" s="14" t="s">
        <v>3990</v>
      </c>
      <c r="K500" s="65">
        <f t="shared" ref="K500:K505" si="564">9/99</f>
        <v>9.0909090909090912E-2</v>
      </c>
      <c r="L500" s="220">
        <v>2.79</v>
      </c>
      <c r="M500" s="13" t="s">
        <v>3990</v>
      </c>
      <c r="N500" s="13" t="s">
        <v>3972</v>
      </c>
      <c r="O500" s="480" t="s">
        <v>1624</v>
      </c>
      <c r="P500" s="14" t="s">
        <v>3873</v>
      </c>
      <c r="Q500" s="486" t="s">
        <v>3991</v>
      </c>
      <c r="R500" s="14">
        <v>35</v>
      </c>
      <c r="S500" s="14">
        <f t="shared" si="556"/>
        <v>0.97650000000000015</v>
      </c>
      <c r="T500" s="487">
        <f>SUM(R500:R505)</f>
        <v>104</v>
      </c>
      <c r="U500" s="14">
        <f t="shared" si="554"/>
        <v>33.653846153846153</v>
      </c>
      <c r="V500" s="220">
        <f t="shared" si="523"/>
        <v>33.653846153846153</v>
      </c>
      <c r="W500" s="14" t="s">
        <v>1124</v>
      </c>
      <c r="X500" s="87">
        <f t="shared" si="555"/>
        <v>3.0594405594405596</v>
      </c>
      <c r="Y500" s="544">
        <f>SUM(X500,X511,X517,X520,X535,X541,X523)</f>
        <v>12.072203414309737</v>
      </c>
      <c r="Z500" s="544">
        <f>SUM(X500,X511,X517,X535,X541)</f>
        <v>10.127649651574156</v>
      </c>
      <c r="AA500" s="792">
        <f t="shared" si="552"/>
        <v>10.127649651574156</v>
      </c>
      <c r="AB500" s="18" t="s">
        <v>2673</v>
      </c>
      <c r="AC500" s="545" t="s">
        <v>3875</v>
      </c>
      <c r="AD500" s="13" t="s">
        <v>3876</v>
      </c>
      <c r="AE500" s="12">
        <v>2.38916680630451E-3</v>
      </c>
      <c r="AF500" s="12">
        <v>0.16192713668914901</v>
      </c>
      <c r="AG500" s="12">
        <v>4.8714285714285716E-4</v>
      </c>
      <c r="AH500" s="12">
        <v>2.358948129596642E-3</v>
      </c>
    </row>
    <row r="501" spans="1:34" ht="12.75">
      <c r="A501" s="14" t="s">
        <v>3966</v>
      </c>
      <c r="B501" s="13" t="s">
        <v>2668</v>
      </c>
      <c r="C501" s="14" t="s">
        <v>2669</v>
      </c>
      <c r="D501" s="14" t="s">
        <v>2911</v>
      </c>
      <c r="E501" s="14" t="s">
        <v>3967</v>
      </c>
      <c r="F501" s="13">
        <v>40.96</v>
      </c>
      <c r="G501" s="14" t="s">
        <v>3968</v>
      </c>
      <c r="H501" s="473" t="s">
        <v>3969</v>
      </c>
      <c r="I501" s="14" t="s">
        <v>3989</v>
      </c>
      <c r="J501" s="14" t="s">
        <v>3990</v>
      </c>
      <c r="K501" s="65">
        <f t="shared" si="564"/>
        <v>9.0909090909090912E-2</v>
      </c>
      <c r="L501" s="220">
        <v>2.79</v>
      </c>
      <c r="M501" s="13" t="s">
        <v>3990</v>
      </c>
      <c r="N501" s="13" t="s">
        <v>3972</v>
      </c>
      <c r="O501" s="480" t="s">
        <v>1624</v>
      </c>
      <c r="P501" s="655" t="s">
        <v>3978</v>
      </c>
      <c r="Q501" s="486" t="s">
        <v>3979</v>
      </c>
      <c r="R501" s="14">
        <v>25</v>
      </c>
      <c r="S501" s="14">
        <f t="shared" si="556"/>
        <v>0.69750000000000001</v>
      </c>
      <c r="T501" s="487">
        <f>SUM(R500:R505)</f>
        <v>104</v>
      </c>
      <c r="U501" s="14">
        <f t="shared" si="554"/>
        <v>24.03846153846154</v>
      </c>
      <c r="V501" s="220">
        <f t="shared" si="523"/>
        <v>24.03846153846154</v>
      </c>
      <c r="W501" s="14" t="s">
        <v>2658</v>
      </c>
      <c r="X501" s="87">
        <f t="shared" si="555"/>
        <v>2.1853146853146854</v>
      </c>
      <c r="Y501" s="548" t="s">
        <v>1666</v>
      </c>
      <c r="Z501" s="220" t="s">
        <v>1666</v>
      </c>
      <c r="AA501" s="792" t="str">
        <f t="shared" si="552"/>
        <v>*</v>
      </c>
      <c r="AB501" s="458" t="str">
        <f t="shared" ref="AB501:AH501" si="565">AA501</f>
        <v>*</v>
      </c>
      <c r="AC501" s="497" t="str">
        <f t="shared" si="565"/>
        <v>*</v>
      </c>
      <c r="AD501" s="497" t="str">
        <f t="shared" si="565"/>
        <v>*</v>
      </c>
      <c r="AE501" s="454" t="str">
        <f t="shared" si="565"/>
        <v>*</v>
      </c>
      <c r="AF501" s="454" t="str">
        <f t="shared" si="565"/>
        <v>*</v>
      </c>
      <c r="AG501" s="454" t="str">
        <f t="shared" si="565"/>
        <v>*</v>
      </c>
      <c r="AH501" s="454" t="str">
        <f t="shared" si="565"/>
        <v>*</v>
      </c>
    </row>
    <row r="502" spans="1:34" ht="12.75">
      <c r="A502" s="14" t="s">
        <v>3966</v>
      </c>
      <c r="B502" s="13" t="s">
        <v>2668</v>
      </c>
      <c r="C502" s="14" t="s">
        <v>2669</v>
      </c>
      <c r="D502" s="14" t="s">
        <v>2911</v>
      </c>
      <c r="E502" s="14" t="s">
        <v>3967</v>
      </c>
      <c r="F502" s="13">
        <v>40.96</v>
      </c>
      <c r="G502" s="14" t="s">
        <v>3968</v>
      </c>
      <c r="H502" s="473" t="s">
        <v>3969</v>
      </c>
      <c r="I502" s="14" t="s">
        <v>3989</v>
      </c>
      <c r="J502" s="14" t="s">
        <v>3990</v>
      </c>
      <c r="K502" s="65">
        <f t="shared" si="564"/>
        <v>9.0909090909090912E-2</v>
      </c>
      <c r="L502" s="220">
        <v>2.79</v>
      </c>
      <c r="M502" s="13" t="s">
        <v>3990</v>
      </c>
      <c r="N502" s="13" t="s">
        <v>3972</v>
      </c>
      <c r="O502" s="480" t="s">
        <v>1624</v>
      </c>
      <c r="P502" s="14" t="s">
        <v>2945</v>
      </c>
      <c r="Q502" s="486" t="s">
        <v>2946</v>
      </c>
      <c r="R502" s="14">
        <v>24</v>
      </c>
      <c r="S502" s="14">
        <f t="shared" si="556"/>
        <v>0.66959999999999997</v>
      </c>
      <c r="T502" s="487">
        <f>SUM(R500:R505)</f>
        <v>104</v>
      </c>
      <c r="U502" s="14">
        <f t="shared" si="554"/>
        <v>23.076923076923077</v>
      </c>
      <c r="V502" s="220">
        <f t="shared" si="523"/>
        <v>23.076923076923077</v>
      </c>
      <c r="W502" s="14" t="s">
        <v>433</v>
      </c>
      <c r="X502" s="87">
        <f t="shared" si="555"/>
        <v>2.0979020979020979</v>
      </c>
      <c r="Y502" s="548" t="s">
        <v>1666</v>
      </c>
      <c r="Z502" s="220" t="s">
        <v>1666</v>
      </c>
      <c r="AA502" s="792" t="str">
        <f t="shared" si="552"/>
        <v>*</v>
      </c>
      <c r="AB502" s="458" t="str">
        <f t="shared" ref="AB502:AH502" si="566">AA502</f>
        <v>*</v>
      </c>
      <c r="AC502" s="497" t="str">
        <f t="shared" si="566"/>
        <v>*</v>
      </c>
      <c r="AD502" s="497" t="str">
        <f t="shared" si="566"/>
        <v>*</v>
      </c>
      <c r="AE502" s="454" t="str">
        <f t="shared" si="566"/>
        <v>*</v>
      </c>
      <c r="AF502" s="454" t="str">
        <f t="shared" si="566"/>
        <v>*</v>
      </c>
      <c r="AG502" s="454" t="str">
        <f t="shared" si="566"/>
        <v>*</v>
      </c>
      <c r="AH502" s="454" t="str">
        <f t="shared" si="566"/>
        <v>*</v>
      </c>
    </row>
    <row r="503" spans="1:34" ht="12.75">
      <c r="A503" s="14" t="s">
        <v>3966</v>
      </c>
      <c r="B503" s="13" t="s">
        <v>2668</v>
      </c>
      <c r="C503" s="14" t="s">
        <v>2669</v>
      </c>
      <c r="D503" s="14" t="s">
        <v>2911</v>
      </c>
      <c r="E503" s="14" t="s">
        <v>3967</v>
      </c>
      <c r="F503" s="13">
        <v>40.96</v>
      </c>
      <c r="G503" s="14" t="s">
        <v>3968</v>
      </c>
      <c r="H503" s="473" t="s">
        <v>3969</v>
      </c>
      <c r="I503" s="14" t="s">
        <v>3989</v>
      </c>
      <c r="J503" s="14" t="s">
        <v>3990</v>
      </c>
      <c r="K503" s="65">
        <f t="shared" si="564"/>
        <v>9.0909090909090912E-2</v>
      </c>
      <c r="L503" s="220">
        <v>2.79</v>
      </c>
      <c r="M503" s="13" t="s">
        <v>3990</v>
      </c>
      <c r="N503" s="13" t="s">
        <v>3972</v>
      </c>
      <c r="O503" s="480" t="s">
        <v>1624</v>
      </c>
      <c r="P503" s="14" t="s">
        <v>214</v>
      </c>
      <c r="Q503" s="486" t="s">
        <v>3980</v>
      </c>
      <c r="R503" s="14">
        <v>10</v>
      </c>
      <c r="S503" s="14">
        <f t="shared" si="556"/>
        <v>0.27900000000000003</v>
      </c>
      <c r="T503" s="487">
        <f>SUM(R500:R505)</f>
        <v>104</v>
      </c>
      <c r="U503" s="14">
        <f t="shared" si="554"/>
        <v>9.615384615384615</v>
      </c>
      <c r="V503" s="220">
        <f t="shared" si="523"/>
        <v>9.615384615384615</v>
      </c>
      <c r="W503" s="14" t="s">
        <v>214</v>
      </c>
      <c r="X503" s="87">
        <f t="shared" si="555"/>
        <v>0.87412587412587406</v>
      </c>
      <c r="Y503" s="548" t="s">
        <v>1666</v>
      </c>
      <c r="Z503" s="220" t="s">
        <v>1666</v>
      </c>
      <c r="AA503" s="792" t="str">
        <f t="shared" si="552"/>
        <v>*</v>
      </c>
      <c r="AB503" s="458" t="str">
        <f t="shared" ref="AB503:AH503" si="567">AA503</f>
        <v>*</v>
      </c>
      <c r="AC503" s="497" t="str">
        <f t="shared" si="567"/>
        <v>*</v>
      </c>
      <c r="AD503" s="497" t="str">
        <f t="shared" si="567"/>
        <v>*</v>
      </c>
      <c r="AE503" s="454" t="str">
        <f t="shared" si="567"/>
        <v>*</v>
      </c>
      <c r="AF503" s="454" t="str">
        <f t="shared" si="567"/>
        <v>*</v>
      </c>
      <c r="AG503" s="454" t="str">
        <f t="shared" si="567"/>
        <v>*</v>
      </c>
      <c r="AH503" s="454" t="str">
        <f t="shared" si="567"/>
        <v>*</v>
      </c>
    </row>
    <row r="504" spans="1:34" ht="12.75">
      <c r="A504" s="14" t="s">
        <v>3966</v>
      </c>
      <c r="B504" s="13" t="s">
        <v>2668</v>
      </c>
      <c r="C504" s="14" t="s">
        <v>2669</v>
      </c>
      <c r="D504" s="14" t="s">
        <v>2911</v>
      </c>
      <c r="E504" s="14" t="s">
        <v>3967</v>
      </c>
      <c r="F504" s="13">
        <v>40.96</v>
      </c>
      <c r="G504" s="14" t="s">
        <v>3968</v>
      </c>
      <c r="H504" s="473" t="s">
        <v>3969</v>
      </c>
      <c r="I504" s="14" t="s">
        <v>3989</v>
      </c>
      <c r="J504" s="14" t="s">
        <v>3990</v>
      </c>
      <c r="K504" s="65">
        <f t="shared" si="564"/>
        <v>9.0909090909090912E-2</v>
      </c>
      <c r="L504" s="220">
        <v>2.79</v>
      </c>
      <c r="M504" s="13" t="s">
        <v>3990</v>
      </c>
      <c r="N504" s="13" t="s">
        <v>3972</v>
      </c>
      <c r="O504" s="480" t="s">
        <v>1624</v>
      </c>
      <c r="P504" s="14" t="s">
        <v>3097</v>
      </c>
      <c r="Q504" s="486" t="s">
        <v>3098</v>
      </c>
      <c r="R504" s="14">
        <v>5</v>
      </c>
      <c r="S504" s="14">
        <f t="shared" si="556"/>
        <v>0.13950000000000001</v>
      </c>
      <c r="T504" s="487">
        <f>SUM(R500:R505)</f>
        <v>104</v>
      </c>
      <c r="U504" s="14">
        <f t="shared" si="554"/>
        <v>4.8076923076923075</v>
      </c>
      <c r="V504" s="220">
        <f t="shared" si="523"/>
        <v>4.8076923076923075</v>
      </c>
      <c r="W504" s="14" t="s">
        <v>201</v>
      </c>
      <c r="X504" s="87">
        <f t="shared" si="555"/>
        <v>0.43706293706293703</v>
      </c>
      <c r="Y504" s="549">
        <f t="shared" ref="Y504:AA504" si="568">X504</f>
        <v>0.43706293706293703</v>
      </c>
      <c r="Z504" s="548">
        <f t="shared" si="568"/>
        <v>0.43706293706293703</v>
      </c>
      <c r="AA504" s="792">
        <f t="shared" si="568"/>
        <v>0.43706293706293703</v>
      </c>
      <c r="AB504" s="18" t="s">
        <v>201</v>
      </c>
      <c r="AC504" s="13" t="s">
        <v>3097</v>
      </c>
      <c r="AD504" s="13" t="s">
        <v>3099</v>
      </c>
      <c r="AE504" s="12">
        <v>4.18475450981867E-4</v>
      </c>
      <c r="AF504" s="12">
        <v>8.6483234472969298E-3</v>
      </c>
      <c r="AG504" s="12">
        <v>1.2528735632183908E-4</v>
      </c>
      <c r="AH504" s="12">
        <v>3.0408612692190031E-4</v>
      </c>
    </row>
    <row r="505" spans="1:34" ht="12.75">
      <c r="A505" s="14" t="s">
        <v>3966</v>
      </c>
      <c r="B505" s="13" t="s">
        <v>2668</v>
      </c>
      <c r="C505" s="14" t="s">
        <v>2669</v>
      </c>
      <c r="D505" s="14" t="s">
        <v>2911</v>
      </c>
      <c r="E505" s="14" t="s">
        <v>3967</v>
      </c>
      <c r="F505" s="13">
        <v>40.96</v>
      </c>
      <c r="G505" s="14" t="s">
        <v>3968</v>
      </c>
      <c r="H505" s="473" t="s">
        <v>3969</v>
      </c>
      <c r="I505" s="135" t="s">
        <v>3989</v>
      </c>
      <c r="J505" s="135" t="s">
        <v>3990</v>
      </c>
      <c r="K505" s="546">
        <f t="shared" si="564"/>
        <v>9.0909090909090912E-2</v>
      </c>
      <c r="L505" s="476">
        <v>2.79</v>
      </c>
      <c r="M505" s="477" t="s">
        <v>3990</v>
      </c>
      <c r="N505" s="477" t="s">
        <v>3972</v>
      </c>
      <c r="O505" s="494" t="s">
        <v>1624</v>
      </c>
      <c r="P505" s="135" t="s">
        <v>3992</v>
      </c>
      <c r="Q505" s="495" t="s">
        <v>3009</v>
      </c>
      <c r="R505" s="135">
        <v>5</v>
      </c>
      <c r="S505" s="135">
        <f t="shared" si="556"/>
        <v>0.13950000000000001</v>
      </c>
      <c r="T505" s="476">
        <f>SUM(R500:R505)</f>
        <v>104</v>
      </c>
      <c r="U505" s="135">
        <f t="shared" si="554"/>
        <v>4.8076923076923075</v>
      </c>
      <c r="V505" s="476">
        <f t="shared" si="523"/>
        <v>4.8076923076923075</v>
      </c>
      <c r="W505" s="135" t="s">
        <v>433</v>
      </c>
      <c r="X505" s="87">
        <f t="shared" si="555"/>
        <v>0.43706293706293703</v>
      </c>
      <c r="Y505" s="548" t="s">
        <v>1666</v>
      </c>
      <c r="Z505" s="220" t="s">
        <v>1666</v>
      </c>
      <c r="AA505" s="792" t="str">
        <f t="shared" ref="AA505:AH505" si="569">Z505</f>
        <v>*</v>
      </c>
      <c r="AB505" s="458" t="str">
        <f t="shared" si="569"/>
        <v>*</v>
      </c>
      <c r="AC505" s="497" t="str">
        <f t="shared" si="569"/>
        <v>*</v>
      </c>
      <c r="AD505" s="497" t="str">
        <f t="shared" si="569"/>
        <v>*</v>
      </c>
      <c r="AE505" s="454" t="str">
        <f t="shared" si="569"/>
        <v>*</v>
      </c>
      <c r="AF505" s="454" t="str">
        <f t="shared" si="569"/>
        <v>*</v>
      </c>
      <c r="AG505" s="454" t="str">
        <f t="shared" si="569"/>
        <v>*</v>
      </c>
      <c r="AH505" s="454" t="str">
        <f t="shared" si="569"/>
        <v>*</v>
      </c>
    </row>
    <row r="506" spans="1:34" ht="12.75">
      <c r="A506" s="14" t="s">
        <v>3966</v>
      </c>
      <c r="B506" s="13" t="s">
        <v>2668</v>
      </c>
      <c r="C506" s="14" t="s">
        <v>2669</v>
      </c>
      <c r="D506" s="14" t="s">
        <v>2911</v>
      </c>
      <c r="E506" s="14" t="s">
        <v>3967</v>
      </c>
      <c r="F506" s="13">
        <v>40.96</v>
      </c>
      <c r="G506" s="14" t="s">
        <v>3968</v>
      </c>
      <c r="H506" s="473" t="s">
        <v>3969</v>
      </c>
      <c r="I506" s="14" t="s">
        <v>3993</v>
      </c>
      <c r="J506" s="14" t="s">
        <v>3994</v>
      </c>
      <c r="K506" s="65">
        <f t="shared" ref="K506:K512" si="570">7/99</f>
        <v>7.0707070707070704E-2</v>
      </c>
      <c r="L506" s="220">
        <v>2.98</v>
      </c>
      <c r="M506" s="13" t="s">
        <v>3994</v>
      </c>
      <c r="N506" s="13" t="s">
        <v>3972</v>
      </c>
      <c r="O506" s="480" t="s">
        <v>1624</v>
      </c>
      <c r="P506" s="655" t="s">
        <v>3995</v>
      </c>
      <c r="Q506" s="486" t="s">
        <v>3996</v>
      </c>
      <c r="R506" s="14">
        <v>15</v>
      </c>
      <c r="S506" s="14">
        <f t="shared" si="556"/>
        <v>0.44700000000000001</v>
      </c>
      <c r="T506" s="487">
        <f>SUM(R506:R510)</f>
        <v>69</v>
      </c>
      <c r="U506" s="14">
        <f t="shared" si="554"/>
        <v>21.739130434782609</v>
      </c>
      <c r="V506" s="220">
        <f t="shared" si="523"/>
        <v>21.739130434782609</v>
      </c>
      <c r="W506" s="14" t="s">
        <v>1095</v>
      </c>
      <c r="X506" s="87">
        <f t="shared" si="555"/>
        <v>1.5371102327624067</v>
      </c>
      <c r="Y506" s="548" t="s">
        <v>1666</v>
      </c>
      <c r="Z506" s="220" t="s">
        <v>1666</v>
      </c>
      <c r="AA506" s="792" t="str">
        <f t="shared" ref="AA506:AH506" si="571">Z506</f>
        <v>*</v>
      </c>
      <c r="AB506" s="458" t="str">
        <f t="shared" si="571"/>
        <v>*</v>
      </c>
      <c r="AC506" s="497" t="str">
        <f t="shared" si="571"/>
        <v>*</v>
      </c>
      <c r="AD506" s="497" t="str">
        <f t="shared" si="571"/>
        <v>*</v>
      </c>
      <c r="AE506" s="454" t="str">
        <f t="shared" si="571"/>
        <v>*</v>
      </c>
      <c r="AF506" s="454" t="str">
        <f t="shared" si="571"/>
        <v>*</v>
      </c>
      <c r="AG506" s="454" t="str">
        <f t="shared" si="571"/>
        <v>*</v>
      </c>
      <c r="AH506" s="454" t="str">
        <f t="shared" si="571"/>
        <v>*</v>
      </c>
    </row>
    <row r="507" spans="1:34" ht="12.75">
      <c r="A507" s="14" t="s">
        <v>3966</v>
      </c>
      <c r="B507" s="13" t="s">
        <v>2668</v>
      </c>
      <c r="C507" s="14" t="s">
        <v>2669</v>
      </c>
      <c r="D507" s="14" t="s">
        <v>2911</v>
      </c>
      <c r="E507" s="14" t="s">
        <v>3967</v>
      </c>
      <c r="F507" s="13">
        <v>40.96</v>
      </c>
      <c r="G507" s="14" t="s">
        <v>3968</v>
      </c>
      <c r="H507" s="473" t="s">
        <v>3969</v>
      </c>
      <c r="I507" s="14" t="s">
        <v>3993</v>
      </c>
      <c r="J507" s="14" t="s">
        <v>3994</v>
      </c>
      <c r="K507" s="65">
        <f t="shared" si="570"/>
        <v>7.0707070707070704E-2</v>
      </c>
      <c r="L507" s="220">
        <v>2.98</v>
      </c>
      <c r="M507" s="13" t="s">
        <v>3994</v>
      </c>
      <c r="N507" s="13" t="s">
        <v>3972</v>
      </c>
      <c r="O507" s="480" t="s">
        <v>1624</v>
      </c>
      <c r="P507" s="14" t="s">
        <v>232</v>
      </c>
      <c r="Q507" s="486" t="s">
        <v>3997</v>
      </c>
      <c r="R507" s="14">
        <v>15</v>
      </c>
      <c r="S507" s="14">
        <f t="shared" si="556"/>
        <v>0.44700000000000001</v>
      </c>
      <c r="T507" s="487">
        <f>SUM(R506:R510)</f>
        <v>69</v>
      </c>
      <c r="U507" s="14">
        <f t="shared" si="554"/>
        <v>21.739130434782609</v>
      </c>
      <c r="V507" s="220">
        <f t="shared" si="523"/>
        <v>21.739130434782609</v>
      </c>
      <c r="W507" s="14" t="s">
        <v>232</v>
      </c>
      <c r="X507" s="87">
        <f t="shared" si="555"/>
        <v>1.5371102327624067</v>
      </c>
      <c r="Y507" s="548" t="s">
        <v>1666</v>
      </c>
      <c r="Z507" s="220" t="s">
        <v>1666</v>
      </c>
      <c r="AA507" s="792" t="str">
        <f t="shared" ref="AA507:AH507" si="572">Z507</f>
        <v>*</v>
      </c>
      <c r="AB507" s="458" t="str">
        <f t="shared" si="572"/>
        <v>*</v>
      </c>
      <c r="AC507" s="497" t="str">
        <f t="shared" si="572"/>
        <v>*</v>
      </c>
      <c r="AD507" s="497" t="str">
        <f t="shared" si="572"/>
        <v>*</v>
      </c>
      <c r="AE507" s="454" t="str">
        <f t="shared" si="572"/>
        <v>*</v>
      </c>
      <c r="AF507" s="454" t="str">
        <f t="shared" si="572"/>
        <v>*</v>
      </c>
      <c r="AG507" s="454" t="str">
        <f t="shared" si="572"/>
        <v>*</v>
      </c>
      <c r="AH507" s="454" t="str">
        <f t="shared" si="572"/>
        <v>*</v>
      </c>
    </row>
    <row r="508" spans="1:34" ht="12.75">
      <c r="A508" s="14" t="s">
        <v>3966</v>
      </c>
      <c r="B508" s="13" t="s">
        <v>2668</v>
      </c>
      <c r="C508" s="14" t="s">
        <v>2669</v>
      </c>
      <c r="D508" s="14" t="s">
        <v>2911</v>
      </c>
      <c r="E508" s="14" t="s">
        <v>3967</v>
      </c>
      <c r="F508" s="13">
        <v>40.96</v>
      </c>
      <c r="G508" s="14" t="s">
        <v>3968</v>
      </c>
      <c r="H508" s="473" t="s">
        <v>3969</v>
      </c>
      <c r="I508" s="14" t="s">
        <v>3993</v>
      </c>
      <c r="J508" s="14" t="s">
        <v>3994</v>
      </c>
      <c r="K508" s="65">
        <f t="shared" si="570"/>
        <v>7.0707070707070704E-2</v>
      </c>
      <c r="L508" s="220">
        <v>2.98</v>
      </c>
      <c r="M508" s="13" t="s">
        <v>3994</v>
      </c>
      <c r="N508" s="13" t="s">
        <v>3972</v>
      </c>
      <c r="O508" s="480" t="s">
        <v>1624</v>
      </c>
      <c r="P508" s="655" t="s">
        <v>3978</v>
      </c>
      <c r="Q508" s="486" t="s">
        <v>3979</v>
      </c>
      <c r="R508" s="14">
        <v>22</v>
      </c>
      <c r="S508" s="14">
        <f t="shared" si="556"/>
        <v>0.65559999999999996</v>
      </c>
      <c r="T508" s="487">
        <f>SUM(R506:R510)</f>
        <v>69</v>
      </c>
      <c r="U508" s="14">
        <f t="shared" si="554"/>
        <v>31.884057971014492</v>
      </c>
      <c r="V508" s="220">
        <f t="shared" si="523"/>
        <v>31.884057971014492</v>
      </c>
      <c r="W508" s="14" t="s">
        <v>2658</v>
      </c>
      <c r="X508" s="87">
        <f t="shared" si="555"/>
        <v>2.2544283413848629</v>
      </c>
      <c r="Y508" s="548" t="s">
        <v>1666</v>
      </c>
      <c r="Z508" s="220" t="s">
        <v>1666</v>
      </c>
      <c r="AA508" s="792" t="str">
        <f t="shared" ref="AA508:AH508" si="573">Z508</f>
        <v>*</v>
      </c>
      <c r="AB508" s="458" t="str">
        <f t="shared" si="573"/>
        <v>*</v>
      </c>
      <c r="AC508" s="497" t="str">
        <f t="shared" si="573"/>
        <v>*</v>
      </c>
      <c r="AD508" s="497" t="str">
        <f t="shared" si="573"/>
        <v>*</v>
      </c>
      <c r="AE508" s="454" t="str">
        <f t="shared" si="573"/>
        <v>*</v>
      </c>
      <c r="AF508" s="454" t="str">
        <f t="shared" si="573"/>
        <v>*</v>
      </c>
      <c r="AG508" s="454" t="str">
        <f t="shared" si="573"/>
        <v>*</v>
      </c>
      <c r="AH508" s="454" t="str">
        <f t="shared" si="573"/>
        <v>*</v>
      </c>
    </row>
    <row r="509" spans="1:34" ht="12.75">
      <c r="A509" s="14" t="s">
        <v>3966</v>
      </c>
      <c r="B509" s="13" t="s">
        <v>2668</v>
      </c>
      <c r="C509" s="14" t="s">
        <v>2669</v>
      </c>
      <c r="D509" s="14" t="s">
        <v>2911</v>
      </c>
      <c r="E509" s="14" t="s">
        <v>3967</v>
      </c>
      <c r="F509" s="13">
        <v>40.96</v>
      </c>
      <c r="G509" s="14" t="s">
        <v>3968</v>
      </c>
      <c r="H509" s="473" t="s">
        <v>3969</v>
      </c>
      <c r="I509" s="14" t="s">
        <v>3993</v>
      </c>
      <c r="J509" s="14" t="s">
        <v>3994</v>
      </c>
      <c r="K509" s="65">
        <f t="shared" si="570"/>
        <v>7.0707070707070704E-2</v>
      </c>
      <c r="L509" s="220">
        <v>2.98</v>
      </c>
      <c r="M509" s="13" t="s">
        <v>3994</v>
      </c>
      <c r="N509" s="13" t="s">
        <v>3972</v>
      </c>
      <c r="O509" s="480" t="s">
        <v>1624</v>
      </c>
      <c r="P509" s="14" t="s">
        <v>2945</v>
      </c>
      <c r="Q509" s="486" t="s">
        <v>2946</v>
      </c>
      <c r="R509" s="14">
        <v>12</v>
      </c>
      <c r="S509" s="14">
        <f t="shared" si="556"/>
        <v>0.35759999999999997</v>
      </c>
      <c r="T509" s="487">
        <f>SUM(R506:R510)</f>
        <v>69</v>
      </c>
      <c r="U509" s="14">
        <f t="shared" si="554"/>
        <v>17.391304347826086</v>
      </c>
      <c r="V509" s="220">
        <f t="shared" si="523"/>
        <v>17.391304347826086</v>
      </c>
      <c r="W509" s="14" t="s">
        <v>433</v>
      </c>
      <c r="X509" s="87">
        <f t="shared" si="555"/>
        <v>1.2296881862099251</v>
      </c>
      <c r="Y509" s="548" t="s">
        <v>1666</v>
      </c>
      <c r="Z509" s="220" t="s">
        <v>1666</v>
      </c>
      <c r="AA509" s="792" t="str">
        <f t="shared" ref="AA509:AH509" si="574">Z509</f>
        <v>*</v>
      </c>
      <c r="AB509" s="458" t="str">
        <f t="shared" si="574"/>
        <v>*</v>
      </c>
      <c r="AC509" s="497" t="str">
        <f t="shared" si="574"/>
        <v>*</v>
      </c>
      <c r="AD509" s="497" t="str">
        <f t="shared" si="574"/>
        <v>*</v>
      </c>
      <c r="AE509" s="454" t="str">
        <f t="shared" si="574"/>
        <v>*</v>
      </c>
      <c r="AF509" s="454" t="str">
        <f t="shared" si="574"/>
        <v>*</v>
      </c>
      <c r="AG509" s="454" t="str">
        <f t="shared" si="574"/>
        <v>*</v>
      </c>
      <c r="AH509" s="454" t="str">
        <f t="shared" si="574"/>
        <v>*</v>
      </c>
    </row>
    <row r="510" spans="1:34" ht="12.75">
      <c r="A510" s="14" t="s">
        <v>3966</v>
      </c>
      <c r="B510" s="13" t="s">
        <v>2668</v>
      </c>
      <c r="C510" s="14" t="s">
        <v>2669</v>
      </c>
      <c r="D510" s="14" t="s">
        <v>2911</v>
      </c>
      <c r="E510" s="14" t="s">
        <v>3967</v>
      </c>
      <c r="F510" s="13">
        <v>40.96</v>
      </c>
      <c r="G510" s="14" t="s">
        <v>3968</v>
      </c>
      <c r="H510" s="473" t="s">
        <v>3969</v>
      </c>
      <c r="I510" s="135" t="s">
        <v>3993</v>
      </c>
      <c r="J510" s="135" t="s">
        <v>3994</v>
      </c>
      <c r="K510" s="546">
        <f t="shared" si="570"/>
        <v>7.0707070707070704E-2</v>
      </c>
      <c r="L510" s="476">
        <v>2.98</v>
      </c>
      <c r="M510" s="477" t="s">
        <v>3994</v>
      </c>
      <c r="N510" s="477" t="s">
        <v>3972</v>
      </c>
      <c r="O510" s="494" t="s">
        <v>1624</v>
      </c>
      <c r="P510" s="135" t="s">
        <v>3973</v>
      </c>
      <c r="Q510" s="495" t="s">
        <v>3998</v>
      </c>
      <c r="R510" s="135">
        <v>5</v>
      </c>
      <c r="S510" s="135">
        <f t="shared" si="556"/>
        <v>0.14899999999999999</v>
      </c>
      <c r="T510" s="476">
        <f>SUM(R506:R510)</f>
        <v>69</v>
      </c>
      <c r="U510" s="135">
        <f t="shared" si="554"/>
        <v>7.2463768115942031</v>
      </c>
      <c r="V510" s="476">
        <f t="shared" si="523"/>
        <v>7.2463768115942031</v>
      </c>
      <c r="W510" s="135" t="s">
        <v>1112</v>
      </c>
      <c r="X510" s="87">
        <f t="shared" si="555"/>
        <v>0.51237007758746889</v>
      </c>
      <c r="Y510" s="548" t="s">
        <v>1666</v>
      </c>
      <c r="Z510" s="220" t="s">
        <v>1666</v>
      </c>
      <c r="AA510" s="792" t="str">
        <f t="shared" ref="AA510:AH510" si="575">Z510</f>
        <v>*</v>
      </c>
      <c r="AB510" s="458" t="str">
        <f t="shared" si="575"/>
        <v>*</v>
      </c>
      <c r="AC510" s="497" t="str">
        <f t="shared" si="575"/>
        <v>*</v>
      </c>
      <c r="AD510" s="497" t="str">
        <f t="shared" si="575"/>
        <v>*</v>
      </c>
      <c r="AE510" s="454" t="str">
        <f t="shared" si="575"/>
        <v>*</v>
      </c>
      <c r="AF510" s="454" t="str">
        <f t="shared" si="575"/>
        <v>*</v>
      </c>
      <c r="AG510" s="454" t="str">
        <f t="shared" si="575"/>
        <v>*</v>
      </c>
      <c r="AH510" s="454" t="str">
        <f t="shared" si="575"/>
        <v>*</v>
      </c>
    </row>
    <row r="511" spans="1:34" ht="12.75">
      <c r="A511" s="14" t="s">
        <v>3966</v>
      </c>
      <c r="B511" s="13" t="s">
        <v>2668</v>
      </c>
      <c r="C511" s="14" t="s">
        <v>2669</v>
      </c>
      <c r="D511" s="14" t="s">
        <v>2911</v>
      </c>
      <c r="E511" s="14" t="s">
        <v>3967</v>
      </c>
      <c r="F511" s="13">
        <v>40.96</v>
      </c>
      <c r="G511" s="14" t="s">
        <v>3968</v>
      </c>
      <c r="H511" s="473" t="s">
        <v>3969</v>
      </c>
      <c r="I511" s="14" t="s">
        <v>3999</v>
      </c>
      <c r="J511" s="14" t="s">
        <v>4000</v>
      </c>
      <c r="K511" s="65">
        <f t="shared" si="570"/>
        <v>7.0707070707070704E-2</v>
      </c>
      <c r="L511" s="220">
        <v>1.85</v>
      </c>
      <c r="M511" s="13" t="s">
        <v>4000</v>
      </c>
      <c r="N511" s="13" t="s">
        <v>3972</v>
      </c>
      <c r="O511" s="14" t="s">
        <v>4001</v>
      </c>
      <c r="P511" s="14" t="s">
        <v>4002</v>
      </c>
      <c r="Q511" s="486" t="s">
        <v>4003</v>
      </c>
      <c r="R511" s="14">
        <v>85</v>
      </c>
      <c r="S511" s="14">
        <f t="shared" si="556"/>
        <v>1.5725</v>
      </c>
      <c r="T511" s="487">
        <f>SUM(R511:R512)</f>
        <v>97</v>
      </c>
      <c r="U511" s="14">
        <f t="shared" si="554"/>
        <v>87.628865979381445</v>
      </c>
      <c r="V511" s="220">
        <f t="shared" si="523"/>
        <v>87.628865979381445</v>
      </c>
      <c r="W511" s="14" t="s">
        <v>1122</v>
      </c>
      <c r="X511" s="87">
        <f t="shared" si="555"/>
        <v>6.1959804227845465</v>
      </c>
      <c r="Y511" s="548" t="s">
        <v>1666</v>
      </c>
      <c r="Z511" s="220" t="s">
        <v>1666</v>
      </c>
      <c r="AA511" s="792" t="str">
        <f t="shared" ref="AA511:AH511" si="576">Z511</f>
        <v>*</v>
      </c>
      <c r="AB511" s="458" t="str">
        <f t="shared" si="576"/>
        <v>*</v>
      </c>
      <c r="AC511" s="497" t="str">
        <f t="shared" si="576"/>
        <v>*</v>
      </c>
      <c r="AD511" s="497" t="str">
        <f t="shared" si="576"/>
        <v>*</v>
      </c>
      <c r="AE511" s="454" t="str">
        <f t="shared" si="576"/>
        <v>*</v>
      </c>
      <c r="AF511" s="454" t="str">
        <f t="shared" si="576"/>
        <v>*</v>
      </c>
      <c r="AG511" s="454" t="str">
        <f t="shared" si="576"/>
        <v>*</v>
      </c>
      <c r="AH511" s="454" t="str">
        <f t="shared" si="576"/>
        <v>*</v>
      </c>
    </row>
    <row r="512" spans="1:34" ht="12.75">
      <c r="A512" s="14" t="s">
        <v>3966</v>
      </c>
      <c r="B512" s="13" t="s">
        <v>2668</v>
      </c>
      <c r="C512" s="14" t="s">
        <v>2669</v>
      </c>
      <c r="D512" s="14" t="s">
        <v>2911</v>
      </c>
      <c r="E512" s="14" t="s">
        <v>3967</v>
      </c>
      <c r="F512" s="13">
        <v>40.96</v>
      </c>
      <c r="G512" s="14" t="s">
        <v>3968</v>
      </c>
      <c r="H512" s="473" t="s">
        <v>3969</v>
      </c>
      <c r="I512" s="135" t="s">
        <v>3999</v>
      </c>
      <c r="J512" s="135" t="s">
        <v>4000</v>
      </c>
      <c r="K512" s="546">
        <f t="shared" si="570"/>
        <v>7.0707070707070704E-2</v>
      </c>
      <c r="L512" s="476">
        <v>1.85</v>
      </c>
      <c r="M512" s="477" t="s">
        <v>4000</v>
      </c>
      <c r="N512" s="477" t="s">
        <v>3972</v>
      </c>
      <c r="O512" s="135" t="s">
        <v>4001</v>
      </c>
      <c r="P512" s="135" t="s">
        <v>2945</v>
      </c>
      <c r="Q512" s="495" t="s">
        <v>4004</v>
      </c>
      <c r="R512" s="135">
        <v>12</v>
      </c>
      <c r="S512" s="135">
        <f t="shared" si="556"/>
        <v>0.222</v>
      </c>
      <c r="T512" s="476">
        <f>SUM(R511:R512)</f>
        <v>97</v>
      </c>
      <c r="U512" s="135">
        <f t="shared" si="554"/>
        <v>12.371134020618557</v>
      </c>
      <c r="V512" s="476">
        <f t="shared" si="523"/>
        <v>12.371134020618557</v>
      </c>
      <c r="W512" s="135" t="s">
        <v>433</v>
      </c>
      <c r="X512" s="87">
        <f t="shared" si="555"/>
        <v>0.87472664792252419</v>
      </c>
      <c r="Y512" s="548" t="s">
        <v>1666</v>
      </c>
      <c r="Z512" s="220" t="s">
        <v>1666</v>
      </c>
      <c r="AA512" s="792" t="str">
        <f t="shared" ref="AA512:AH512" si="577">Z512</f>
        <v>*</v>
      </c>
      <c r="AB512" s="458" t="str">
        <f t="shared" si="577"/>
        <v>*</v>
      </c>
      <c r="AC512" s="497" t="str">
        <f t="shared" si="577"/>
        <v>*</v>
      </c>
      <c r="AD512" s="497" t="str">
        <f t="shared" si="577"/>
        <v>*</v>
      </c>
      <c r="AE512" s="454" t="str">
        <f t="shared" si="577"/>
        <v>*</v>
      </c>
      <c r="AF512" s="454" t="str">
        <f t="shared" si="577"/>
        <v>*</v>
      </c>
      <c r="AG512" s="454" t="str">
        <f t="shared" si="577"/>
        <v>*</v>
      </c>
      <c r="AH512" s="454" t="str">
        <f t="shared" si="577"/>
        <v>*</v>
      </c>
    </row>
    <row r="513" spans="1:34" ht="12.75">
      <c r="A513" s="14" t="s">
        <v>3966</v>
      </c>
      <c r="B513" s="13" t="s">
        <v>2668</v>
      </c>
      <c r="C513" s="14" t="s">
        <v>2669</v>
      </c>
      <c r="D513" s="14" t="s">
        <v>2911</v>
      </c>
      <c r="E513" s="14" t="s">
        <v>3967</v>
      </c>
      <c r="F513" s="13">
        <v>40.96</v>
      </c>
      <c r="G513" s="14" t="s">
        <v>3968</v>
      </c>
      <c r="H513" s="473" t="s">
        <v>3969</v>
      </c>
      <c r="I513" s="655" t="s">
        <v>4005</v>
      </c>
      <c r="J513" s="14" t="s">
        <v>4006</v>
      </c>
      <c r="K513" s="65">
        <f t="shared" ref="K513:K520" si="578">6/99</f>
        <v>6.0606060606060608E-2</v>
      </c>
      <c r="L513" s="220">
        <v>3.3</v>
      </c>
      <c r="M513" s="13" t="s">
        <v>4006</v>
      </c>
      <c r="N513" s="13" t="s">
        <v>3972</v>
      </c>
      <c r="O513" s="480" t="s">
        <v>1624</v>
      </c>
      <c r="P513" s="14" t="s">
        <v>3973</v>
      </c>
      <c r="Q513" s="486" t="s">
        <v>3998</v>
      </c>
      <c r="R513" s="14">
        <v>20</v>
      </c>
      <c r="S513" s="14">
        <f t="shared" si="556"/>
        <v>0.66</v>
      </c>
      <c r="T513" s="487">
        <f>SUM(R513:R520)</f>
        <v>90</v>
      </c>
      <c r="U513" s="14">
        <f t="shared" si="554"/>
        <v>22.222222222222221</v>
      </c>
      <c r="V513" s="220">
        <f t="shared" si="523"/>
        <v>22.222222222222221</v>
      </c>
      <c r="W513" s="14" t="s">
        <v>1112</v>
      </c>
      <c r="X513" s="87">
        <f t="shared" si="555"/>
        <v>1.3468013468013469</v>
      </c>
      <c r="Y513" s="548" t="s">
        <v>1666</v>
      </c>
      <c r="Z513" s="220" t="s">
        <v>1666</v>
      </c>
      <c r="AA513" s="792" t="str">
        <f t="shared" ref="AA513:AH513" si="579">Z513</f>
        <v>*</v>
      </c>
      <c r="AB513" s="458" t="str">
        <f t="shared" si="579"/>
        <v>*</v>
      </c>
      <c r="AC513" s="497" t="str">
        <f t="shared" si="579"/>
        <v>*</v>
      </c>
      <c r="AD513" s="497" t="str">
        <f t="shared" si="579"/>
        <v>*</v>
      </c>
      <c r="AE513" s="454" t="str">
        <f t="shared" si="579"/>
        <v>*</v>
      </c>
      <c r="AF513" s="454" t="str">
        <f t="shared" si="579"/>
        <v>*</v>
      </c>
      <c r="AG513" s="454" t="str">
        <f t="shared" si="579"/>
        <v>*</v>
      </c>
      <c r="AH513" s="454" t="str">
        <f t="shared" si="579"/>
        <v>*</v>
      </c>
    </row>
    <row r="514" spans="1:34" ht="12.75">
      <c r="A514" s="14" t="s">
        <v>3966</v>
      </c>
      <c r="B514" s="13" t="s">
        <v>2668</v>
      </c>
      <c r="C514" s="14" t="s">
        <v>2669</v>
      </c>
      <c r="D514" s="14" t="s">
        <v>2911</v>
      </c>
      <c r="E514" s="14" t="s">
        <v>3967</v>
      </c>
      <c r="F514" s="13">
        <v>40.96</v>
      </c>
      <c r="G514" s="14" t="s">
        <v>3968</v>
      </c>
      <c r="H514" s="473" t="s">
        <v>3969</v>
      </c>
      <c r="I514" s="655" t="s">
        <v>4005</v>
      </c>
      <c r="J514" s="14" t="s">
        <v>4006</v>
      </c>
      <c r="K514" s="65">
        <f t="shared" si="578"/>
        <v>6.0606060606060608E-2</v>
      </c>
      <c r="L514" s="220">
        <v>3.3</v>
      </c>
      <c r="M514" s="13" t="s">
        <v>4006</v>
      </c>
      <c r="N514" s="13" t="s">
        <v>3972</v>
      </c>
      <c r="O514" s="480" t="s">
        <v>1624</v>
      </c>
      <c r="P514" s="655" t="s">
        <v>3978</v>
      </c>
      <c r="Q514" s="486" t="s">
        <v>3979</v>
      </c>
      <c r="R514" s="14">
        <v>20</v>
      </c>
      <c r="S514" s="14">
        <f t="shared" si="556"/>
        <v>0.66</v>
      </c>
      <c r="T514" s="487">
        <f>SUM(R513:R520)</f>
        <v>90</v>
      </c>
      <c r="U514" s="14">
        <f t="shared" si="554"/>
        <v>22.222222222222221</v>
      </c>
      <c r="V514" s="220">
        <f t="shared" si="523"/>
        <v>22.222222222222221</v>
      </c>
      <c r="W514" s="14" t="s">
        <v>2658</v>
      </c>
      <c r="X514" s="87">
        <f t="shared" si="555"/>
        <v>1.3468013468013469</v>
      </c>
      <c r="Y514" s="548" t="s">
        <v>1666</v>
      </c>
      <c r="Z514" s="220" t="s">
        <v>1666</v>
      </c>
      <c r="AA514" s="792" t="str">
        <f t="shared" ref="AA514:AH514" si="580">Z514</f>
        <v>*</v>
      </c>
      <c r="AB514" s="458" t="str">
        <f t="shared" si="580"/>
        <v>*</v>
      </c>
      <c r="AC514" s="497" t="str">
        <f t="shared" si="580"/>
        <v>*</v>
      </c>
      <c r="AD514" s="497" t="str">
        <f t="shared" si="580"/>
        <v>*</v>
      </c>
      <c r="AE514" s="454" t="str">
        <f t="shared" si="580"/>
        <v>*</v>
      </c>
      <c r="AF514" s="454" t="str">
        <f t="shared" si="580"/>
        <v>*</v>
      </c>
      <c r="AG514" s="454" t="str">
        <f t="shared" si="580"/>
        <v>*</v>
      </c>
      <c r="AH514" s="454" t="str">
        <f t="shared" si="580"/>
        <v>*</v>
      </c>
    </row>
    <row r="515" spans="1:34" ht="12.75">
      <c r="A515" s="14" t="s">
        <v>3966</v>
      </c>
      <c r="B515" s="13" t="s">
        <v>2668</v>
      </c>
      <c r="C515" s="14" t="s">
        <v>2669</v>
      </c>
      <c r="D515" s="14" t="s">
        <v>2911</v>
      </c>
      <c r="E515" s="14" t="s">
        <v>3967</v>
      </c>
      <c r="F515" s="13">
        <v>40.96</v>
      </c>
      <c r="G515" s="14" t="s">
        <v>3968</v>
      </c>
      <c r="H515" s="473" t="s">
        <v>3969</v>
      </c>
      <c r="I515" s="655" t="s">
        <v>4005</v>
      </c>
      <c r="J515" s="14" t="s">
        <v>4006</v>
      </c>
      <c r="K515" s="65">
        <f t="shared" si="578"/>
        <v>6.0606060606060608E-2</v>
      </c>
      <c r="L515" s="220">
        <v>3.3</v>
      </c>
      <c r="M515" s="13" t="s">
        <v>4006</v>
      </c>
      <c r="N515" s="13" t="s">
        <v>3972</v>
      </c>
      <c r="O515" s="480" t="s">
        <v>1624</v>
      </c>
      <c r="P515" s="14" t="s">
        <v>2945</v>
      </c>
      <c r="Q515" s="486" t="s">
        <v>2946</v>
      </c>
      <c r="R515" s="14">
        <v>20</v>
      </c>
      <c r="S515" s="14">
        <f t="shared" si="556"/>
        <v>0.66</v>
      </c>
      <c r="T515" s="487">
        <f>SUM(R513:R520)</f>
        <v>90</v>
      </c>
      <c r="U515" s="14">
        <f t="shared" si="554"/>
        <v>22.222222222222221</v>
      </c>
      <c r="V515" s="220">
        <f t="shared" si="523"/>
        <v>22.222222222222221</v>
      </c>
      <c r="W515" s="14" t="s">
        <v>433</v>
      </c>
      <c r="X515" s="87">
        <f t="shared" si="555"/>
        <v>1.3468013468013469</v>
      </c>
      <c r="Y515" s="548" t="s">
        <v>1666</v>
      </c>
      <c r="Z515" s="220" t="s">
        <v>1666</v>
      </c>
      <c r="AA515" s="792" t="str">
        <f t="shared" ref="AA515:AH515" si="581">Z515</f>
        <v>*</v>
      </c>
      <c r="AB515" s="458" t="str">
        <f t="shared" si="581"/>
        <v>*</v>
      </c>
      <c r="AC515" s="497" t="str">
        <f t="shared" si="581"/>
        <v>*</v>
      </c>
      <c r="AD515" s="497" t="str">
        <f t="shared" si="581"/>
        <v>*</v>
      </c>
      <c r="AE515" s="454" t="str">
        <f t="shared" si="581"/>
        <v>*</v>
      </c>
      <c r="AF515" s="454" t="str">
        <f t="shared" si="581"/>
        <v>*</v>
      </c>
      <c r="AG515" s="454" t="str">
        <f t="shared" si="581"/>
        <v>*</v>
      </c>
      <c r="AH515" s="454" t="str">
        <f t="shared" si="581"/>
        <v>*</v>
      </c>
    </row>
    <row r="516" spans="1:34" ht="12.75">
      <c r="A516" s="14" t="s">
        <v>3966</v>
      </c>
      <c r="B516" s="13" t="s">
        <v>2668</v>
      </c>
      <c r="C516" s="14" t="s">
        <v>2669</v>
      </c>
      <c r="D516" s="14" t="s">
        <v>2911</v>
      </c>
      <c r="E516" s="14" t="s">
        <v>3967</v>
      </c>
      <c r="F516" s="13">
        <v>40.96</v>
      </c>
      <c r="G516" s="14" t="s">
        <v>3968</v>
      </c>
      <c r="H516" s="473" t="s">
        <v>3969</v>
      </c>
      <c r="I516" s="655" t="s">
        <v>4005</v>
      </c>
      <c r="J516" s="14" t="s">
        <v>4006</v>
      </c>
      <c r="K516" s="65">
        <f t="shared" si="578"/>
        <v>6.0606060606060608E-2</v>
      </c>
      <c r="L516" s="220">
        <v>3.3</v>
      </c>
      <c r="M516" s="13" t="s">
        <v>4006</v>
      </c>
      <c r="N516" s="13" t="s">
        <v>3972</v>
      </c>
      <c r="O516" s="480" t="s">
        <v>1624</v>
      </c>
      <c r="P516" s="14" t="s">
        <v>3223</v>
      </c>
      <c r="Q516" s="14" t="s">
        <v>3226</v>
      </c>
      <c r="R516" s="14">
        <v>13.5</v>
      </c>
      <c r="S516" s="14">
        <f t="shared" si="556"/>
        <v>0.44550000000000001</v>
      </c>
      <c r="T516" s="487">
        <f>SUM(R513:R520)</f>
        <v>90</v>
      </c>
      <c r="U516" s="14">
        <f t="shared" si="554"/>
        <v>15</v>
      </c>
      <c r="V516" s="220">
        <f t="shared" si="523"/>
        <v>15</v>
      </c>
      <c r="W516" s="14" t="s">
        <v>990</v>
      </c>
      <c r="X516" s="87">
        <f t="shared" si="555"/>
        <v>0.90909090909090917</v>
      </c>
      <c r="Y516" s="549">
        <f t="shared" ref="Y516:AA516" si="582">X516</f>
        <v>0.90909090909090917</v>
      </c>
      <c r="Z516" s="548">
        <f t="shared" si="582"/>
        <v>0.90909090909090917</v>
      </c>
      <c r="AA516" s="792">
        <f t="shared" si="582"/>
        <v>0.90909090909090917</v>
      </c>
      <c r="AB516" s="18" t="s">
        <v>990</v>
      </c>
      <c r="AC516" s="13" t="s">
        <v>3223</v>
      </c>
      <c r="AD516" s="13" t="s">
        <v>3227</v>
      </c>
      <c r="AE516" s="12">
        <v>4.8065157443333336E-3</v>
      </c>
      <c r="AF516" s="12">
        <v>2.3753475394999998E-2</v>
      </c>
      <c r="AG516" s="12">
        <v>4.4716312056737589E-4</v>
      </c>
      <c r="AH516" s="12">
        <v>1.378834501718213E-3</v>
      </c>
    </row>
    <row r="517" spans="1:34" ht="12.75">
      <c r="A517" s="14" t="s">
        <v>3966</v>
      </c>
      <c r="B517" s="13" t="s">
        <v>2668</v>
      </c>
      <c r="C517" s="14" t="s">
        <v>2669</v>
      </c>
      <c r="D517" s="14" t="s">
        <v>2911</v>
      </c>
      <c r="E517" s="14" t="s">
        <v>3967</v>
      </c>
      <c r="F517" s="13">
        <v>40.96</v>
      </c>
      <c r="G517" s="14" t="s">
        <v>3968</v>
      </c>
      <c r="H517" s="473" t="s">
        <v>3969</v>
      </c>
      <c r="I517" s="655" t="s">
        <v>4005</v>
      </c>
      <c r="J517" s="14" t="s">
        <v>4006</v>
      </c>
      <c r="K517" s="65">
        <f t="shared" si="578"/>
        <v>6.0606060606060608E-2</v>
      </c>
      <c r="L517" s="220">
        <v>3.3</v>
      </c>
      <c r="M517" s="13" t="s">
        <v>4006</v>
      </c>
      <c r="N517" s="13" t="s">
        <v>3972</v>
      </c>
      <c r="O517" s="480" t="s">
        <v>1624</v>
      </c>
      <c r="P517" s="489" t="s">
        <v>4007</v>
      </c>
      <c r="Q517" s="489" t="s">
        <v>4002</v>
      </c>
      <c r="R517" s="489">
        <f>(4.675*5.5)/5.335</f>
        <v>4.8195876288659791</v>
      </c>
      <c r="S517" s="14">
        <f t="shared" si="556"/>
        <v>0.15904639175257729</v>
      </c>
      <c r="T517" s="487">
        <f>SUM(R513:R520)</f>
        <v>90</v>
      </c>
      <c r="U517" s="14">
        <f t="shared" si="554"/>
        <v>5.3550973654066434</v>
      </c>
      <c r="V517" s="220">
        <f t="shared" si="523"/>
        <v>5.3550973654066434</v>
      </c>
      <c r="W517" s="14" t="s">
        <v>2820</v>
      </c>
      <c r="X517" s="87">
        <f t="shared" si="555"/>
        <v>0.32455135547919051</v>
      </c>
      <c r="Y517" s="548" t="s">
        <v>1666</v>
      </c>
      <c r="Z517" s="220" t="s">
        <v>1666</v>
      </c>
      <c r="AA517" s="792" t="str">
        <f t="shared" ref="AA517:AH517" si="583">Z517</f>
        <v>*</v>
      </c>
      <c r="AB517" s="458" t="str">
        <f t="shared" si="583"/>
        <v>*</v>
      </c>
      <c r="AC517" s="497" t="str">
        <f t="shared" si="583"/>
        <v>*</v>
      </c>
      <c r="AD517" s="497" t="str">
        <f t="shared" si="583"/>
        <v>*</v>
      </c>
      <c r="AE517" s="454" t="str">
        <f t="shared" si="583"/>
        <v>*</v>
      </c>
      <c r="AF517" s="454" t="str">
        <f t="shared" si="583"/>
        <v>*</v>
      </c>
      <c r="AG517" s="454" t="str">
        <f t="shared" si="583"/>
        <v>*</v>
      </c>
      <c r="AH517" s="454" t="str">
        <f t="shared" si="583"/>
        <v>*</v>
      </c>
    </row>
    <row r="518" spans="1:34" ht="12.75">
      <c r="A518" s="14" t="s">
        <v>3966</v>
      </c>
      <c r="B518" s="13" t="s">
        <v>2668</v>
      </c>
      <c r="C518" s="14" t="s">
        <v>2669</v>
      </c>
      <c r="D518" s="14" t="s">
        <v>2911</v>
      </c>
      <c r="E518" s="14" t="s">
        <v>3967</v>
      </c>
      <c r="F518" s="13">
        <v>40.96</v>
      </c>
      <c r="G518" s="14" t="s">
        <v>3968</v>
      </c>
      <c r="H518" s="473" t="s">
        <v>3969</v>
      </c>
      <c r="I518" s="655" t="s">
        <v>4005</v>
      </c>
      <c r="J518" s="14" t="s">
        <v>4006</v>
      </c>
      <c r="K518" s="65">
        <f t="shared" si="578"/>
        <v>6.0606060606060608E-2</v>
      </c>
      <c r="L518" s="220">
        <v>3.3</v>
      </c>
      <c r="M518" s="13" t="s">
        <v>4006</v>
      </c>
      <c r="N518" s="13" t="s">
        <v>3972</v>
      </c>
      <c r="O518" s="480" t="s">
        <v>1624</v>
      </c>
      <c r="P518" s="490" t="s">
        <v>4007</v>
      </c>
      <c r="Q518" s="491" t="s">
        <v>2946</v>
      </c>
      <c r="R518" s="490">
        <f>(0.66*5.5)/5.335</f>
        <v>0.68041237113402064</v>
      </c>
      <c r="S518" s="14">
        <f t="shared" si="556"/>
        <v>2.2453608247422683E-2</v>
      </c>
      <c r="T518" s="487">
        <f>SUM(R513:R520)</f>
        <v>90</v>
      </c>
      <c r="U518" s="14">
        <f t="shared" si="554"/>
        <v>0.75601374570446733</v>
      </c>
      <c r="V518" s="220">
        <f t="shared" si="523"/>
        <v>0.75601374570446733</v>
      </c>
      <c r="W518" s="14" t="s">
        <v>433</v>
      </c>
      <c r="X518" s="87">
        <f t="shared" si="555"/>
        <v>4.5819014891179836E-2</v>
      </c>
      <c r="Y518" s="548" t="s">
        <v>1666</v>
      </c>
      <c r="Z518" s="220" t="s">
        <v>1666</v>
      </c>
      <c r="AA518" s="792" t="str">
        <f t="shared" ref="AA518:AH518" si="584">Z518</f>
        <v>*</v>
      </c>
      <c r="AB518" s="458" t="str">
        <f t="shared" si="584"/>
        <v>*</v>
      </c>
      <c r="AC518" s="497" t="str">
        <f t="shared" si="584"/>
        <v>*</v>
      </c>
      <c r="AD518" s="497" t="str">
        <f t="shared" si="584"/>
        <v>*</v>
      </c>
      <c r="AE518" s="454" t="str">
        <f t="shared" si="584"/>
        <v>*</v>
      </c>
      <c r="AF518" s="454" t="str">
        <f t="shared" si="584"/>
        <v>*</v>
      </c>
      <c r="AG518" s="454" t="str">
        <f t="shared" si="584"/>
        <v>*</v>
      </c>
      <c r="AH518" s="454" t="str">
        <f t="shared" si="584"/>
        <v>*</v>
      </c>
    </row>
    <row r="519" spans="1:34" ht="12.75">
      <c r="A519" s="14" t="s">
        <v>3966</v>
      </c>
      <c r="B519" s="13" t="s">
        <v>2668</v>
      </c>
      <c r="C519" s="14" t="s">
        <v>2669</v>
      </c>
      <c r="D519" s="14" t="s">
        <v>2911</v>
      </c>
      <c r="E519" s="14" t="s">
        <v>3967</v>
      </c>
      <c r="F519" s="13">
        <v>40.96</v>
      </c>
      <c r="G519" s="14" t="s">
        <v>3968</v>
      </c>
      <c r="H519" s="473" t="s">
        <v>3969</v>
      </c>
      <c r="I519" s="655" t="s">
        <v>4005</v>
      </c>
      <c r="J519" s="14" t="s">
        <v>4006</v>
      </c>
      <c r="K519" s="65">
        <f t="shared" si="578"/>
        <v>6.0606060606060608E-2</v>
      </c>
      <c r="L519" s="220">
        <v>3.3</v>
      </c>
      <c r="M519" s="13" t="s">
        <v>4006</v>
      </c>
      <c r="N519" s="13" t="s">
        <v>3972</v>
      </c>
      <c r="O519" s="480" t="s">
        <v>1624</v>
      </c>
      <c r="P519" s="14" t="s">
        <v>4008</v>
      </c>
      <c r="Q519" s="486" t="s">
        <v>3997</v>
      </c>
      <c r="R519" s="14">
        <v>5.5</v>
      </c>
      <c r="S519" s="14">
        <f t="shared" si="556"/>
        <v>0.18149999999999999</v>
      </c>
      <c r="T519" s="487">
        <f>SUM(R513:R520)</f>
        <v>90</v>
      </c>
      <c r="U519" s="14">
        <f t="shared" si="554"/>
        <v>6.1111111111111107</v>
      </c>
      <c r="V519" s="220">
        <f t="shared" si="523"/>
        <v>6.1111111111111107</v>
      </c>
      <c r="W519" s="14" t="s">
        <v>4009</v>
      </c>
      <c r="X519" s="87">
        <f t="shared" si="555"/>
        <v>0.37037037037037035</v>
      </c>
      <c r="Y519" s="548" t="s">
        <v>1666</v>
      </c>
      <c r="Z519" s="220" t="s">
        <v>1666</v>
      </c>
      <c r="AA519" s="792" t="str">
        <f t="shared" ref="AA519:AH519" si="585">Z519</f>
        <v>*</v>
      </c>
      <c r="AB519" s="458" t="str">
        <f t="shared" si="585"/>
        <v>*</v>
      </c>
      <c r="AC519" s="497" t="str">
        <f t="shared" si="585"/>
        <v>*</v>
      </c>
      <c r="AD519" s="497" t="str">
        <f t="shared" si="585"/>
        <v>*</v>
      </c>
      <c r="AE519" s="454" t="str">
        <f t="shared" si="585"/>
        <v>*</v>
      </c>
      <c r="AF519" s="454" t="str">
        <f t="shared" si="585"/>
        <v>*</v>
      </c>
      <c r="AG519" s="454" t="str">
        <f t="shared" si="585"/>
        <v>*</v>
      </c>
      <c r="AH519" s="454" t="str">
        <f t="shared" si="585"/>
        <v>*</v>
      </c>
    </row>
    <row r="520" spans="1:34" ht="12.75">
      <c r="A520" s="14" t="s">
        <v>3966</v>
      </c>
      <c r="B520" s="13" t="s">
        <v>2668</v>
      </c>
      <c r="C520" s="14" t="s">
        <v>2669</v>
      </c>
      <c r="D520" s="14" t="s">
        <v>2911</v>
      </c>
      <c r="E520" s="14" t="s">
        <v>3967</v>
      </c>
      <c r="F520" s="13">
        <v>40.96</v>
      </c>
      <c r="G520" s="14" t="s">
        <v>3968</v>
      </c>
      <c r="H520" s="473" t="s">
        <v>3969</v>
      </c>
      <c r="I520" s="848" t="s">
        <v>4005</v>
      </c>
      <c r="J520" s="135" t="s">
        <v>4006</v>
      </c>
      <c r="K520" s="546">
        <f t="shared" si="578"/>
        <v>6.0606060606060608E-2</v>
      </c>
      <c r="L520" s="476">
        <v>3.3</v>
      </c>
      <c r="M520" s="477" t="s">
        <v>4006</v>
      </c>
      <c r="N520" s="477" t="s">
        <v>3972</v>
      </c>
      <c r="O520" s="494" t="s">
        <v>1624</v>
      </c>
      <c r="P520" s="135" t="s">
        <v>4010</v>
      </c>
      <c r="Q520" s="495" t="s">
        <v>4011</v>
      </c>
      <c r="R520" s="135">
        <v>5.5</v>
      </c>
      <c r="S520" s="135">
        <f t="shared" si="556"/>
        <v>0.18149999999999999</v>
      </c>
      <c r="T520" s="476">
        <f>SUM(R513:R520)</f>
        <v>90</v>
      </c>
      <c r="U520" s="135">
        <f t="shared" si="554"/>
        <v>6.1111111111111107</v>
      </c>
      <c r="V520" s="476">
        <f t="shared" si="523"/>
        <v>6.1111111111111107</v>
      </c>
      <c r="W520" s="135" t="s">
        <v>1125</v>
      </c>
      <c r="X520" s="87">
        <f t="shared" si="555"/>
        <v>0.37037037037037035</v>
      </c>
      <c r="Y520" s="548" t="s">
        <v>1666</v>
      </c>
      <c r="Z520" s="548">
        <f>X520</f>
        <v>0.37037037037037035</v>
      </c>
      <c r="AA520" s="792">
        <f>Z520</f>
        <v>0.37037037037037035</v>
      </c>
      <c r="AB520" s="18" t="s">
        <v>1125</v>
      </c>
      <c r="AC520" s="13" t="str">
        <f t="shared" ref="AC520:AD520" si="586">AB520</f>
        <v>puffed rice</v>
      </c>
      <c r="AD520" s="13" t="str">
        <f t="shared" si="586"/>
        <v>puffed rice</v>
      </c>
      <c r="AE520" s="12">
        <v>2.6313563181764739E-3</v>
      </c>
      <c r="AF520" s="12">
        <v>0.17834166835352852</v>
      </c>
      <c r="AG520" s="12">
        <v>5.365244618395303E-4</v>
      </c>
      <c r="AH520" s="12">
        <v>2.5980743783502744E-3</v>
      </c>
    </row>
    <row r="521" spans="1:34" ht="12.75">
      <c r="A521" s="14" t="s">
        <v>3966</v>
      </c>
      <c r="B521" s="13" t="s">
        <v>2668</v>
      </c>
      <c r="C521" s="14" t="s">
        <v>2669</v>
      </c>
      <c r="D521" s="14" t="s">
        <v>2911</v>
      </c>
      <c r="E521" s="14" t="s">
        <v>3967</v>
      </c>
      <c r="F521" s="13">
        <v>40.96</v>
      </c>
      <c r="G521" s="14" t="s">
        <v>3968</v>
      </c>
      <c r="H521" s="473" t="s">
        <v>3969</v>
      </c>
      <c r="I521" s="14" t="s">
        <v>4012</v>
      </c>
      <c r="J521" s="14" t="s">
        <v>4013</v>
      </c>
      <c r="K521" s="65">
        <f t="shared" ref="K521:K528" si="587">15/99</f>
        <v>0.15151515151515152</v>
      </c>
      <c r="L521" s="220">
        <v>7.8</v>
      </c>
      <c r="M521" s="13" t="s">
        <v>4012</v>
      </c>
      <c r="N521" s="13" t="s">
        <v>3972</v>
      </c>
      <c r="O521" s="14" t="s">
        <v>4014</v>
      </c>
      <c r="P521" s="14" t="s">
        <v>2948</v>
      </c>
      <c r="Q521" s="486" t="s">
        <v>4015</v>
      </c>
      <c r="R521" s="14">
        <v>30</v>
      </c>
      <c r="S521" s="14">
        <f t="shared" si="556"/>
        <v>2.34</v>
      </c>
      <c r="T521" s="487">
        <f>SUM(R521:R528)</f>
        <v>77</v>
      </c>
      <c r="U521" s="14">
        <f t="shared" si="554"/>
        <v>38.961038961038959</v>
      </c>
      <c r="V521" s="220">
        <f t="shared" si="523"/>
        <v>38.961038961038959</v>
      </c>
      <c r="W521" s="14" t="s">
        <v>305</v>
      </c>
      <c r="X521" s="87">
        <f t="shared" si="555"/>
        <v>5.9031877213695392</v>
      </c>
      <c r="Y521" s="548">
        <f t="shared" ref="Y521:AA521" si="588">X521</f>
        <v>5.9031877213695392</v>
      </c>
      <c r="Z521" s="548">
        <f t="shared" si="588"/>
        <v>5.9031877213695392</v>
      </c>
      <c r="AA521" s="792">
        <f t="shared" si="588"/>
        <v>5.9031877213695392</v>
      </c>
      <c r="AB521" s="18" t="s">
        <v>305</v>
      </c>
      <c r="AC521" s="13" t="s">
        <v>3485</v>
      </c>
      <c r="AD521" s="13" t="s">
        <v>2944</v>
      </c>
      <c r="AE521" s="12">
        <v>4.7062756261925113E-3</v>
      </c>
      <c r="AF521" s="12">
        <v>3.8210906557435767E-2</v>
      </c>
      <c r="AG521" s="12">
        <v>8.2999999999999998E-5</v>
      </c>
      <c r="AH521" s="12">
        <v>5.9908272287602653E-4</v>
      </c>
    </row>
    <row r="522" spans="1:34" ht="12.75">
      <c r="A522" s="14" t="s">
        <v>3966</v>
      </c>
      <c r="B522" s="13" t="s">
        <v>2668</v>
      </c>
      <c r="C522" s="14" t="s">
        <v>2669</v>
      </c>
      <c r="D522" s="14" t="s">
        <v>2911</v>
      </c>
      <c r="E522" s="14" t="s">
        <v>3967</v>
      </c>
      <c r="F522" s="13">
        <v>40.96</v>
      </c>
      <c r="G522" s="14" t="s">
        <v>3968</v>
      </c>
      <c r="H522" s="473" t="s">
        <v>3969</v>
      </c>
      <c r="I522" s="14" t="s">
        <v>4012</v>
      </c>
      <c r="J522" s="14" t="s">
        <v>4013</v>
      </c>
      <c r="K522" s="65">
        <f t="shared" si="587"/>
        <v>0.15151515151515152</v>
      </c>
      <c r="L522" s="220">
        <v>7.8</v>
      </c>
      <c r="M522" s="13" t="s">
        <v>4012</v>
      </c>
      <c r="N522" s="13" t="s">
        <v>3972</v>
      </c>
      <c r="O522" s="14" t="s">
        <v>4014</v>
      </c>
      <c r="P522" s="655" t="s">
        <v>3978</v>
      </c>
      <c r="Q522" s="486" t="s">
        <v>3979</v>
      </c>
      <c r="R522" s="14">
        <v>8</v>
      </c>
      <c r="S522" s="14">
        <f t="shared" si="556"/>
        <v>0.624</v>
      </c>
      <c r="T522" s="487">
        <f>SUM(R521:R528)</f>
        <v>77</v>
      </c>
      <c r="U522" s="14">
        <f t="shared" si="554"/>
        <v>10.38961038961039</v>
      </c>
      <c r="V522" s="220">
        <f t="shared" si="523"/>
        <v>10.38961038961039</v>
      </c>
      <c r="W522" s="14" t="s">
        <v>2658</v>
      </c>
      <c r="X522" s="87">
        <f t="shared" si="555"/>
        <v>1.5741833923652107</v>
      </c>
      <c r="Y522" s="548" t="s">
        <v>1666</v>
      </c>
      <c r="Z522" s="220" t="s">
        <v>1666</v>
      </c>
      <c r="AA522" s="792" t="str">
        <f t="shared" ref="AA522:AH522" si="589">Z522</f>
        <v>*</v>
      </c>
      <c r="AB522" s="458" t="str">
        <f t="shared" si="589"/>
        <v>*</v>
      </c>
      <c r="AC522" s="497" t="str">
        <f t="shared" si="589"/>
        <v>*</v>
      </c>
      <c r="AD522" s="497" t="str">
        <f t="shared" si="589"/>
        <v>*</v>
      </c>
      <c r="AE522" s="454" t="str">
        <f t="shared" si="589"/>
        <v>*</v>
      </c>
      <c r="AF522" s="454" t="str">
        <f t="shared" si="589"/>
        <v>*</v>
      </c>
      <c r="AG522" s="454" t="str">
        <f t="shared" si="589"/>
        <v>*</v>
      </c>
      <c r="AH522" s="454" t="str">
        <f t="shared" si="589"/>
        <v>*</v>
      </c>
    </row>
    <row r="523" spans="1:34" ht="12.75">
      <c r="A523" s="14" t="s">
        <v>3966</v>
      </c>
      <c r="B523" s="13" t="s">
        <v>2668</v>
      </c>
      <c r="C523" s="14" t="s">
        <v>2669</v>
      </c>
      <c r="D523" s="14" t="s">
        <v>2911</v>
      </c>
      <c r="E523" s="14" t="s">
        <v>3967</v>
      </c>
      <c r="F523" s="13">
        <v>40.96</v>
      </c>
      <c r="G523" s="14" t="s">
        <v>3968</v>
      </c>
      <c r="H523" s="473" t="s">
        <v>3969</v>
      </c>
      <c r="I523" s="14" t="s">
        <v>4012</v>
      </c>
      <c r="J523" s="14" t="s">
        <v>4013</v>
      </c>
      <c r="K523" s="65">
        <f t="shared" si="587"/>
        <v>0.15151515151515152</v>
      </c>
      <c r="L523" s="220">
        <v>7.8</v>
      </c>
      <c r="M523" s="13" t="s">
        <v>4012</v>
      </c>
      <c r="N523" s="13" t="s">
        <v>3972</v>
      </c>
      <c r="O523" s="14" t="s">
        <v>4014</v>
      </c>
      <c r="P523" s="14" t="s">
        <v>4016</v>
      </c>
      <c r="Q523" s="14" t="s">
        <v>4017</v>
      </c>
      <c r="R523" s="14">
        <v>8</v>
      </c>
      <c r="S523" s="14">
        <f t="shared" si="556"/>
        <v>0.624</v>
      </c>
      <c r="T523" s="487">
        <f>SUM(R521:R528)</f>
        <v>77</v>
      </c>
      <c r="U523" s="14">
        <f t="shared" si="554"/>
        <v>10.38961038961039</v>
      </c>
      <c r="V523" s="220">
        <f t="shared" si="523"/>
        <v>10.38961038961039</v>
      </c>
      <c r="W523" s="14" t="s">
        <v>2702</v>
      </c>
      <c r="X523" s="87">
        <f t="shared" si="555"/>
        <v>1.5741833923652107</v>
      </c>
      <c r="Y523" s="548" t="s">
        <v>1666</v>
      </c>
      <c r="Z523" s="548">
        <f>X523</f>
        <v>1.5741833923652107</v>
      </c>
      <c r="AA523" s="792">
        <f t="shared" ref="AA523:AA525" si="590">Z523</f>
        <v>1.5741833923652107</v>
      </c>
      <c r="AB523" s="18" t="s">
        <v>2674</v>
      </c>
      <c r="AC523" s="545" t="s">
        <v>4018</v>
      </c>
      <c r="AD523" s="13" t="s">
        <v>3858</v>
      </c>
      <c r="AE523" s="23">
        <v>7.0063781342921748E-4</v>
      </c>
      <c r="AF523" s="23">
        <v>4.7486125575394174E-2</v>
      </c>
      <c r="AG523" s="12">
        <v>1.428576294277929E-4</v>
      </c>
      <c r="AH523" s="23">
        <v>7.2410198258570182E-4</v>
      </c>
    </row>
    <row r="524" spans="1:34" ht="12.75">
      <c r="A524" s="14" t="s">
        <v>3966</v>
      </c>
      <c r="B524" s="13" t="s">
        <v>2668</v>
      </c>
      <c r="C524" s="14" t="s">
        <v>2669</v>
      </c>
      <c r="D524" s="14" t="s">
        <v>2911</v>
      </c>
      <c r="E524" s="14" t="s">
        <v>3967</v>
      </c>
      <c r="F524" s="13">
        <v>40.96</v>
      </c>
      <c r="G524" s="14" t="s">
        <v>3968</v>
      </c>
      <c r="H524" s="473" t="s">
        <v>3969</v>
      </c>
      <c r="I524" s="14" t="s">
        <v>4012</v>
      </c>
      <c r="J524" s="14" t="s">
        <v>4013</v>
      </c>
      <c r="K524" s="65">
        <f t="shared" si="587"/>
        <v>0.15151515151515152</v>
      </c>
      <c r="L524" s="220">
        <v>7.8</v>
      </c>
      <c r="M524" s="13" t="s">
        <v>4012</v>
      </c>
      <c r="N524" s="13" t="s">
        <v>3972</v>
      </c>
      <c r="O524" s="14" t="s">
        <v>4014</v>
      </c>
      <c r="P524" s="14" t="s">
        <v>3973</v>
      </c>
      <c r="Q524" s="486" t="s">
        <v>3998</v>
      </c>
      <c r="R524" s="14">
        <v>8</v>
      </c>
      <c r="S524" s="14">
        <f t="shared" si="556"/>
        <v>0.624</v>
      </c>
      <c r="T524" s="487">
        <f>SUM(R521:R528)</f>
        <v>77</v>
      </c>
      <c r="U524" s="14">
        <f t="shared" si="554"/>
        <v>10.38961038961039</v>
      </c>
      <c r="V524" s="220">
        <f t="shared" si="523"/>
        <v>10.38961038961039</v>
      </c>
      <c r="W524" s="14" t="s">
        <v>1112</v>
      </c>
      <c r="X524" s="87">
        <f t="shared" si="555"/>
        <v>1.5741833923652107</v>
      </c>
      <c r="Y524" s="548" t="s">
        <v>1666</v>
      </c>
      <c r="Z524" s="220" t="s">
        <v>1666</v>
      </c>
      <c r="AA524" s="792" t="str">
        <f t="shared" si="590"/>
        <v>*</v>
      </c>
      <c r="AB524" s="458" t="str">
        <f t="shared" ref="AB524:AH524" si="591">AA524</f>
        <v>*</v>
      </c>
      <c r="AC524" s="497" t="str">
        <f t="shared" si="591"/>
        <v>*</v>
      </c>
      <c r="AD524" s="497" t="str">
        <f t="shared" si="591"/>
        <v>*</v>
      </c>
      <c r="AE524" s="454" t="str">
        <f t="shared" si="591"/>
        <v>*</v>
      </c>
      <c r="AF524" s="454" t="str">
        <f t="shared" si="591"/>
        <v>*</v>
      </c>
      <c r="AG524" s="454" t="str">
        <f t="shared" si="591"/>
        <v>*</v>
      </c>
      <c r="AH524" s="454" t="str">
        <f t="shared" si="591"/>
        <v>*</v>
      </c>
    </row>
    <row r="525" spans="1:34" ht="12.75">
      <c r="A525" s="14" t="s">
        <v>3966</v>
      </c>
      <c r="B525" s="13" t="s">
        <v>2668</v>
      </c>
      <c r="C525" s="14" t="s">
        <v>2669</v>
      </c>
      <c r="D525" s="14" t="s">
        <v>2911</v>
      </c>
      <c r="E525" s="14" t="s">
        <v>3967</v>
      </c>
      <c r="F525" s="13">
        <v>40.96</v>
      </c>
      <c r="G525" s="14" t="s">
        <v>3968</v>
      </c>
      <c r="H525" s="473" t="s">
        <v>3969</v>
      </c>
      <c r="I525" s="14" t="s">
        <v>4012</v>
      </c>
      <c r="J525" s="14" t="s">
        <v>4013</v>
      </c>
      <c r="K525" s="65">
        <f t="shared" si="587"/>
        <v>0.15151515151515152</v>
      </c>
      <c r="L525" s="220">
        <v>7.8</v>
      </c>
      <c r="M525" s="13" t="s">
        <v>4012</v>
      </c>
      <c r="N525" s="13" t="s">
        <v>3972</v>
      </c>
      <c r="O525" s="14" t="s">
        <v>4014</v>
      </c>
      <c r="P525" s="655" t="s">
        <v>3978</v>
      </c>
      <c r="Q525" s="486" t="s">
        <v>3979</v>
      </c>
      <c r="R525" s="14">
        <v>8</v>
      </c>
      <c r="S525" s="14">
        <f t="shared" si="556"/>
        <v>0.624</v>
      </c>
      <c r="T525" s="487">
        <f>SUM(R521:R528)</f>
        <v>77</v>
      </c>
      <c r="U525" s="14">
        <f t="shared" si="554"/>
        <v>10.38961038961039</v>
      </c>
      <c r="V525" s="220">
        <f t="shared" si="523"/>
        <v>10.38961038961039</v>
      </c>
      <c r="W525" s="14" t="s">
        <v>2658</v>
      </c>
      <c r="X525" s="87">
        <f t="shared" si="555"/>
        <v>1.5741833923652107</v>
      </c>
      <c r="Y525" s="548" t="s">
        <v>1666</v>
      </c>
      <c r="Z525" s="220" t="s">
        <v>1666</v>
      </c>
      <c r="AA525" s="792" t="str">
        <f t="shared" si="590"/>
        <v>*</v>
      </c>
      <c r="AB525" s="458" t="str">
        <f t="shared" ref="AB525:AH525" si="592">AA525</f>
        <v>*</v>
      </c>
      <c r="AC525" s="497" t="str">
        <f t="shared" si="592"/>
        <v>*</v>
      </c>
      <c r="AD525" s="497" t="str">
        <f t="shared" si="592"/>
        <v>*</v>
      </c>
      <c r="AE525" s="454" t="str">
        <f t="shared" si="592"/>
        <v>*</v>
      </c>
      <c r="AF525" s="454" t="str">
        <f t="shared" si="592"/>
        <v>*</v>
      </c>
      <c r="AG525" s="454" t="str">
        <f t="shared" si="592"/>
        <v>*</v>
      </c>
      <c r="AH525" s="454" t="str">
        <f t="shared" si="592"/>
        <v>*</v>
      </c>
    </row>
    <row r="526" spans="1:34" ht="12.75">
      <c r="A526" s="14" t="s">
        <v>3966</v>
      </c>
      <c r="B526" s="13" t="s">
        <v>2668</v>
      </c>
      <c r="C526" s="14" t="s">
        <v>2669</v>
      </c>
      <c r="D526" s="14" t="s">
        <v>2911</v>
      </c>
      <c r="E526" s="14" t="s">
        <v>3967</v>
      </c>
      <c r="F526" s="13">
        <v>40.96</v>
      </c>
      <c r="G526" s="14" t="s">
        <v>3968</v>
      </c>
      <c r="H526" s="473" t="s">
        <v>3969</v>
      </c>
      <c r="I526" s="14" t="s">
        <v>4012</v>
      </c>
      <c r="J526" s="14" t="s">
        <v>4013</v>
      </c>
      <c r="K526" s="65">
        <f t="shared" si="587"/>
        <v>0.15151515151515152</v>
      </c>
      <c r="L526" s="220">
        <v>7.8</v>
      </c>
      <c r="M526" s="13" t="s">
        <v>4012</v>
      </c>
      <c r="N526" s="13" t="s">
        <v>3972</v>
      </c>
      <c r="O526" s="14" t="s">
        <v>4014</v>
      </c>
      <c r="P526" s="14" t="s">
        <v>4019</v>
      </c>
      <c r="Q526" s="486" t="s">
        <v>4020</v>
      </c>
      <c r="R526" s="14">
        <v>5</v>
      </c>
      <c r="S526" s="14">
        <f t="shared" si="556"/>
        <v>0.39</v>
      </c>
      <c r="T526" s="487">
        <f>SUM(R521:R528)</f>
        <v>77</v>
      </c>
      <c r="U526" s="14">
        <f t="shared" si="554"/>
        <v>6.4935064935064934</v>
      </c>
      <c r="V526" s="220">
        <f t="shared" si="523"/>
        <v>6.4935064935064934</v>
      </c>
      <c r="W526" s="14" t="s">
        <v>208</v>
      </c>
      <c r="X526" s="87">
        <f t="shared" si="555"/>
        <v>0.9838646202282566</v>
      </c>
      <c r="Y526" s="549">
        <f t="shared" ref="Y526:AA526" si="593">X526</f>
        <v>0.9838646202282566</v>
      </c>
      <c r="Z526" s="548">
        <f t="shared" si="593"/>
        <v>0.9838646202282566</v>
      </c>
      <c r="AA526" s="792">
        <f t="shared" si="593"/>
        <v>0.9838646202282566</v>
      </c>
      <c r="AB526" s="18" t="s">
        <v>206</v>
      </c>
      <c r="AC526" s="13" t="s">
        <v>208</v>
      </c>
      <c r="AD526" s="13" t="s">
        <v>3864</v>
      </c>
      <c r="AE526" s="12">
        <v>5.1193538415680896E-3</v>
      </c>
      <c r="AF526" s="12">
        <v>9.9290720942183497E-2</v>
      </c>
      <c r="AG526" s="12">
        <v>7.8999999999999996E-5</v>
      </c>
      <c r="AH526" s="12">
        <v>3.0864741882572887E-4</v>
      </c>
    </row>
    <row r="527" spans="1:34" ht="12.75">
      <c r="A527" s="14" t="s">
        <v>3966</v>
      </c>
      <c r="B527" s="13" t="s">
        <v>2668</v>
      </c>
      <c r="C527" s="14" t="s">
        <v>2669</v>
      </c>
      <c r="D527" s="14" t="s">
        <v>2911</v>
      </c>
      <c r="E527" s="14" t="s">
        <v>3967</v>
      </c>
      <c r="F527" s="13">
        <v>40.96</v>
      </c>
      <c r="G527" s="14" t="s">
        <v>3968</v>
      </c>
      <c r="H527" s="473" t="s">
        <v>3969</v>
      </c>
      <c r="I527" s="14" t="s">
        <v>4012</v>
      </c>
      <c r="J527" s="14" t="s">
        <v>4013</v>
      </c>
      <c r="K527" s="65">
        <f t="shared" si="587"/>
        <v>0.15151515151515152</v>
      </c>
      <c r="L527" s="220">
        <v>7.8</v>
      </c>
      <c r="M527" s="13" t="s">
        <v>4012</v>
      </c>
      <c r="N527" s="13" t="s">
        <v>3972</v>
      </c>
      <c r="O527" s="14" t="s">
        <v>4014</v>
      </c>
      <c r="P527" s="14" t="s">
        <v>4021</v>
      </c>
      <c r="Q527" s="486" t="s">
        <v>4022</v>
      </c>
      <c r="R527" s="14">
        <v>5</v>
      </c>
      <c r="S527" s="14">
        <f t="shared" si="556"/>
        <v>0.39</v>
      </c>
      <c r="T527" s="487">
        <f>SUM(R521:R528)</f>
        <v>77</v>
      </c>
      <c r="U527" s="14">
        <f t="shared" si="554"/>
        <v>6.4935064935064934</v>
      </c>
      <c r="V527" s="220">
        <f t="shared" si="523"/>
        <v>6.4935064935064934</v>
      </c>
      <c r="W527" s="14" t="s">
        <v>271</v>
      </c>
      <c r="X527" s="87">
        <f t="shared" si="555"/>
        <v>0.9838646202282566</v>
      </c>
      <c r="Y527" s="549">
        <f t="shared" ref="Y527:AA527" si="594">X527</f>
        <v>0.9838646202282566</v>
      </c>
      <c r="Z527" s="548">
        <f t="shared" si="594"/>
        <v>0.9838646202282566</v>
      </c>
      <c r="AA527" s="792">
        <f t="shared" si="594"/>
        <v>0.9838646202282566</v>
      </c>
      <c r="AB527" s="18" t="s">
        <v>271</v>
      </c>
      <c r="AC527" s="13" t="s">
        <v>271</v>
      </c>
      <c r="AD527" s="13" t="s">
        <v>4023</v>
      </c>
      <c r="AE527" s="12">
        <v>8.4188576965875186E-3</v>
      </c>
      <c r="AF527" s="12">
        <v>3.7019919874172996E-2</v>
      </c>
      <c r="AG527" s="12">
        <v>2.5000000000000001E-5</v>
      </c>
      <c r="AH527" s="12">
        <v>2.4250868622021553E-4</v>
      </c>
    </row>
    <row r="528" spans="1:34" ht="12.75">
      <c r="A528" s="14" t="s">
        <v>3966</v>
      </c>
      <c r="B528" s="13" t="s">
        <v>2668</v>
      </c>
      <c r="C528" s="14" t="s">
        <v>2669</v>
      </c>
      <c r="D528" s="14" t="s">
        <v>2911</v>
      </c>
      <c r="E528" s="14" t="s">
        <v>3967</v>
      </c>
      <c r="F528" s="13">
        <v>40.96</v>
      </c>
      <c r="G528" s="14" t="s">
        <v>3968</v>
      </c>
      <c r="H528" s="473" t="s">
        <v>3969</v>
      </c>
      <c r="I528" s="135" t="s">
        <v>4012</v>
      </c>
      <c r="J528" s="135" t="s">
        <v>4013</v>
      </c>
      <c r="K528" s="546">
        <f t="shared" si="587"/>
        <v>0.15151515151515152</v>
      </c>
      <c r="L528" s="476">
        <v>7.8</v>
      </c>
      <c r="M528" s="477" t="s">
        <v>4012</v>
      </c>
      <c r="N528" s="477" t="s">
        <v>3972</v>
      </c>
      <c r="O528" s="135" t="s">
        <v>4014</v>
      </c>
      <c r="P528" s="135" t="s">
        <v>4024</v>
      </c>
      <c r="Q528" s="495" t="s">
        <v>4025</v>
      </c>
      <c r="R528" s="135">
        <v>5</v>
      </c>
      <c r="S528" s="135">
        <f t="shared" si="556"/>
        <v>0.39</v>
      </c>
      <c r="T528" s="476">
        <f>SUM(R521:R528)</f>
        <v>77</v>
      </c>
      <c r="U528" s="135">
        <f t="shared" si="554"/>
        <v>6.4935064935064934</v>
      </c>
      <c r="V528" s="476">
        <f t="shared" si="523"/>
        <v>6.4935064935064934</v>
      </c>
      <c r="W528" s="135" t="s">
        <v>4026</v>
      </c>
      <c r="X528" s="87">
        <f t="shared" si="555"/>
        <v>0.9838646202282566</v>
      </c>
      <c r="Y528" s="549">
        <f>X528</f>
        <v>0.9838646202282566</v>
      </c>
      <c r="Z528" s="548">
        <f>SUM(Y526:Y528,Y516,Y504,Y499,)</f>
        <v>4.7787481878390965</v>
      </c>
      <c r="AA528" s="792">
        <f>Y528</f>
        <v>0.9838646202282566</v>
      </c>
      <c r="AB528" s="809" t="s">
        <v>2675</v>
      </c>
      <c r="AC528" s="550" t="s">
        <v>3174</v>
      </c>
      <c r="AD528" s="511" t="s">
        <v>3174</v>
      </c>
      <c r="AE528" s="461">
        <v>2.2073766211046637E-2</v>
      </c>
      <c r="AF528" s="461">
        <v>8.7246004352723297E-2</v>
      </c>
      <c r="AG528" s="461">
        <v>5.8202330775582959E-4</v>
      </c>
      <c r="AH528" s="461">
        <v>2.670351142205461E-3</v>
      </c>
    </row>
    <row r="529" spans="1:34" ht="12.75">
      <c r="A529" s="14" t="s">
        <v>3966</v>
      </c>
      <c r="B529" s="13" t="s">
        <v>2668</v>
      </c>
      <c r="C529" s="14" t="s">
        <v>2669</v>
      </c>
      <c r="D529" s="14" t="s">
        <v>2911</v>
      </c>
      <c r="E529" s="14" t="s">
        <v>3967</v>
      </c>
      <c r="F529" s="13">
        <v>40.96</v>
      </c>
      <c r="G529" s="14" t="s">
        <v>3968</v>
      </c>
      <c r="H529" s="473" t="s">
        <v>3969</v>
      </c>
      <c r="I529" s="14" t="s">
        <v>4027</v>
      </c>
      <c r="J529" s="14" t="s">
        <v>4028</v>
      </c>
      <c r="K529" s="65">
        <f t="shared" ref="K529:K541" si="595">5/99</f>
        <v>5.0505050505050504E-2</v>
      </c>
      <c r="L529" s="220">
        <v>2</v>
      </c>
      <c r="M529" s="13" t="s">
        <v>4028</v>
      </c>
      <c r="N529" s="13" t="s">
        <v>3972</v>
      </c>
      <c r="O529" s="480" t="s">
        <v>1624</v>
      </c>
      <c r="P529" s="14" t="s">
        <v>232</v>
      </c>
      <c r="Q529" s="486" t="s">
        <v>4029</v>
      </c>
      <c r="R529" s="14">
        <v>16</v>
      </c>
      <c r="S529" s="14">
        <f t="shared" si="556"/>
        <v>0.32</v>
      </c>
      <c r="T529" s="487">
        <f>SUM(R529:R535)</f>
        <v>90.5</v>
      </c>
      <c r="U529" s="14">
        <f t="shared" si="554"/>
        <v>17.679558011049725</v>
      </c>
      <c r="V529" s="220">
        <f t="shared" si="523"/>
        <v>17.679558011049725</v>
      </c>
      <c r="W529" s="14" t="s">
        <v>232</v>
      </c>
      <c r="X529" s="87">
        <f t="shared" si="555"/>
        <v>0.89290697025503662</v>
      </c>
      <c r="Y529" s="548" t="s">
        <v>1666</v>
      </c>
      <c r="Z529" s="220" t="s">
        <v>1666</v>
      </c>
      <c r="AA529" s="792" t="str">
        <f t="shared" ref="AA529:AH529" si="596">Z529</f>
        <v>*</v>
      </c>
      <c r="AB529" s="458" t="str">
        <f t="shared" si="596"/>
        <v>*</v>
      </c>
      <c r="AC529" s="497" t="str">
        <f t="shared" si="596"/>
        <v>*</v>
      </c>
      <c r="AD529" s="497" t="str">
        <f t="shared" si="596"/>
        <v>*</v>
      </c>
      <c r="AE529" s="454" t="str">
        <f t="shared" si="596"/>
        <v>*</v>
      </c>
      <c r="AF529" s="454" t="str">
        <f t="shared" si="596"/>
        <v>*</v>
      </c>
      <c r="AG529" s="454" t="str">
        <f t="shared" si="596"/>
        <v>*</v>
      </c>
      <c r="AH529" s="454" t="str">
        <f t="shared" si="596"/>
        <v>*</v>
      </c>
    </row>
    <row r="530" spans="1:34" ht="12.75">
      <c r="A530" s="14" t="s">
        <v>3966</v>
      </c>
      <c r="B530" s="13" t="s">
        <v>2668</v>
      </c>
      <c r="C530" s="14" t="s">
        <v>2669</v>
      </c>
      <c r="D530" s="14" t="s">
        <v>2911</v>
      </c>
      <c r="E530" s="14" t="s">
        <v>3967</v>
      </c>
      <c r="F530" s="13">
        <v>40.96</v>
      </c>
      <c r="G530" s="14" t="s">
        <v>3968</v>
      </c>
      <c r="H530" s="473" t="s">
        <v>3969</v>
      </c>
      <c r="I530" s="14" t="s">
        <v>4027</v>
      </c>
      <c r="J530" s="14" t="s">
        <v>4028</v>
      </c>
      <c r="K530" s="65">
        <f t="shared" si="595"/>
        <v>5.0505050505050504E-2</v>
      </c>
      <c r="L530" s="220">
        <v>2</v>
      </c>
      <c r="M530" s="13" t="s">
        <v>4028</v>
      </c>
      <c r="N530" s="13" t="s">
        <v>3972</v>
      </c>
      <c r="O530" s="480" t="s">
        <v>1624</v>
      </c>
      <c r="P530" s="655" t="s">
        <v>3995</v>
      </c>
      <c r="Q530" s="486" t="s">
        <v>3996</v>
      </c>
      <c r="R530" s="14">
        <v>16</v>
      </c>
      <c r="S530" s="14">
        <f t="shared" si="556"/>
        <v>0.32</v>
      </c>
      <c r="T530" s="487">
        <f>SUM(R529:R535)</f>
        <v>90.5</v>
      </c>
      <c r="U530" s="14">
        <f t="shared" si="554"/>
        <v>17.679558011049725</v>
      </c>
      <c r="V530" s="220">
        <f t="shared" si="523"/>
        <v>17.679558011049725</v>
      </c>
      <c r="W530" s="14" t="s">
        <v>1095</v>
      </c>
      <c r="X530" s="87">
        <f t="shared" si="555"/>
        <v>0.89290697025503662</v>
      </c>
      <c r="Y530" s="548" t="s">
        <v>1666</v>
      </c>
      <c r="Z530" s="220" t="s">
        <v>1666</v>
      </c>
      <c r="AA530" s="792" t="str">
        <f t="shared" ref="AA530:AH530" si="597">Z530</f>
        <v>*</v>
      </c>
      <c r="AB530" s="458" t="str">
        <f t="shared" si="597"/>
        <v>*</v>
      </c>
      <c r="AC530" s="497" t="str">
        <f t="shared" si="597"/>
        <v>*</v>
      </c>
      <c r="AD530" s="497" t="str">
        <f t="shared" si="597"/>
        <v>*</v>
      </c>
      <c r="AE530" s="454" t="str">
        <f t="shared" si="597"/>
        <v>*</v>
      </c>
      <c r="AF530" s="454" t="str">
        <f t="shared" si="597"/>
        <v>*</v>
      </c>
      <c r="AG530" s="454" t="str">
        <f t="shared" si="597"/>
        <v>*</v>
      </c>
      <c r="AH530" s="454" t="str">
        <f t="shared" si="597"/>
        <v>*</v>
      </c>
    </row>
    <row r="531" spans="1:34" ht="12.75">
      <c r="A531" s="14" t="s">
        <v>3966</v>
      </c>
      <c r="B531" s="13" t="s">
        <v>2668</v>
      </c>
      <c r="C531" s="14" t="s">
        <v>2669</v>
      </c>
      <c r="D531" s="14" t="s">
        <v>2911</v>
      </c>
      <c r="E531" s="14" t="s">
        <v>3967</v>
      </c>
      <c r="F531" s="13">
        <v>40.96</v>
      </c>
      <c r="G531" s="14" t="s">
        <v>3968</v>
      </c>
      <c r="H531" s="473" t="s">
        <v>3969</v>
      </c>
      <c r="I531" s="14" t="s">
        <v>4027</v>
      </c>
      <c r="J531" s="14" t="s">
        <v>4028</v>
      </c>
      <c r="K531" s="65">
        <f t="shared" si="595"/>
        <v>5.0505050505050504E-2</v>
      </c>
      <c r="L531" s="220">
        <v>2</v>
      </c>
      <c r="M531" s="13" t="s">
        <v>4028</v>
      </c>
      <c r="N531" s="13" t="s">
        <v>3972</v>
      </c>
      <c r="O531" s="480" t="s">
        <v>1624</v>
      </c>
      <c r="P531" s="655" t="s">
        <v>3978</v>
      </c>
      <c r="Q531" s="486" t="s">
        <v>3979</v>
      </c>
      <c r="R531" s="14">
        <v>32</v>
      </c>
      <c r="S531" s="14">
        <f t="shared" si="556"/>
        <v>0.64</v>
      </c>
      <c r="T531" s="487">
        <f>SUM(R529:R535)</f>
        <v>90.5</v>
      </c>
      <c r="U531" s="14">
        <f t="shared" si="554"/>
        <v>35.35911602209945</v>
      </c>
      <c r="V531" s="220">
        <f t="shared" si="523"/>
        <v>35.35911602209945</v>
      </c>
      <c r="W531" s="14" t="s">
        <v>2658</v>
      </c>
      <c r="X531" s="87">
        <f t="shared" si="555"/>
        <v>1.7858139405100732</v>
      </c>
      <c r="Y531" s="548" t="s">
        <v>1666</v>
      </c>
      <c r="Z531" s="220" t="s">
        <v>1666</v>
      </c>
      <c r="AA531" s="792" t="str">
        <f t="shared" ref="AA531:AH531" si="598">Z531</f>
        <v>*</v>
      </c>
      <c r="AB531" s="458" t="str">
        <f t="shared" si="598"/>
        <v>*</v>
      </c>
      <c r="AC531" s="497" t="str">
        <f t="shared" si="598"/>
        <v>*</v>
      </c>
      <c r="AD531" s="497" t="str">
        <f t="shared" si="598"/>
        <v>*</v>
      </c>
      <c r="AE531" s="454" t="str">
        <f t="shared" si="598"/>
        <v>*</v>
      </c>
      <c r="AF531" s="454" t="str">
        <f t="shared" si="598"/>
        <v>*</v>
      </c>
      <c r="AG531" s="454" t="str">
        <f t="shared" si="598"/>
        <v>*</v>
      </c>
      <c r="AH531" s="454" t="str">
        <f t="shared" si="598"/>
        <v>*</v>
      </c>
    </row>
    <row r="532" spans="1:34" ht="12.75">
      <c r="A532" s="14" t="s">
        <v>3966</v>
      </c>
      <c r="B532" s="13" t="s">
        <v>2668</v>
      </c>
      <c r="C532" s="14" t="s">
        <v>2669</v>
      </c>
      <c r="D532" s="14" t="s">
        <v>2911</v>
      </c>
      <c r="E532" s="14" t="s">
        <v>3967</v>
      </c>
      <c r="F532" s="13">
        <v>40.96</v>
      </c>
      <c r="G532" s="14" t="s">
        <v>3968</v>
      </c>
      <c r="H532" s="473" t="s">
        <v>3969</v>
      </c>
      <c r="I532" s="14" t="s">
        <v>4027</v>
      </c>
      <c r="J532" s="14" t="s">
        <v>4028</v>
      </c>
      <c r="K532" s="65">
        <f t="shared" si="595"/>
        <v>5.0505050505050504E-2</v>
      </c>
      <c r="L532" s="220">
        <v>2</v>
      </c>
      <c r="M532" s="13" t="s">
        <v>4028</v>
      </c>
      <c r="N532" s="13" t="s">
        <v>3972</v>
      </c>
      <c r="O532" s="480" t="s">
        <v>1624</v>
      </c>
      <c r="P532" s="14" t="s">
        <v>2945</v>
      </c>
      <c r="Q532" s="486" t="s">
        <v>2946</v>
      </c>
      <c r="R532" s="14">
        <v>11.5</v>
      </c>
      <c r="S532" s="14">
        <f t="shared" si="556"/>
        <v>0.23</v>
      </c>
      <c r="T532" s="487">
        <f>SUM(R529:R535)</f>
        <v>90.5</v>
      </c>
      <c r="U532" s="14">
        <f t="shared" si="554"/>
        <v>12.707182320441989</v>
      </c>
      <c r="V532" s="220">
        <f t="shared" si="523"/>
        <v>12.707182320441989</v>
      </c>
      <c r="W532" s="14" t="s">
        <v>433</v>
      </c>
      <c r="X532" s="87">
        <f t="shared" si="555"/>
        <v>0.64177688487080753</v>
      </c>
      <c r="Y532" s="548" t="s">
        <v>1666</v>
      </c>
      <c r="Z532" s="220" t="s">
        <v>1666</v>
      </c>
      <c r="AA532" s="792" t="str">
        <f t="shared" ref="AA532:AH532" si="599">Z532</f>
        <v>*</v>
      </c>
      <c r="AB532" s="458" t="str">
        <f t="shared" si="599"/>
        <v>*</v>
      </c>
      <c r="AC532" s="497" t="str">
        <f t="shared" si="599"/>
        <v>*</v>
      </c>
      <c r="AD532" s="497" t="str">
        <f t="shared" si="599"/>
        <v>*</v>
      </c>
      <c r="AE532" s="454" t="str">
        <f t="shared" si="599"/>
        <v>*</v>
      </c>
      <c r="AF532" s="454" t="str">
        <f t="shared" si="599"/>
        <v>*</v>
      </c>
      <c r="AG532" s="454" t="str">
        <f t="shared" si="599"/>
        <v>*</v>
      </c>
      <c r="AH532" s="454" t="str">
        <f t="shared" si="599"/>
        <v>*</v>
      </c>
    </row>
    <row r="533" spans="1:34" ht="12.75">
      <c r="A533" s="14" t="s">
        <v>3966</v>
      </c>
      <c r="B533" s="13" t="s">
        <v>2668</v>
      </c>
      <c r="C533" s="14" t="s">
        <v>2669</v>
      </c>
      <c r="D533" s="14" t="s">
        <v>2911</v>
      </c>
      <c r="E533" s="14" t="s">
        <v>3967</v>
      </c>
      <c r="F533" s="13">
        <v>40.96</v>
      </c>
      <c r="G533" s="14" t="s">
        <v>3968</v>
      </c>
      <c r="H533" s="473" t="s">
        <v>3969</v>
      </c>
      <c r="I533" s="14" t="s">
        <v>4027</v>
      </c>
      <c r="J533" s="14" t="s">
        <v>4028</v>
      </c>
      <c r="K533" s="65">
        <f t="shared" si="595"/>
        <v>5.0505050505050504E-2</v>
      </c>
      <c r="L533" s="220">
        <v>2</v>
      </c>
      <c r="M533" s="13" t="s">
        <v>4028</v>
      </c>
      <c r="N533" s="13" t="s">
        <v>3972</v>
      </c>
      <c r="O533" s="480" t="s">
        <v>1624</v>
      </c>
      <c r="P533" s="14" t="s">
        <v>3973</v>
      </c>
      <c r="Q533" s="486" t="s">
        <v>3998</v>
      </c>
      <c r="R533" s="14">
        <v>5</v>
      </c>
      <c r="S533" s="14">
        <f t="shared" si="556"/>
        <v>0.1</v>
      </c>
      <c r="T533" s="487">
        <f>SUM(R529:R535)</f>
        <v>90.5</v>
      </c>
      <c r="U533" s="14">
        <f t="shared" si="554"/>
        <v>5.5248618784530388</v>
      </c>
      <c r="V533" s="220">
        <f t="shared" si="523"/>
        <v>5.5248618784530388</v>
      </c>
      <c r="W533" s="14" t="s">
        <v>1112</v>
      </c>
      <c r="X533" s="87">
        <f t="shared" si="555"/>
        <v>0.2790334282046989</v>
      </c>
      <c r="Y533" s="548" t="s">
        <v>1666</v>
      </c>
      <c r="Z533" s="220" t="s">
        <v>1666</v>
      </c>
      <c r="AA533" s="792" t="str">
        <f t="shared" ref="AA533:AH533" si="600">Z533</f>
        <v>*</v>
      </c>
      <c r="AB533" s="458" t="str">
        <f t="shared" si="600"/>
        <v>*</v>
      </c>
      <c r="AC533" s="497" t="str">
        <f t="shared" si="600"/>
        <v>*</v>
      </c>
      <c r="AD533" s="497" t="str">
        <f t="shared" si="600"/>
        <v>*</v>
      </c>
      <c r="AE533" s="454" t="str">
        <f t="shared" si="600"/>
        <v>*</v>
      </c>
      <c r="AF533" s="454" t="str">
        <f t="shared" si="600"/>
        <v>*</v>
      </c>
      <c r="AG533" s="454" t="str">
        <f t="shared" si="600"/>
        <v>*</v>
      </c>
      <c r="AH533" s="454" t="str">
        <f t="shared" si="600"/>
        <v>*</v>
      </c>
    </row>
    <row r="534" spans="1:34" ht="12.75">
      <c r="A534" s="14" t="s">
        <v>3966</v>
      </c>
      <c r="B534" s="13" t="s">
        <v>2668</v>
      </c>
      <c r="C534" s="14" t="s">
        <v>2669</v>
      </c>
      <c r="D534" s="14" t="s">
        <v>2911</v>
      </c>
      <c r="E534" s="14" t="s">
        <v>3967</v>
      </c>
      <c r="F534" s="13">
        <v>40.96</v>
      </c>
      <c r="G534" s="14" t="s">
        <v>3968</v>
      </c>
      <c r="H534" s="473" t="s">
        <v>3969</v>
      </c>
      <c r="I534" s="14" t="s">
        <v>4027</v>
      </c>
      <c r="J534" s="14" t="s">
        <v>4028</v>
      </c>
      <c r="K534" s="65">
        <f t="shared" si="595"/>
        <v>5.0505050505050504E-2</v>
      </c>
      <c r="L534" s="220">
        <v>2</v>
      </c>
      <c r="M534" s="13" t="s">
        <v>4028</v>
      </c>
      <c r="N534" s="13" t="s">
        <v>3972</v>
      </c>
      <c r="O534" s="480" t="s">
        <v>1624</v>
      </c>
      <c r="P534" s="14" t="s">
        <v>3008</v>
      </c>
      <c r="Q534" s="486" t="s">
        <v>3009</v>
      </c>
      <c r="R534" s="14">
        <v>5</v>
      </c>
      <c r="S534" s="14">
        <f t="shared" si="556"/>
        <v>0.1</v>
      </c>
      <c r="T534" s="487">
        <f>SUM(R529:R535)</f>
        <v>90.5</v>
      </c>
      <c r="U534" s="14">
        <f t="shared" si="554"/>
        <v>5.5248618784530388</v>
      </c>
      <c r="V534" s="220">
        <f t="shared" si="523"/>
        <v>5.5248618784530388</v>
      </c>
      <c r="W534" s="14" t="s">
        <v>1588</v>
      </c>
      <c r="X534" s="87">
        <f t="shared" si="555"/>
        <v>0.2790334282046989</v>
      </c>
      <c r="Y534" s="548" t="s">
        <v>1666</v>
      </c>
      <c r="Z534" s="220" t="s">
        <v>1666</v>
      </c>
      <c r="AA534" s="792" t="str">
        <f t="shared" ref="AA534:AH534" si="601">Z534</f>
        <v>*</v>
      </c>
      <c r="AB534" s="458" t="str">
        <f t="shared" si="601"/>
        <v>*</v>
      </c>
      <c r="AC534" s="497" t="str">
        <f t="shared" si="601"/>
        <v>*</v>
      </c>
      <c r="AD534" s="497" t="str">
        <f t="shared" si="601"/>
        <v>*</v>
      </c>
      <c r="AE534" s="454" t="str">
        <f t="shared" si="601"/>
        <v>*</v>
      </c>
      <c r="AF534" s="454" t="str">
        <f t="shared" si="601"/>
        <v>*</v>
      </c>
      <c r="AG534" s="454" t="str">
        <f t="shared" si="601"/>
        <v>*</v>
      </c>
      <c r="AH534" s="454" t="str">
        <f t="shared" si="601"/>
        <v>*</v>
      </c>
    </row>
    <row r="535" spans="1:34" ht="12.75">
      <c r="A535" s="14" t="s">
        <v>3966</v>
      </c>
      <c r="B535" s="13" t="s">
        <v>2668</v>
      </c>
      <c r="C535" s="14" t="s">
        <v>2669</v>
      </c>
      <c r="D535" s="14" t="s">
        <v>2911</v>
      </c>
      <c r="E535" s="14" t="s">
        <v>3967</v>
      </c>
      <c r="F535" s="13">
        <v>40.96</v>
      </c>
      <c r="G535" s="14" t="s">
        <v>3968</v>
      </c>
      <c r="H535" s="473" t="s">
        <v>3969</v>
      </c>
      <c r="I535" s="14" t="s">
        <v>4027</v>
      </c>
      <c r="J535" s="14" t="s">
        <v>4028</v>
      </c>
      <c r="K535" s="546">
        <f t="shared" si="595"/>
        <v>5.0505050505050504E-2</v>
      </c>
      <c r="L535" s="220">
        <v>2</v>
      </c>
      <c r="M535" s="13" t="s">
        <v>4028</v>
      </c>
      <c r="N535" s="477" t="s">
        <v>3972</v>
      </c>
      <c r="O535" s="494" t="s">
        <v>1624</v>
      </c>
      <c r="P535" s="14" t="s">
        <v>3873</v>
      </c>
      <c r="Q535" s="495" t="s">
        <v>3874</v>
      </c>
      <c r="R535" s="14">
        <v>5</v>
      </c>
      <c r="S535" s="14">
        <f t="shared" si="556"/>
        <v>0.1</v>
      </c>
      <c r="T535" s="476">
        <f>SUM(R529:R535)</f>
        <v>90.5</v>
      </c>
      <c r="U535" s="135">
        <f t="shared" si="554"/>
        <v>5.5248618784530388</v>
      </c>
      <c r="V535" s="476">
        <f t="shared" si="523"/>
        <v>5.5248618784530388</v>
      </c>
      <c r="W535" s="14" t="s">
        <v>1124</v>
      </c>
      <c r="X535" s="87">
        <f t="shared" si="555"/>
        <v>0.2790334282046989</v>
      </c>
      <c r="Y535" s="548" t="s">
        <v>1666</v>
      </c>
      <c r="Z535" s="220" t="s">
        <v>1666</v>
      </c>
      <c r="AA535" s="792" t="str">
        <f t="shared" ref="AA535:AH535" si="602">Z535</f>
        <v>*</v>
      </c>
      <c r="AB535" s="458" t="str">
        <f t="shared" si="602"/>
        <v>*</v>
      </c>
      <c r="AC535" s="497" t="str">
        <f t="shared" si="602"/>
        <v>*</v>
      </c>
      <c r="AD535" s="497" t="str">
        <f t="shared" si="602"/>
        <v>*</v>
      </c>
      <c r="AE535" s="454" t="str">
        <f t="shared" si="602"/>
        <v>*</v>
      </c>
      <c r="AF535" s="454" t="str">
        <f t="shared" si="602"/>
        <v>*</v>
      </c>
      <c r="AG535" s="454" t="str">
        <f t="shared" si="602"/>
        <v>*</v>
      </c>
      <c r="AH535" s="454" t="str">
        <f t="shared" si="602"/>
        <v>*</v>
      </c>
    </row>
    <row r="536" spans="1:34" ht="12.75">
      <c r="A536" s="14" t="s">
        <v>3966</v>
      </c>
      <c r="B536" s="13" t="s">
        <v>2668</v>
      </c>
      <c r="C536" s="14" t="s">
        <v>2669</v>
      </c>
      <c r="D536" s="14" t="s">
        <v>2911</v>
      </c>
      <c r="E536" s="14" t="s">
        <v>3967</v>
      </c>
      <c r="F536" s="13">
        <v>40.96</v>
      </c>
      <c r="G536" s="14" t="s">
        <v>3968</v>
      </c>
      <c r="H536" s="473" t="s">
        <v>3969</v>
      </c>
      <c r="I536" s="162" t="s">
        <v>4030</v>
      </c>
      <c r="J536" s="162" t="s">
        <v>4031</v>
      </c>
      <c r="K536" s="65">
        <f t="shared" si="595"/>
        <v>5.0505050505050504E-2</v>
      </c>
      <c r="L536" s="551">
        <v>2.13</v>
      </c>
      <c r="M536" s="552" t="s">
        <v>4031</v>
      </c>
      <c r="N536" s="13" t="s">
        <v>3972</v>
      </c>
      <c r="O536" s="480" t="s">
        <v>1624</v>
      </c>
      <c r="P536" s="893" t="s">
        <v>4032</v>
      </c>
      <c r="Q536" s="486" t="s">
        <v>4033</v>
      </c>
      <c r="R536" s="162">
        <v>56</v>
      </c>
      <c r="S536" s="162">
        <f t="shared" si="556"/>
        <v>1.1928000000000001</v>
      </c>
      <c r="T536" s="487">
        <f>SUM(R536:R541)</f>
        <v>94</v>
      </c>
      <c r="U536" s="14">
        <f t="shared" si="554"/>
        <v>59.574468085106382</v>
      </c>
      <c r="V536" s="220">
        <f t="shared" si="523"/>
        <v>59.574468085106382</v>
      </c>
      <c r="W536" s="162" t="s">
        <v>4034</v>
      </c>
      <c r="X536" s="87">
        <f t="shared" si="555"/>
        <v>3.0088115194498171</v>
      </c>
      <c r="Y536" s="548" t="s">
        <v>1666</v>
      </c>
      <c r="Z536" s="220" t="s">
        <v>1666</v>
      </c>
      <c r="AA536" s="792" t="str">
        <f t="shared" ref="AA536:AH536" si="603">Z536</f>
        <v>*</v>
      </c>
      <c r="AB536" s="458" t="str">
        <f t="shared" si="603"/>
        <v>*</v>
      </c>
      <c r="AC536" s="497" t="str">
        <f t="shared" si="603"/>
        <v>*</v>
      </c>
      <c r="AD536" s="497" t="str">
        <f t="shared" si="603"/>
        <v>*</v>
      </c>
      <c r="AE536" s="454" t="str">
        <f t="shared" si="603"/>
        <v>*</v>
      </c>
      <c r="AF536" s="454" t="str">
        <f t="shared" si="603"/>
        <v>*</v>
      </c>
      <c r="AG536" s="454" t="str">
        <f t="shared" si="603"/>
        <v>*</v>
      </c>
      <c r="AH536" s="454" t="str">
        <f t="shared" si="603"/>
        <v>*</v>
      </c>
    </row>
    <row r="537" spans="1:34" ht="12.75">
      <c r="A537" s="14" t="s">
        <v>3966</v>
      </c>
      <c r="B537" s="13" t="s">
        <v>2668</v>
      </c>
      <c r="C537" s="14" t="s">
        <v>2669</v>
      </c>
      <c r="D537" s="14" t="s">
        <v>2911</v>
      </c>
      <c r="E537" s="14" t="s">
        <v>3967</v>
      </c>
      <c r="F537" s="13">
        <v>40.96</v>
      </c>
      <c r="G537" s="14" t="s">
        <v>3968</v>
      </c>
      <c r="H537" s="473" t="s">
        <v>3969</v>
      </c>
      <c r="I537" s="14" t="s">
        <v>4030</v>
      </c>
      <c r="J537" s="14" t="s">
        <v>4031</v>
      </c>
      <c r="K537" s="65">
        <f t="shared" si="595"/>
        <v>5.0505050505050504E-2</v>
      </c>
      <c r="L537" s="220">
        <v>2.13</v>
      </c>
      <c r="M537" s="13" t="s">
        <v>4031</v>
      </c>
      <c r="N537" s="13" t="s">
        <v>3972</v>
      </c>
      <c r="O537" s="480" t="s">
        <v>1624</v>
      </c>
      <c r="P537" s="14" t="s">
        <v>2945</v>
      </c>
      <c r="Q537" s="486" t="s">
        <v>2946</v>
      </c>
      <c r="R537" s="14">
        <v>18</v>
      </c>
      <c r="S537" s="14">
        <f t="shared" si="556"/>
        <v>0.38339999999999996</v>
      </c>
      <c r="T537" s="487">
        <f>SUM(R536:R541)</f>
        <v>94</v>
      </c>
      <c r="U537" s="14">
        <f t="shared" si="554"/>
        <v>19.148936170212767</v>
      </c>
      <c r="V537" s="220">
        <f t="shared" si="523"/>
        <v>19.148936170212767</v>
      </c>
      <c r="W537" s="14" t="s">
        <v>433</v>
      </c>
      <c r="X537" s="87">
        <f t="shared" si="555"/>
        <v>0.96711798839458418</v>
      </c>
      <c r="Y537" s="548" t="s">
        <v>1666</v>
      </c>
      <c r="Z537" s="220" t="s">
        <v>1666</v>
      </c>
      <c r="AA537" s="792" t="str">
        <f t="shared" ref="AA537:AH537" si="604">Z537</f>
        <v>*</v>
      </c>
      <c r="AB537" s="458" t="str">
        <f t="shared" si="604"/>
        <v>*</v>
      </c>
      <c r="AC537" s="497" t="str">
        <f t="shared" si="604"/>
        <v>*</v>
      </c>
      <c r="AD537" s="497" t="str">
        <f t="shared" si="604"/>
        <v>*</v>
      </c>
      <c r="AE537" s="454" t="str">
        <f t="shared" si="604"/>
        <v>*</v>
      </c>
      <c r="AF537" s="454" t="str">
        <f t="shared" si="604"/>
        <v>*</v>
      </c>
      <c r="AG537" s="454" t="str">
        <f t="shared" si="604"/>
        <v>*</v>
      </c>
      <c r="AH537" s="454" t="str">
        <f t="shared" si="604"/>
        <v>*</v>
      </c>
    </row>
    <row r="538" spans="1:34" ht="12.75">
      <c r="A538" s="14" t="s">
        <v>3966</v>
      </c>
      <c r="B538" s="13" t="s">
        <v>2668</v>
      </c>
      <c r="C538" s="14" t="s">
        <v>2669</v>
      </c>
      <c r="D538" s="14" t="s">
        <v>2911</v>
      </c>
      <c r="E538" s="14" t="s">
        <v>3967</v>
      </c>
      <c r="F538" s="13">
        <v>40.96</v>
      </c>
      <c r="G538" s="14" t="s">
        <v>3968</v>
      </c>
      <c r="H538" s="473" t="s">
        <v>3969</v>
      </c>
      <c r="I538" s="14" t="s">
        <v>4030</v>
      </c>
      <c r="J538" s="14" t="s">
        <v>4031</v>
      </c>
      <c r="K538" s="65">
        <f t="shared" si="595"/>
        <v>5.0505050505050504E-2</v>
      </c>
      <c r="L538" s="220">
        <v>2.13</v>
      </c>
      <c r="M538" s="13" t="s">
        <v>4031</v>
      </c>
      <c r="N538" s="13" t="s">
        <v>3972</v>
      </c>
      <c r="O538" s="480" t="s">
        <v>1624</v>
      </c>
      <c r="P538" s="14" t="s">
        <v>4035</v>
      </c>
      <c r="Q538" s="553" t="s">
        <v>4036</v>
      </c>
      <c r="R538" s="14">
        <v>5</v>
      </c>
      <c r="S538" s="14">
        <f t="shared" si="556"/>
        <v>0.1065</v>
      </c>
      <c r="T538" s="487">
        <f>SUM(R536:R541)</f>
        <v>94</v>
      </c>
      <c r="U538" s="14">
        <f t="shared" si="554"/>
        <v>5.3191489361702127</v>
      </c>
      <c r="V538" s="220">
        <f t="shared" si="523"/>
        <v>5.3191489361702127</v>
      </c>
      <c r="W538" s="14" t="s">
        <v>222</v>
      </c>
      <c r="X538" s="87">
        <f t="shared" si="555"/>
        <v>0.26864388566516223</v>
      </c>
      <c r="Y538" s="548" t="s">
        <v>1666</v>
      </c>
      <c r="Z538" s="220" t="s">
        <v>1666</v>
      </c>
      <c r="AA538" s="792" t="str">
        <f t="shared" ref="AA538:AA543" si="605">Z538</f>
        <v>*</v>
      </c>
      <c r="AB538" s="18" t="s">
        <v>1666</v>
      </c>
      <c r="AC538" s="13" t="str">
        <f t="shared" ref="AC538:AH538" si="606">AB538</f>
        <v>*</v>
      </c>
      <c r="AD538" s="13" t="str">
        <f t="shared" si="606"/>
        <v>*</v>
      </c>
      <c r="AE538" s="454" t="str">
        <f t="shared" si="606"/>
        <v>*</v>
      </c>
      <c r="AF538" s="454" t="str">
        <f t="shared" si="606"/>
        <v>*</v>
      </c>
      <c r="AG538" s="454" t="str">
        <f t="shared" si="606"/>
        <v>*</v>
      </c>
      <c r="AH538" s="454" t="str">
        <f t="shared" si="606"/>
        <v>*</v>
      </c>
    </row>
    <row r="539" spans="1:34" ht="12.75">
      <c r="A539" s="14" t="s">
        <v>3966</v>
      </c>
      <c r="B539" s="13" t="s">
        <v>2668</v>
      </c>
      <c r="C539" s="14" t="s">
        <v>2669</v>
      </c>
      <c r="D539" s="14" t="s">
        <v>2911</v>
      </c>
      <c r="E539" s="14" t="s">
        <v>3967</v>
      </c>
      <c r="F539" s="13">
        <v>40.96</v>
      </c>
      <c r="G539" s="14" t="s">
        <v>3968</v>
      </c>
      <c r="H539" s="473" t="s">
        <v>3969</v>
      </c>
      <c r="I539" s="14" t="s">
        <v>4030</v>
      </c>
      <c r="J539" s="14" t="s">
        <v>4031</v>
      </c>
      <c r="K539" s="65">
        <f t="shared" si="595"/>
        <v>5.0505050505050504E-2</v>
      </c>
      <c r="L539" s="220">
        <v>2.13</v>
      </c>
      <c r="M539" s="13" t="s">
        <v>4031</v>
      </c>
      <c r="N539" s="13" t="s">
        <v>3972</v>
      </c>
      <c r="O539" s="480" t="s">
        <v>1624</v>
      </c>
      <c r="P539" s="14" t="s">
        <v>3859</v>
      </c>
      <c r="Q539" s="486" t="s">
        <v>3860</v>
      </c>
      <c r="R539" s="14">
        <v>5</v>
      </c>
      <c r="S539" s="14">
        <f t="shared" si="556"/>
        <v>0.1065</v>
      </c>
      <c r="T539" s="487">
        <f>SUM(R536:R541)</f>
        <v>94</v>
      </c>
      <c r="U539" s="14">
        <f t="shared" si="554"/>
        <v>5.3191489361702127</v>
      </c>
      <c r="V539" s="220">
        <f t="shared" si="523"/>
        <v>5.3191489361702127</v>
      </c>
      <c r="W539" s="14" t="s">
        <v>222</v>
      </c>
      <c r="X539" s="87">
        <f t="shared" si="555"/>
        <v>0.26864388566516223</v>
      </c>
      <c r="Y539" s="548" t="s">
        <v>1666</v>
      </c>
      <c r="Z539" s="220" t="s">
        <v>1666</v>
      </c>
      <c r="AA539" s="792" t="str">
        <f t="shared" si="605"/>
        <v>*</v>
      </c>
      <c r="AB539" s="458" t="str">
        <f t="shared" ref="AB539:AH539" si="607">AA539</f>
        <v>*</v>
      </c>
      <c r="AC539" s="497" t="str">
        <f t="shared" si="607"/>
        <v>*</v>
      </c>
      <c r="AD539" s="497" t="str">
        <f t="shared" si="607"/>
        <v>*</v>
      </c>
      <c r="AE539" s="454" t="str">
        <f t="shared" si="607"/>
        <v>*</v>
      </c>
      <c r="AF539" s="454" t="str">
        <f t="shared" si="607"/>
        <v>*</v>
      </c>
      <c r="AG539" s="454" t="str">
        <f t="shared" si="607"/>
        <v>*</v>
      </c>
      <c r="AH539" s="454" t="str">
        <f t="shared" si="607"/>
        <v>*</v>
      </c>
    </row>
    <row r="540" spans="1:34" ht="12.75">
      <c r="A540" s="14" t="s">
        <v>3966</v>
      </c>
      <c r="B540" s="13" t="s">
        <v>2668</v>
      </c>
      <c r="C540" s="14" t="s">
        <v>2669</v>
      </c>
      <c r="D540" s="14" t="s">
        <v>2911</v>
      </c>
      <c r="E540" s="14" t="s">
        <v>3967</v>
      </c>
      <c r="F540" s="13">
        <v>40.96</v>
      </c>
      <c r="G540" s="14" t="s">
        <v>3968</v>
      </c>
      <c r="H540" s="473" t="s">
        <v>3969</v>
      </c>
      <c r="I540" s="14" t="s">
        <v>4030</v>
      </c>
      <c r="J540" s="14" t="s">
        <v>4031</v>
      </c>
      <c r="K540" s="65">
        <f t="shared" si="595"/>
        <v>5.0505050505050504E-2</v>
      </c>
      <c r="L540" s="220">
        <v>2.13</v>
      </c>
      <c r="M540" s="13" t="s">
        <v>4031</v>
      </c>
      <c r="N540" s="13" t="s">
        <v>3972</v>
      </c>
      <c r="O540" s="480" t="s">
        <v>1624</v>
      </c>
      <c r="P540" s="655" t="s">
        <v>3978</v>
      </c>
      <c r="Q540" s="486" t="s">
        <v>3979</v>
      </c>
      <c r="R540" s="14">
        <v>5</v>
      </c>
      <c r="S540" s="14">
        <f t="shared" si="556"/>
        <v>0.1065</v>
      </c>
      <c r="T540" s="487">
        <f>SUM(R536:R541)</f>
        <v>94</v>
      </c>
      <c r="U540" s="14">
        <f t="shared" si="554"/>
        <v>5.3191489361702127</v>
      </c>
      <c r="V540" s="220">
        <f t="shared" si="523"/>
        <v>5.3191489361702127</v>
      </c>
      <c r="W540" s="14" t="s">
        <v>2658</v>
      </c>
      <c r="X540" s="87">
        <f t="shared" si="555"/>
        <v>0.26864388566516223</v>
      </c>
      <c r="Y540" s="548" t="s">
        <v>1666</v>
      </c>
      <c r="Z540" s="220" t="s">
        <v>1666</v>
      </c>
      <c r="AA540" s="792" t="str">
        <f t="shared" si="605"/>
        <v>*</v>
      </c>
      <c r="AB540" s="458" t="str">
        <f t="shared" ref="AB540:AH540" si="608">AA540</f>
        <v>*</v>
      </c>
      <c r="AC540" s="497" t="str">
        <f t="shared" si="608"/>
        <v>*</v>
      </c>
      <c r="AD540" s="497" t="str">
        <f t="shared" si="608"/>
        <v>*</v>
      </c>
      <c r="AE540" s="454" t="str">
        <f t="shared" si="608"/>
        <v>*</v>
      </c>
      <c r="AF540" s="454" t="str">
        <f t="shared" si="608"/>
        <v>*</v>
      </c>
      <c r="AG540" s="454" t="str">
        <f t="shared" si="608"/>
        <v>*</v>
      </c>
      <c r="AH540" s="454" t="str">
        <f t="shared" si="608"/>
        <v>*</v>
      </c>
    </row>
    <row r="541" spans="1:34" ht="12.75">
      <c r="A541" s="617" t="s">
        <v>3966</v>
      </c>
      <c r="B541" s="799" t="s">
        <v>2668</v>
      </c>
      <c r="C541" s="617" t="s">
        <v>2669</v>
      </c>
      <c r="D541" s="617" t="s">
        <v>2911</v>
      </c>
      <c r="E541" s="617" t="s">
        <v>3967</v>
      </c>
      <c r="F541" s="799">
        <v>40.96</v>
      </c>
      <c r="G541" s="617" t="s">
        <v>3968</v>
      </c>
      <c r="H541" s="850" t="s">
        <v>3969</v>
      </c>
      <c r="I541" s="617" t="s">
        <v>4030</v>
      </c>
      <c r="J541" s="617" t="s">
        <v>4031</v>
      </c>
      <c r="K541" s="894">
        <f t="shared" si="595"/>
        <v>5.0505050505050504E-2</v>
      </c>
      <c r="L541" s="725">
        <v>2.13</v>
      </c>
      <c r="M541" s="799" t="s">
        <v>4031</v>
      </c>
      <c r="N541" s="799" t="s">
        <v>3972</v>
      </c>
      <c r="O541" s="842" t="s">
        <v>1624</v>
      </c>
      <c r="P541" s="617" t="s">
        <v>3873</v>
      </c>
      <c r="Q541" s="856" t="s">
        <v>3991</v>
      </c>
      <c r="R541" s="617">
        <v>5</v>
      </c>
      <c r="S541" s="617">
        <f t="shared" si="556"/>
        <v>0.1065</v>
      </c>
      <c r="T541" s="725">
        <f>SUM(R536:R541)</f>
        <v>94</v>
      </c>
      <c r="U541" s="617">
        <f t="shared" si="554"/>
        <v>5.3191489361702127</v>
      </c>
      <c r="V541" s="725">
        <f t="shared" si="523"/>
        <v>5.3191489361702127</v>
      </c>
      <c r="W541" s="617" t="s">
        <v>1124</v>
      </c>
      <c r="X541" s="895">
        <f t="shared" si="555"/>
        <v>0.26864388566516223</v>
      </c>
      <c r="Y541" s="896" t="s">
        <v>1666</v>
      </c>
      <c r="Z541" s="725" t="s">
        <v>1666</v>
      </c>
      <c r="AA541" s="455" t="str">
        <f t="shared" si="605"/>
        <v>*</v>
      </c>
      <c r="AB541" s="821" t="str">
        <f t="shared" ref="AB541:AH541" si="609">AA541</f>
        <v>*</v>
      </c>
      <c r="AC541" s="869" t="str">
        <f t="shared" si="609"/>
        <v>*</v>
      </c>
      <c r="AD541" s="869" t="str">
        <f t="shared" si="609"/>
        <v>*</v>
      </c>
      <c r="AE541" s="808" t="str">
        <f t="shared" si="609"/>
        <v>*</v>
      </c>
      <c r="AF541" s="808" t="str">
        <f t="shared" si="609"/>
        <v>*</v>
      </c>
      <c r="AG541" s="808" t="str">
        <f t="shared" si="609"/>
        <v>*</v>
      </c>
      <c r="AH541" s="808" t="str">
        <f t="shared" si="609"/>
        <v>*</v>
      </c>
    </row>
    <row r="542" spans="1:34" ht="12.75">
      <c r="A542" s="14" t="s">
        <v>4037</v>
      </c>
      <c r="B542" s="13" t="s">
        <v>2668</v>
      </c>
      <c r="C542" s="14" t="s">
        <v>2676</v>
      </c>
      <c r="D542" s="14" t="s">
        <v>2911</v>
      </c>
      <c r="E542" s="14" t="s">
        <v>4038</v>
      </c>
      <c r="F542" s="13">
        <v>231.02</v>
      </c>
      <c r="G542" s="14" t="s">
        <v>2999</v>
      </c>
      <c r="H542" s="13" t="s">
        <v>2973</v>
      </c>
      <c r="I542" s="135" t="s">
        <v>4039</v>
      </c>
      <c r="J542" s="135" t="s">
        <v>4040</v>
      </c>
      <c r="K542" s="475">
        <f>13/109.5</f>
        <v>0.11872146118721461</v>
      </c>
      <c r="L542" s="476">
        <v>6.11</v>
      </c>
      <c r="M542" s="492" t="s">
        <v>4041</v>
      </c>
      <c r="N542" s="492"/>
      <c r="O542" s="494"/>
      <c r="P542" s="135" t="s">
        <v>3973</v>
      </c>
      <c r="Q542" s="495" t="s">
        <v>3998</v>
      </c>
      <c r="R542" s="135">
        <v>100</v>
      </c>
      <c r="S542" s="135">
        <f t="shared" si="556"/>
        <v>6.11</v>
      </c>
      <c r="T542" s="476">
        <f t="shared" ref="T542:T548" si="610">R542</f>
        <v>100</v>
      </c>
      <c r="U542" s="135">
        <f t="shared" si="554"/>
        <v>100</v>
      </c>
      <c r="V542" s="476">
        <f t="shared" si="523"/>
        <v>100</v>
      </c>
      <c r="W542" s="135" t="s">
        <v>1112</v>
      </c>
      <c r="X542">
        <f>(V542*K542)/SUM(K542:K543,K545:K548)</f>
        <v>12.935323383084578</v>
      </c>
      <c r="Y542" s="220">
        <f>SUM(X542,X543,X545,X547)</f>
        <v>98.507462686567166</v>
      </c>
      <c r="Z542" s="220">
        <f>X542</f>
        <v>12.935323383084578</v>
      </c>
      <c r="AA542" s="792">
        <f t="shared" si="605"/>
        <v>12.935323383084578</v>
      </c>
      <c r="AB542" s="18" t="s">
        <v>2677</v>
      </c>
      <c r="AC542" s="13" t="s">
        <v>244</v>
      </c>
      <c r="AD542" s="13" t="s">
        <v>3975</v>
      </c>
      <c r="AE542" s="12">
        <v>7.6594132480302998E-3</v>
      </c>
      <c r="AF542" s="12">
        <v>0.25452159072024799</v>
      </c>
      <c r="AG542" s="12">
        <v>2.4499999999999999E-4</v>
      </c>
      <c r="AH542" s="12">
        <v>3.0864741882572887E-4</v>
      </c>
    </row>
    <row r="543" spans="1:34" ht="12.75">
      <c r="A543" s="14" t="s">
        <v>4037</v>
      </c>
      <c r="B543" s="13" t="s">
        <v>2668</v>
      </c>
      <c r="C543" s="14" t="s">
        <v>2676</v>
      </c>
      <c r="D543" s="14" t="s">
        <v>2911</v>
      </c>
      <c r="E543" s="14" t="s">
        <v>4038</v>
      </c>
      <c r="F543" s="13">
        <v>231.02</v>
      </c>
      <c r="G543" s="14" t="s">
        <v>2999</v>
      </c>
      <c r="H543" s="13" t="s">
        <v>2973</v>
      </c>
      <c r="I543" s="298" t="s">
        <v>4042</v>
      </c>
      <c r="J543" s="298" t="s">
        <v>4043</v>
      </c>
      <c r="K543" s="531">
        <f>59/109.5</f>
        <v>0.53881278538812782</v>
      </c>
      <c r="L543" s="528">
        <v>138.06</v>
      </c>
      <c r="M543" s="532" t="s">
        <v>4044</v>
      </c>
      <c r="N543" s="532"/>
      <c r="O543" s="533"/>
      <c r="P543" s="298" t="s">
        <v>4045</v>
      </c>
      <c r="Q543" s="298" t="s">
        <v>4046</v>
      </c>
      <c r="R543" s="135">
        <v>100</v>
      </c>
      <c r="S543" s="298">
        <f t="shared" si="556"/>
        <v>138.06</v>
      </c>
      <c r="T543" s="476">
        <f t="shared" si="610"/>
        <v>100</v>
      </c>
      <c r="U543" s="298">
        <f t="shared" si="554"/>
        <v>100</v>
      </c>
      <c r="V543" s="476">
        <f t="shared" si="523"/>
        <v>100</v>
      </c>
      <c r="W543" s="298" t="s">
        <v>4047</v>
      </c>
      <c r="X543">
        <f>(V543*K543)/SUM(K542:K543,K545:K548)</f>
        <v>58.706467661691541</v>
      </c>
      <c r="Y543" s="220" t="s">
        <v>1666</v>
      </c>
      <c r="Z543" s="220">
        <f>SUM(X543,X545,X547)</f>
        <v>85.572139303482587</v>
      </c>
      <c r="AA543" s="792">
        <f t="shared" si="605"/>
        <v>85.572139303482587</v>
      </c>
      <c r="AB543" s="18" t="s">
        <v>250</v>
      </c>
      <c r="AC543" s="13" t="s">
        <v>4048</v>
      </c>
      <c r="AD543" s="13" t="s">
        <v>175</v>
      </c>
      <c r="AE543" s="12">
        <v>1.4348768881534335E-3</v>
      </c>
      <c r="AF543" s="12">
        <v>4.768082570221005E-2</v>
      </c>
      <c r="AG543" s="12">
        <v>4.5897097625329815E-5</v>
      </c>
      <c r="AH543" s="12">
        <v>5.7820492708777707E-5</v>
      </c>
    </row>
    <row r="544" spans="1:34" ht="12.75">
      <c r="A544" s="14" t="s">
        <v>4037</v>
      </c>
      <c r="B544" s="13" t="s">
        <v>2668</v>
      </c>
      <c r="C544" s="14" t="s">
        <v>2676</v>
      </c>
      <c r="D544" s="14" t="s">
        <v>2911</v>
      </c>
      <c r="E544" s="14" t="s">
        <v>4038</v>
      </c>
      <c r="F544" s="13">
        <v>231.02</v>
      </c>
      <c r="G544" s="14" t="s">
        <v>2999</v>
      </c>
      <c r="H544" s="13" t="s">
        <v>2973</v>
      </c>
      <c r="I544" s="298" t="s">
        <v>2938</v>
      </c>
      <c r="J544" s="298" t="s">
        <v>4049</v>
      </c>
      <c r="K544" s="531">
        <f>9/109.5</f>
        <v>8.2191780821917804E-2</v>
      </c>
      <c r="L544" s="528">
        <v>21.33</v>
      </c>
      <c r="M544" s="532" t="s">
        <v>4050</v>
      </c>
      <c r="N544" s="532"/>
      <c r="O544" s="533"/>
      <c r="P544" s="298" t="s">
        <v>2938</v>
      </c>
      <c r="Q544" s="897" t="s">
        <v>2939</v>
      </c>
      <c r="R544" s="135">
        <v>100</v>
      </c>
      <c r="S544" s="298">
        <f t="shared" si="556"/>
        <v>21.33</v>
      </c>
      <c r="T544" s="476">
        <f t="shared" si="610"/>
        <v>100</v>
      </c>
      <c r="U544" s="298">
        <f t="shared" si="554"/>
        <v>100</v>
      </c>
      <c r="V544" s="476">
        <f t="shared" si="523"/>
        <v>100</v>
      </c>
      <c r="W544" s="554" t="s">
        <v>72</v>
      </c>
      <c r="X544" s="482">
        <f>V544*K544</f>
        <v>8.2191780821917799</v>
      </c>
      <c r="Y544" s="481">
        <f t="shared" ref="Y544:Z544" si="611">X544</f>
        <v>8.2191780821917799</v>
      </c>
      <c r="Z544" s="481">
        <f t="shared" si="611"/>
        <v>8.2191780821917799</v>
      </c>
      <c r="AA544" s="796">
        <f>X544</f>
        <v>8.2191780821917799</v>
      </c>
      <c r="AB544" s="456" t="s">
        <v>72</v>
      </c>
      <c r="AC544" s="469" t="s">
        <v>2938</v>
      </c>
      <c r="AD544" s="469" t="s">
        <v>2940</v>
      </c>
      <c r="AE544" s="457">
        <v>0</v>
      </c>
      <c r="AF544" s="457">
        <v>0</v>
      </c>
      <c r="AG544" s="457">
        <v>0</v>
      </c>
      <c r="AH544" s="457">
        <v>0</v>
      </c>
    </row>
    <row r="545" spans="1:34" ht="12.75">
      <c r="A545" s="14" t="s">
        <v>4037</v>
      </c>
      <c r="B545" s="13" t="s">
        <v>2668</v>
      </c>
      <c r="C545" s="14" t="s">
        <v>2676</v>
      </c>
      <c r="D545" s="14" t="s">
        <v>2911</v>
      </c>
      <c r="E545" s="14" t="s">
        <v>4038</v>
      </c>
      <c r="F545" s="13">
        <v>231.02</v>
      </c>
      <c r="G545" s="14" t="s">
        <v>2999</v>
      </c>
      <c r="H545" s="13" t="s">
        <v>2973</v>
      </c>
      <c r="I545" s="298" t="s">
        <v>4042</v>
      </c>
      <c r="J545" s="298" t="s">
        <v>4043</v>
      </c>
      <c r="K545" s="531">
        <f>23/109.5</f>
        <v>0.21004566210045661</v>
      </c>
      <c r="L545" s="528">
        <v>54.25</v>
      </c>
      <c r="M545" s="532" t="s">
        <v>4044</v>
      </c>
      <c r="N545" s="532"/>
      <c r="O545" s="533"/>
      <c r="P545" s="298" t="s">
        <v>4045</v>
      </c>
      <c r="Q545" s="298" t="s">
        <v>4046</v>
      </c>
      <c r="R545" s="135">
        <v>100</v>
      </c>
      <c r="S545" s="298">
        <f t="shared" si="556"/>
        <v>54.25</v>
      </c>
      <c r="T545" s="476">
        <f t="shared" si="610"/>
        <v>100</v>
      </c>
      <c r="U545" s="298">
        <f t="shared" si="554"/>
        <v>100</v>
      </c>
      <c r="V545" s="476">
        <f t="shared" si="523"/>
        <v>100</v>
      </c>
      <c r="W545" s="298" t="s">
        <v>4043</v>
      </c>
      <c r="X545">
        <f>(V545*K545)/SUM(K542:K543,K545:K548)</f>
        <v>22.885572139303484</v>
      </c>
      <c r="Y545" s="220" t="s">
        <v>1666</v>
      </c>
      <c r="Z545" s="220" t="s">
        <v>1666</v>
      </c>
      <c r="AA545" s="792" t="s">
        <v>1666</v>
      </c>
      <c r="AB545" s="18" t="s">
        <v>1666</v>
      </c>
      <c r="AC545" s="13" t="str">
        <f t="shared" ref="AC545:AH545" si="612">AB545</f>
        <v>*</v>
      </c>
      <c r="AD545" s="13" t="str">
        <f t="shared" si="612"/>
        <v>*</v>
      </c>
      <c r="AE545" s="454" t="str">
        <f t="shared" si="612"/>
        <v>*</v>
      </c>
      <c r="AF545" s="454" t="str">
        <f t="shared" si="612"/>
        <v>*</v>
      </c>
      <c r="AG545" s="454" t="str">
        <f t="shared" si="612"/>
        <v>*</v>
      </c>
      <c r="AH545" s="454" t="str">
        <f t="shared" si="612"/>
        <v>*</v>
      </c>
    </row>
    <row r="546" spans="1:34" ht="12.75">
      <c r="A546" s="14" t="s">
        <v>4037</v>
      </c>
      <c r="B546" s="13" t="s">
        <v>2668</v>
      </c>
      <c r="C546" s="14" t="s">
        <v>2676</v>
      </c>
      <c r="D546" s="14" t="s">
        <v>2911</v>
      </c>
      <c r="E546" s="14" t="s">
        <v>4038</v>
      </c>
      <c r="F546" s="13">
        <v>231.02</v>
      </c>
      <c r="G546" s="14" t="s">
        <v>2999</v>
      </c>
      <c r="H546" s="13" t="s">
        <v>2973</v>
      </c>
      <c r="I546" s="298" t="s">
        <v>2945</v>
      </c>
      <c r="J546" s="298" t="s">
        <v>4051</v>
      </c>
      <c r="K546" s="555">
        <f>1/109.5</f>
        <v>9.1324200913242004E-3</v>
      </c>
      <c r="L546" s="528">
        <v>1.91</v>
      </c>
      <c r="M546" s="532" t="s">
        <v>4052</v>
      </c>
      <c r="N546" s="532"/>
      <c r="O546" s="533"/>
      <c r="P546" s="298" t="s">
        <v>2945</v>
      </c>
      <c r="Q546" s="298" t="s">
        <v>2946</v>
      </c>
      <c r="R546" s="135">
        <v>100</v>
      </c>
      <c r="S546" s="298">
        <f t="shared" si="556"/>
        <v>1.91</v>
      </c>
      <c r="T546" s="476">
        <f t="shared" si="610"/>
        <v>100</v>
      </c>
      <c r="U546" s="298">
        <f t="shared" si="554"/>
        <v>100</v>
      </c>
      <c r="V546" s="476">
        <f t="shared" si="523"/>
        <v>100</v>
      </c>
      <c r="W546" s="298" t="s">
        <v>433</v>
      </c>
      <c r="X546">
        <f>(V546*K546)/SUM(K542:K543,K545:K548)</f>
        <v>0.99502487562189057</v>
      </c>
      <c r="Y546" s="499">
        <f>SUM(X546,X548)</f>
        <v>1.4925373134328359</v>
      </c>
      <c r="Z546" s="220">
        <f t="shared" ref="Z546:AA546" si="613">Y546</f>
        <v>1.4925373134328359</v>
      </c>
      <c r="AA546" s="792">
        <f t="shared" si="613"/>
        <v>1.4925373134328359</v>
      </c>
      <c r="AB546" s="18" t="s">
        <v>433</v>
      </c>
      <c r="AC546" s="13" t="s">
        <v>433</v>
      </c>
      <c r="AD546" s="13" t="s">
        <v>2947</v>
      </c>
      <c r="AE546" s="12">
        <v>3.0104466724907065E-4</v>
      </c>
      <c r="AF546" s="12">
        <v>1.2500000000000001E-2</v>
      </c>
      <c r="AG546" s="12">
        <v>5.1818181818181835E-4</v>
      </c>
      <c r="AH546" s="12">
        <v>4.0084080366977777E-4</v>
      </c>
    </row>
    <row r="547" spans="1:34" ht="12.75">
      <c r="A547" s="14" t="s">
        <v>4037</v>
      </c>
      <c r="B547" s="13" t="s">
        <v>2668</v>
      </c>
      <c r="C547" s="14" t="s">
        <v>2676</v>
      </c>
      <c r="D547" s="14" t="s">
        <v>2911</v>
      </c>
      <c r="E547" s="14" t="s">
        <v>4038</v>
      </c>
      <c r="F547" s="13">
        <v>231.02</v>
      </c>
      <c r="G547" s="14" t="s">
        <v>2999</v>
      </c>
      <c r="H547" s="13" t="s">
        <v>2973</v>
      </c>
      <c r="I547" s="298" t="s">
        <v>4053</v>
      </c>
      <c r="J547" s="298" t="s">
        <v>4043</v>
      </c>
      <c r="K547" s="531">
        <f>4/109.5</f>
        <v>3.6529680365296802E-2</v>
      </c>
      <c r="L547" s="528">
        <v>9.1999999999999993</v>
      </c>
      <c r="M547" s="532" t="s">
        <v>4044</v>
      </c>
      <c r="N547" s="532"/>
      <c r="O547" s="533"/>
      <c r="P547" s="298" t="s">
        <v>4045</v>
      </c>
      <c r="Q547" s="298" t="s">
        <v>4046</v>
      </c>
      <c r="R547" s="135">
        <v>100</v>
      </c>
      <c r="S547" s="298">
        <f t="shared" si="556"/>
        <v>9.1999999999999993</v>
      </c>
      <c r="T547" s="476">
        <f t="shared" si="610"/>
        <v>100</v>
      </c>
      <c r="U547" s="298">
        <f t="shared" si="554"/>
        <v>100</v>
      </c>
      <c r="V547" s="476">
        <f t="shared" si="523"/>
        <v>100</v>
      </c>
      <c r="W547" s="298" t="s">
        <v>4043</v>
      </c>
      <c r="X547">
        <f>(V547*K547)/SUM(K542:K543,K545:K548)</f>
        <v>3.9800995024875623</v>
      </c>
      <c r="Y547" s="220" t="s">
        <v>1666</v>
      </c>
      <c r="Z547" s="220" t="s">
        <v>1666</v>
      </c>
      <c r="AA547" s="792" t="s">
        <v>1666</v>
      </c>
      <c r="AB547" s="18" t="s">
        <v>1666</v>
      </c>
      <c r="AC547" s="13" t="str">
        <f t="shared" ref="AC547:AH547" si="614">AB547</f>
        <v>*</v>
      </c>
      <c r="AD547" s="13" t="str">
        <f t="shared" si="614"/>
        <v>*</v>
      </c>
      <c r="AE547" s="454" t="str">
        <f t="shared" si="614"/>
        <v>*</v>
      </c>
      <c r="AF547" s="454" t="str">
        <f t="shared" si="614"/>
        <v>*</v>
      </c>
      <c r="AG547" s="454" t="str">
        <f t="shared" si="614"/>
        <v>*</v>
      </c>
      <c r="AH547" s="454" t="str">
        <f t="shared" si="614"/>
        <v>*</v>
      </c>
    </row>
    <row r="548" spans="1:34" ht="12.75">
      <c r="A548" s="617" t="s">
        <v>4037</v>
      </c>
      <c r="B548" s="799" t="s">
        <v>2668</v>
      </c>
      <c r="C548" s="617" t="s">
        <v>2676</v>
      </c>
      <c r="D548" s="617" t="s">
        <v>2911</v>
      </c>
      <c r="E548" s="617" t="s">
        <v>4038</v>
      </c>
      <c r="F548" s="799">
        <v>231.02</v>
      </c>
      <c r="G548" s="617" t="s">
        <v>2999</v>
      </c>
      <c r="H548" s="799" t="s">
        <v>2973</v>
      </c>
      <c r="I548" s="520" t="s">
        <v>2945</v>
      </c>
      <c r="J548" s="520" t="s">
        <v>4054</v>
      </c>
      <c r="K548" s="556">
        <f>0.5/109.5</f>
        <v>4.5662100456621002E-3</v>
      </c>
      <c r="L548" s="557">
        <v>0.16</v>
      </c>
      <c r="M548" s="558" t="s">
        <v>4052</v>
      </c>
      <c r="N548" s="558"/>
      <c r="O548" s="559"/>
      <c r="P548" s="520" t="s">
        <v>2945</v>
      </c>
      <c r="Q548" s="520" t="s">
        <v>2946</v>
      </c>
      <c r="R548" s="617">
        <v>100</v>
      </c>
      <c r="S548" s="520">
        <f t="shared" si="556"/>
        <v>0.16</v>
      </c>
      <c r="T548" s="725">
        <f t="shared" si="610"/>
        <v>100</v>
      </c>
      <c r="U548" s="520">
        <f t="shared" si="554"/>
        <v>100</v>
      </c>
      <c r="V548" s="725">
        <f t="shared" si="523"/>
        <v>100</v>
      </c>
      <c r="W548" s="520" t="s">
        <v>433</v>
      </c>
      <c r="X548" s="617">
        <f>(V548*K548)/SUM(K542:K543,K545:K548)</f>
        <v>0.49751243781094528</v>
      </c>
      <c r="Y548" s="725" t="s">
        <v>1666</v>
      </c>
      <c r="Z548" s="725" t="s">
        <v>1666</v>
      </c>
      <c r="AA548" s="455" t="s">
        <v>1666</v>
      </c>
      <c r="AB548" s="821" t="str">
        <f>AA548</f>
        <v>*</v>
      </c>
      <c r="AC548" s="799" t="s">
        <v>1666</v>
      </c>
      <c r="AD548" s="799" t="s">
        <v>1666</v>
      </c>
      <c r="AE548" s="808" t="s">
        <v>1666</v>
      </c>
      <c r="AF548" s="808" t="s">
        <v>1666</v>
      </c>
      <c r="AG548" s="808" t="s">
        <v>1666</v>
      </c>
      <c r="AH548" s="808" t="s">
        <v>1666</v>
      </c>
    </row>
    <row r="549" spans="1:34" ht="12.75">
      <c r="A549" s="14" t="s">
        <v>4055</v>
      </c>
      <c r="B549" s="24" t="s">
        <v>2668</v>
      </c>
      <c r="C549" s="14" t="s">
        <v>2678</v>
      </c>
      <c r="D549" s="14" t="s">
        <v>2911</v>
      </c>
      <c r="E549" s="14" t="s">
        <v>4056</v>
      </c>
      <c r="F549" s="13">
        <v>240.6</v>
      </c>
      <c r="G549" s="14" t="s">
        <v>3658</v>
      </c>
      <c r="H549" s="13">
        <v>8105</v>
      </c>
      <c r="I549" s="14" t="s">
        <v>4057</v>
      </c>
      <c r="J549" s="14" t="s">
        <v>4058</v>
      </c>
      <c r="K549" s="478">
        <v>0.47</v>
      </c>
      <c r="L549" s="220">
        <v>113.27</v>
      </c>
      <c r="M549" s="473" t="s">
        <v>4059</v>
      </c>
      <c r="N549" s="473"/>
      <c r="O549" s="480"/>
      <c r="P549" s="14" t="s">
        <v>4021</v>
      </c>
      <c r="Q549" s="486" t="s">
        <v>4022</v>
      </c>
      <c r="R549" s="14">
        <v>4.5</v>
      </c>
      <c r="S549" s="14">
        <f t="shared" si="556"/>
        <v>5.0971500000000001</v>
      </c>
      <c r="T549" s="220">
        <f>SUM(R549:R553)</f>
        <v>96.5</v>
      </c>
      <c r="U549">
        <f t="shared" si="554"/>
        <v>4.6632124352331603</v>
      </c>
      <c r="V549" s="220">
        <f>U549*100/SUM(U549:U552)</f>
        <v>7.9646017699115044</v>
      </c>
      <c r="W549" s="14" t="s">
        <v>4060</v>
      </c>
      <c r="X549">
        <f t="shared" ref="X549:X696" si="615">V549*K549</f>
        <v>3.7433628318584069</v>
      </c>
      <c r="Y549" s="499">
        <f t="shared" ref="Y549:Y552" si="616">X549</f>
        <v>3.7433628318584069</v>
      </c>
      <c r="Z549" s="220">
        <f>X549</f>
        <v>3.7433628318584069</v>
      </c>
      <c r="AA549" s="792">
        <f>Z549</f>
        <v>3.7433628318584069</v>
      </c>
      <c r="AB549" s="18" t="s">
        <v>271</v>
      </c>
      <c r="AC549" s="13" t="s">
        <v>271</v>
      </c>
      <c r="AD549" s="13" t="s">
        <v>4023</v>
      </c>
      <c r="AE549" s="12">
        <v>8.4188576965875186E-3</v>
      </c>
      <c r="AF549" s="12">
        <v>3.7019919874172996E-2</v>
      </c>
      <c r="AG549" s="12">
        <v>2.5000000000000001E-5</v>
      </c>
      <c r="AH549" s="12">
        <v>2.4250868622021553E-4</v>
      </c>
    </row>
    <row r="550" spans="1:34" ht="12.75">
      <c r="A550" s="14" t="s">
        <v>4055</v>
      </c>
      <c r="B550" s="24" t="s">
        <v>2668</v>
      </c>
      <c r="C550" s="14" t="s">
        <v>2678</v>
      </c>
      <c r="D550" s="14" t="s">
        <v>2911</v>
      </c>
      <c r="E550" s="14" t="s">
        <v>4056</v>
      </c>
      <c r="F550" s="13">
        <v>240.6</v>
      </c>
      <c r="G550" s="14" t="s">
        <v>3658</v>
      </c>
      <c r="H550" s="13">
        <v>8105</v>
      </c>
      <c r="I550" s="14" t="s">
        <v>4057</v>
      </c>
      <c r="J550" s="14" t="s">
        <v>4058</v>
      </c>
      <c r="K550" s="478">
        <v>0.47</v>
      </c>
      <c r="L550" s="220">
        <v>113.27</v>
      </c>
      <c r="M550" s="473" t="s">
        <v>4059</v>
      </c>
      <c r="N550" s="473"/>
      <c r="O550" s="480"/>
      <c r="P550" s="14" t="s">
        <v>4061</v>
      </c>
      <c r="Q550" s="486" t="s">
        <v>4062</v>
      </c>
      <c r="R550" s="14">
        <v>18</v>
      </c>
      <c r="S550" s="14">
        <f t="shared" si="556"/>
        <v>20.3886</v>
      </c>
      <c r="T550" s="487">
        <f>SUM(R549:R553)</f>
        <v>96.5</v>
      </c>
      <c r="U550">
        <f t="shared" si="554"/>
        <v>18.652849740932641</v>
      </c>
      <c r="V550" s="220">
        <f>U550*100/SUM(U549:U552)</f>
        <v>31.858407079646017</v>
      </c>
      <c r="W550" s="14" t="s">
        <v>208</v>
      </c>
      <c r="X550">
        <f t="shared" si="615"/>
        <v>14.973451327433628</v>
      </c>
      <c r="Y550" s="220">
        <f t="shared" si="616"/>
        <v>14.973451327433628</v>
      </c>
      <c r="Z550" s="220">
        <f t="shared" ref="Z550:AA550" si="617">Y550</f>
        <v>14.973451327433628</v>
      </c>
      <c r="AA550" s="792">
        <f t="shared" si="617"/>
        <v>14.973451327433628</v>
      </c>
      <c r="AB550" s="18" t="s">
        <v>2679</v>
      </c>
      <c r="AC550" s="13" t="s">
        <v>208</v>
      </c>
      <c r="AD550" s="13" t="s">
        <v>3864</v>
      </c>
      <c r="AE550" s="12">
        <v>1.7787585381719634E-3</v>
      </c>
      <c r="AF550" s="12">
        <v>3.4499318293470541E-2</v>
      </c>
      <c r="AG550" s="12">
        <v>2.7449152542372882E-5</v>
      </c>
      <c r="AH550" s="12">
        <v>1.0724189976148208E-4</v>
      </c>
    </row>
    <row r="551" spans="1:34" ht="14.25">
      <c r="A551" s="14" t="s">
        <v>4055</v>
      </c>
      <c r="B551" s="24" t="s">
        <v>2668</v>
      </c>
      <c r="C551" s="14" t="s">
        <v>2678</v>
      </c>
      <c r="D551" s="14" t="s">
        <v>2911</v>
      </c>
      <c r="E551" s="14" t="s">
        <v>4056</v>
      </c>
      <c r="F551" s="13">
        <v>240.6</v>
      </c>
      <c r="G551" s="14" t="s">
        <v>3658</v>
      </c>
      <c r="H551" s="13">
        <v>8105</v>
      </c>
      <c r="I551" s="14" t="s">
        <v>4057</v>
      </c>
      <c r="J551" s="14" t="s">
        <v>4058</v>
      </c>
      <c r="K551" s="478">
        <v>0.47</v>
      </c>
      <c r="L551" s="220">
        <v>113.27</v>
      </c>
      <c r="M551" s="473" t="s">
        <v>4059</v>
      </c>
      <c r="N551" s="473"/>
      <c r="O551" s="480"/>
      <c r="P551" s="14" t="s">
        <v>4045</v>
      </c>
      <c r="Q551" s="10" t="s">
        <v>4046</v>
      </c>
      <c r="R551" s="14">
        <v>18</v>
      </c>
      <c r="S551" s="14">
        <f t="shared" si="556"/>
        <v>20.3886</v>
      </c>
      <c r="T551" s="220">
        <f>SUM(R549:R553)</f>
        <v>96.5</v>
      </c>
      <c r="U551">
        <f t="shared" si="554"/>
        <v>18.652849740932641</v>
      </c>
      <c r="V551" s="488">
        <f>U551*100/SUM(U549:U552)</f>
        <v>31.858407079646017</v>
      </c>
      <c r="W551" s="560" t="s">
        <v>4043</v>
      </c>
      <c r="X551">
        <f t="shared" si="615"/>
        <v>14.973451327433628</v>
      </c>
      <c r="Y551" s="220">
        <f t="shared" si="616"/>
        <v>14.973451327433628</v>
      </c>
      <c r="Z551" s="220">
        <f t="shared" ref="Z551:AA551" si="618">Y551</f>
        <v>14.973451327433628</v>
      </c>
      <c r="AA551" s="792">
        <f t="shared" si="618"/>
        <v>14.973451327433628</v>
      </c>
      <c r="AB551" s="18" t="s">
        <v>250</v>
      </c>
      <c r="AC551" s="13" t="s">
        <v>244</v>
      </c>
      <c r="AD551" s="13" t="s">
        <v>3975</v>
      </c>
      <c r="AE551" s="12">
        <v>1.4348768881534335E-3</v>
      </c>
      <c r="AF551" s="12">
        <v>4.768082570221005E-2</v>
      </c>
      <c r="AG551" s="12">
        <v>4.5897097625329815E-5</v>
      </c>
      <c r="AH551" s="12">
        <v>5.7820492708777707E-5</v>
      </c>
    </row>
    <row r="552" spans="1:34" ht="12.75">
      <c r="A552" s="14" t="s">
        <v>4055</v>
      </c>
      <c r="B552" s="24" t="s">
        <v>2668</v>
      </c>
      <c r="C552" s="14" t="s">
        <v>2678</v>
      </c>
      <c r="D552" s="14" t="s">
        <v>2911</v>
      </c>
      <c r="E552" s="14" t="s">
        <v>4056</v>
      </c>
      <c r="F552" s="13">
        <v>240.6</v>
      </c>
      <c r="G552" s="14" t="s">
        <v>3658</v>
      </c>
      <c r="H552" s="13">
        <v>8105</v>
      </c>
      <c r="I552" s="14" t="s">
        <v>4057</v>
      </c>
      <c r="J552" s="14" t="s">
        <v>4058</v>
      </c>
      <c r="K552" s="478">
        <v>0.47</v>
      </c>
      <c r="L552" s="220">
        <v>113.27</v>
      </c>
      <c r="M552" s="473" t="s">
        <v>4059</v>
      </c>
      <c r="N552" s="473"/>
      <c r="O552" s="480"/>
      <c r="P552" s="14" t="s">
        <v>217</v>
      </c>
      <c r="Q552" s="486" t="s">
        <v>4063</v>
      </c>
      <c r="R552" s="14">
        <v>16</v>
      </c>
      <c r="S552" s="14">
        <f t="shared" si="556"/>
        <v>18.123200000000001</v>
      </c>
      <c r="T552" s="220">
        <f>SUM(R549:R553)</f>
        <v>96.5</v>
      </c>
      <c r="U552">
        <f t="shared" si="554"/>
        <v>16.580310880829014</v>
      </c>
      <c r="V552" s="220">
        <f>U552*100/SUM(U549:U552)</f>
        <v>28.318584070796458</v>
      </c>
      <c r="W552" s="14" t="s">
        <v>4064</v>
      </c>
      <c r="X552">
        <f t="shared" si="615"/>
        <v>13.309734513274334</v>
      </c>
      <c r="Y552" s="220">
        <f t="shared" si="616"/>
        <v>13.309734513274334</v>
      </c>
      <c r="Z552" s="220">
        <f t="shared" ref="Z552:AA552" si="619">Y552</f>
        <v>13.309734513274334</v>
      </c>
      <c r="AA552" s="792">
        <f t="shared" si="619"/>
        <v>13.309734513274334</v>
      </c>
      <c r="AB552" s="18" t="s">
        <v>217</v>
      </c>
      <c r="AC552" s="13" t="s">
        <v>4065</v>
      </c>
      <c r="AD552" s="13" t="s">
        <v>4066</v>
      </c>
      <c r="AE552" s="12">
        <f>0.508519300361882/100</f>
        <v>5.0851930036188197E-3</v>
      </c>
      <c r="AF552" s="12">
        <f>5.99954177306409/100</f>
        <v>5.9995417730640897E-2</v>
      </c>
      <c r="AG552" s="12">
        <f>347/1000000</f>
        <v>3.4699999999999998E-4</v>
      </c>
      <c r="AH552" s="12">
        <v>2.9762429672480995E-4</v>
      </c>
    </row>
    <row r="553" spans="1:34" ht="12.75">
      <c r="A553" s="14" t="s">
        <v>4055</v>
      </c>
      <c r="B553" s="24" t="s">
        <v>2668</v>
      </c>
      <c r="C553" s="14" t="s">
        <v>2678</v>
      </c>
      <c r="D553" s="14" t="s">
        <v>2911</v>
      </c>
      <c r="E553" s="14" t="s">
        <v>4056</v>
      </c>
      <c r="F553" s="13">
        <v>240.6</v>
      </c>
      <c r="G553" s="14" t="s">
        <v>3658</v>
      </c>
      <c r="H553" s="13">
        <v>8105</v>
      </c>
      <c r="I553" s="135" t="s">
        <v>4057</v>
      </c>
      <c r="J553" s="135" t="s">
        <v>4058</v>
      </c>
      <c r="K553" s="475">
        <v>0.47</v>
      </c>
      <c r="L553" s="476">
        <v>113.27</v>
      </c>
      <c r="M553" s="492" t="s">
        <v>4059</v>
      </c>
      <c r="N553" s="492"/>
      <c r="O553" s="494"/>
      <c r="P553" s="135" t="s">
        <v>2938</v>
      </c>
      <c r="Q553" s="561" t="s">
        <v>2939</v>
      </c>
      <c r="R553" s="135">
        <v>40</v>
      </c>
      <c r="S553" s="135">
        <f t="shared" si="556"/>
        <v>45.308</v>
      </c>
      <c r="T553" s="898">
        <f>SUM(R549:R553)</f>
        <v>96.5</v>
      </c>
      <c r="U553" s="135">
        <f t="shared" si="554"/>
        <v>41.450777202072537</v>
      </c>
      <c r="V553" s="508">
        <f>U553</f>
        <v>41.450777202072537</v>
      </c>
      <c r="W553" s="509" t="s">
        <v>72</v>
      </c>
      <c r="X553" s="482">
        <f t="shared" si="615"/>
        <v>19.481865284974091</v>
      </c>
      <c r="Y553" s="481">
        <f>SUM(X553,X558,X560)</f>
        <v>63.838865056036362</v>
      </c>
      <c r="Z553" s="481">
        <f t="shared" ref="Z553:AA553" si="620">Y553</f>
        <v>63.838865056036362</v>
      </c>
      <c r="AA553" s="796">
        <f t="shared" si="620"/>
        <v>63.838865056036362</v>
      </c>
      <c r="AB553" s="456" t="s">
        <v>72</v>
      </c>
      <c r="AC553" s="469" t="s">
        <v>2938</v>
      </c>
      <c r="AD553" s="469" t="s">
        <v>2940</v>
      </c>
      <c r="AE553" s="457">
        <v>0</v>
      </c>
      <c r="AF553" s="457">
        <v>0</v>
      </c>
      <c r="AG553" s="457">
        <v>0</v>
      </c>
      <c r="AH553" s="457">
        <v>0</v>
      </c>
    </row>
    <row r="554" spans="1:34" ht="12.75">
      <c r="A554" s="14" t="s">
        <v>4055</v>
      </c>
      <c r="B554" s="24" t="s">
        <v>2668</v>
      </c>
      <c r="C554" s="14" t="s">
        <v>2678</v>
      </c>
      <c r="D554" s="14" t="s">
        <v>2911</v>
      </c>
      <c r="E554" s="14" t="s">
        <v>4056</v>
      </c>
      <c r="F554" s="13">
        <v>240.6</v>
      </c>
      <c r="G554" s="14" t="s">
        <v>3658</v>
      </c>
      <c r="H554" s="13">
        <v>8105</v>
      </c>
      <c r="I554" s="14" t="s">
        <v>4056</v>
      </c>
      <c r="J554" s="14" t="s">
        <v>4067</v>
      </c>
      <c r="K554" s="478">
        <v>0.31</v>
      </c>
      <c r="L554" s="220">
        <v>74.09</v>
      </c>
      <c r="M554" s="473" t="s">
        <v>4068</v>
      </c>
      <c r="N554" s="473" t="s">
        <v>4069</v>
      </c>
      <c r="O554" s="480" t="s">
        <v>1624</v>
      </c>
      <c r="P554" s="655" t="s">
        <v>3005</v>
      </c>
      <c r="Q554" s="14" t="s">
        <v>4070</v>
      </c>
      <c r="R554" s="14">
        <v>12</v>
      </c>
      <c r="S554" s="14">
        <f t="shared" si="556"/>
        <v>8.8908000000000005</v>
      </c>
      <c r="T554" s="220">
        <f>SUM(R554:R558)</f>
        <v>99.84</v>
      </c>
      <c r="U554">
        <f t="shared" si="554"/>
        <v>12.019230769230768</v>
      </c>
      <c r="V554" s="551">
        <f>U554*100/SUM(U554:U557)</f>
        <v>83.68200836820084</v>
      </c>
      <c r="W554" s="162" t="s">
        <v>2779</v>
      </c>
      <c r="X554">
        <f t="shared" si="615"/>
        <v>25.94142259414226</v>
      </c>
      <c r="Y554" s="220">
        <f>SUM(X554,X556)</f>
        <v>30.264993026499305</v>
      </c>
      <c r="Z554" s="220">
        <f t="shared" ref="Z554:Z556" si="621">X554</f>
        <v>25.94142259414226</v>
      </c>
      <c r="AA554" s="792">
        <f t="shared" ref="AA554:AA556" si="622">Z554</f>
        <v>25.94142259414226</v>
      </c>
      <c r="AB554" s="18" t="s">
        <v>2658</v>
      </c>
      <c r="AC554" s="13" t="s">
        <v>215</v>
      </c>
      <c r="AD554" s="13" t="s">
        <v>3007</v>
      </c>
      <c r="AE554" s="12">
        <v>5.0851930036188197E-3</v>
      </c>
      <c r="AF554" s="12">
        <v>5.9995417730640897E-2</v>
      </c>
      <c r="AG554" s="12">
        <v>3.4699999999999998E-4</v>
      </c>
      <c r="AH554" s="12">
        <v>2.9762429672480995E-4</v>
      </c>
    </row>
    <row r="555" spans="1:34" ht="12.75">
      <c r="A555" s="14" t="s">
        <v>4055</v>
      </c>
      <c r="B555" s="24" t="s">
        <v>2668</v>
      </c>
      <c r="C555" s="14" t="s">
        <v>2678</v>
      </c>
      <c r="D555" s="14" t="s">
        <v>2911</v>
      </c>
      <c r="E555" s="14" t="s">
        <v>4056</v>
      </c>
      <c r="F555" s="13">
        <v>240.6</v>
      </c>
      <c r="G555" s="14" t="s">
        <v>3658</v>
      </c>
      <c r="H555" s="13">
        <v>8105</v>
      </c>
      <c r="I555" s="14" t="s">
        <v>4056</v>
      </c>
      <c r="J555" s="14" t="s">
        <v>4067</v>
      </c>
      <c r="K555" s="478">
        <v>0.31</v>
      </c>
      <c r="L555" s="220">
        <v>74.09</v>
      </c>
      <c r="M555" s="473" t="s">
        <v>4068</v>
      </c>
      <c r="N555" s="473" t="s">
        <v>4069</v>
      </c>
      <c r="O555" s="480" t="s">
        <v>1624</v>
      </c>
      <c r="P555" s="14" t="s">
        <v>83</v>
      </c>
      <c r="Q555" s="527" t="s">
        <v>3430</v>
      </c>
      <c r="R555" s="14">
        <v>0.24</v>
      </c>
      <c r="S555" s="14">
        <f t="shared" si="556"/>
        <v>0.177816</v>
      </c>
      <c r="T555" s="220">
        <f>SUM(R554:R558)</f>
        <v>99.84</v>
      </c>
      <c r="U555">
        <f t="shared" si="554"/>
        <v>0.24038461538461536</v>
      </c>
      <c r="V555" s="220">
        <f>U555*100/SUM(U554:U557)</f>
        <v>1.6736401673640167</v>
      </c>
      <c r="W555" s="14" t="s">
        <v>83</v>
      </c>
      <c r="X555">
        <f t="shared" si="615"/>
        <v>0.51882845188284521</v>
      </c>
      <c r="Y555" s="499">
        <f>X555</f>
        <v>0.51882845188284521</v>
      </c>
      <c r="Z555" s="220">
        <f t="shared" si="621"/>
        <v>0.51882845188284521</v>
      </c>
      <c r="AA555" s="792">
        <f t="shared" si="622"/>
        <v>0.51882845188284521</v>
      </c>
      <c r="AB555" s="18" t="s">
        <v>83</v>
      </c>
      <c r="AC555" s="14" t="s">
        <v>83</v>
      </c>
      <c r="AD555" s="14" t="s">
        <v>2951</v>
      </c>
      <c r="AE555" s="12">
        <v>0</v>
      </c>
      <c r="AF555" s="12">
        <v>0</v>
      </c>
      <c r="AG555" s="12">
        <v>0</v>
      </c>
      <c r="AH555" s="12">
        <v>0</v>
      </c>
    </row>
    <row r="556" spans="1:34" ht="12.75">
      <c r="A556" s="14" t="s">
        <v>4055</v>
      </c>
      <c r="B556" s="24" t="s">
        <v>2668</v>
      </c>
      <c r="C556" s="14" t="s">
        <v>2678</v>
      </c>
      <c r="D556" s="14" t="s">
        <v>2911</v>
      </c>
      <c r="E556" s="14" t="s">
        <v>4056</v>
      </c>
      <c r="F556" s="13">
        <v>240.6</v>
      </c>
      <c r="G556" s="14" t="s">
        <v>3658</v>
      </c>
      <c r="H556" s="13">
        <v>8105</v>
      </c>
      <c r="I556" s="14" t="s">
        <v>4056</v>
      </c>
      <c r="J556" s="14" t="s">
        <v>4067</v>
      </c>
      <c r="K556" s="478">
        <v>0.31</v>
      </c>
      <c r="L556" s="220">
        <v>74.09</v>
      </c>
      <c r="M556" s="473" t="s">
        <v>4068</v>
      </c>
      <c r="N556" s="473" t="s">
        <v>4069</v>
      </c>
      <c r="O556" s="480" t="s">
        <v>1624</v>
      </c>
      <c r="P556" s="14" t="s">
        <v>4071</v>
      </c>
      <c r="Q556" s="14" t="s">
        <v>4072</v>
      </c>
      <c r="R556" s="14">
        <v>2</v>
      </c>
      <c r="S556" s="14">
        <f t="shared" si="556"/>
        <v>1.4818</v>
      </c>
      <c r="T556" s="220">
        <f>SUM(R554:R558)</f>
        <v>99.84</v>
      </c>
      <c r="U556">
        <f t="shared" si="554"/>
        <v>2.0032051282051282</v>
      </c>
      <c r="V556" s="220">
        <f>U556*100/SUM(U554:U557)</f>
        <v>13.947001394700139</v>
      </c>
      <c r="W556" s="14" t="s">
        <v>1166</v>
      </c>
      <c r="X556">
        <f t="shared" si="615"/>
        <v>4.3235704323570436</v>
      </c>
      <c r="Y556" s="220" t="s">
        <v>1666</v>
      </c>
      <c r="Z556" s="220">
        <f t="shared" si="621"/>
        <v>4.3235704323570436</v>
      </c>
      <c r="AA556" s="792">
        <f t="shared" si="622"/>
        <v>4.3235704323570436</v>
      </c>
      <c r="AB556" s="18" t="s">
        <v>2680</v>
      </c>
      <c r="AC556" s="14" t="s">
        <v>4073</v>
      </c>
      <c r="AD556" s="14" t="s">
        <v>4074</v>
      </c>
      <c r="AE556" s="12">
        <v>2.5425965018094099E-4</v>
      </c>
      <c r="AF556" s="12">
        <v>2.999770886532045E-3</v>
      </c>
      <c r="AG556" s="12">
        <v>1.7349999999999998E-5</v>
      </c>
      <c r="AH556" s="12">
        <v>1.4881214836240498E-5</v>
      </c>
    </row>
    <row r="557" spans="1:34" ht="12.75">
      <c r="A557" s="14" t="s">
        <v>4055</v>
      </c>
      <c r="B557" s="24" t="s">
        <v>2668</v>
      </c>
      <c r="C557" s="14" t="s">
        <v>2678</v>
      </c>
      <c r="D557" s="14" t="s">
        <v>2911</v>
      </c>
      <c r="E557" s="14" t="s">
        <v>4056</v>
      </c>
      <c r="F557" s="13">
        <v>240.6</v>
      </c>
      <c r="G557" s="14" t="s">
        <v>3658</v>
      </c>
      <c r="H557" s="13">
        <v>8105</v>
      </c>
      <c r="I557" s="14" t="s">
        <v>4056</v>
      </c>
      <c r="J557" s="14" t="s">
        <v>4067</v>
      </c>
      <c r="K557" s="478">
        <v>0.31</v>
      </c>
      <c r="L557" s="220">
        <v>74.09</v>
      </c>
      <c r="M557" s="473" t="s">
        <v>4068</v>
      </c>
      <c r="N557" s="473" t="s">
        <v>4069</v>
      </c>
      <c r="O557" s="480" t="s">
        <v>1624</v>
      </c>
      <c r="P557" s="14" t="s">
        <v>3041</v>
      </c>
      <c r="Q557" s="486" t="s">
        <v>3089</v>
      </c>
      <c r="R557" s="14">
        <v>0.1</v>
      </c>
      <c r="S557" s="14">
        <f t="shared" si="556"/>
        <v>7.4090000000000003E-2</v>
      </c>
      <c r="T557" s="220">
        <f>SUM(R554:R558)</f>
        <v>99.84</v>
      </c>
      <c r="U557">
        <f t="shared" si="554"/>
        <v>0.1001602564102564</v>
      </c>
      <c r="V557" s="220">
        <f>U557*100/SUM(U554:U557)</f>
        <v>0.69735006973500702</v>
      </c>
      <c r="W557" s="14" t="s">
        <v>81</v>
      </c>
      <c r="X557">
        <f t="shared" si="615"/>
        <v>0.21617852161785217</v>
      </c>
      <c r="Y557" s="499">
        <f>X557</f>
        <v>0.21617852161785217</v>
      </c>
      <c r="Z557" s="220">
        <f>SUM(X557,X555,X549)</f>
        <v>4.4783698053591046</v>
      </c>
      <c r="AA557" s="792">
        <f>X557</f>
        <v>0.21617852161785217</v>
      </c>
      <c r="AB557" s="18" t="s">
        <v>81</v>
      </c>
      <c r="AC557" s="13" t="s">
        <v>18</v>
      </c>
      <c r="AD557" s="13" t="s">
        <v>18</v>
      </c>
      <c r="AE557" s="12">
        <v>1.9912385503783353E-2</v>
      </c>
      <c r="AF557" s="12">
        <v>5.6949422540820388E-2</v>
      </c>
      <c r="AG557" s="12">
        <v>3.8829151732377542E-3</v>
      </c>
      <c r="AH557" s="12">
        <v>5.6321186778176026E-3</v>
      </c>
    </row>
    <row r="558" spans="1:34" ht="12.75">
      <c r="A558" s="14" t="s">
        <v>4055</v>
      </c>
      <c r="B558" s="24" t="s">
        <v>2668</v>
      </c>
      <c r="C558" s="14" t="s">
        <v>2678</v>
      </c>
      <c r="D558" s="14" t="s">
        <v>2911</v>
      </c>
      <c r="E558" s="14" t="s">
        <v>4056</v>
      </c>
      <c r="F558" s="13">
        <v>240.6</v>
      </c>
      <c r="G558" s="14" t="s">
        <v>3658</v>
      </c>
      <c r="H558" s="13">
        <v>8105</v>
      </c>
      <c r="I558" s="135" t="s">
        <v>4056</v>
      </c>
      <c r="J558" s="135" t="s">
        <v>4067</v>
      </c>
      <c r="K558" s="475">
        <v>0.31</v>
      </c>
      <c r="L558" s="476">
        <v>74.09</v>
      </c>
      <c r="M558" s="492" t="s">
        <v>4068</v>
      </c>
      <c r="N558" s="492" t="s">
        <v>4069</v>
      </c>
      <c r="O558" s="494" t="s">
        <v>1624</v>
      </c>
      <c r="P558" s="135" t="s">
        <v>2938</v>
      </c>
      <c r="Q558" s="561" t="s">
        <v>2939</v>
      </c>
      <c r="R558" s="135">
        <v>85.5</v>
      </c>
      <c r="S558" s="135">
        <f t="shared" si="556"/>
        <v>63.34695</v>
      </c>
      <c r="T558" s="854">
        <f>SUM(R554:R558)</f>
        <v>99.84</v>
      </c>
      <c r="U558" s="135">
        <f t="shared" si="554"/>
        <v>85.637019230769226</v>
      </c>
      <c r="V558" s="508">
        <f>U558</f>
        <v>85.637019230769226</v>
      </c>
      <c r="W558" s="509" t="s">
        <v>72</v>
      </c>
      <c r="X558" s="29">
        <f t="shared" si="615"/>
        <v>26.54747596153846</v>
      </c>
      <c r="Y558" s="220" t="s">
        <v>1666</v>
      </c>
      <c r="Z558" s="220" t="s">
        <v>1666</v>
      </c>
      <c r="AA558" s="792" t="s">
        <v>1666</v>
      </c>
      <c r="AB558" s="458" t="str">
        <f t="shared" ref="AB558:AH558" si="623">AA558</f>
        <v>*</v>
      </c>
      <c r="AC558" s="497" t="str">
        <f t="shared" si="623"/>
        <v>*</v>
      </c>
      <c r="AD558" s="497" t="str">
        <f t="shared" si="623"/>
        <v>*</v>
      </c>
      <c r="AE558" s="454" t="str">
        <f t="shared" si="623"/>
        <v>*</v>
      </c>
      <c r="AF558" s="454" t="str">
        <f t="shared" si="623"/>
        <v>*</v>
      </c>
      <c r="AG558" s="454" t="str">
        <f t="shared" si="623"/>
        <v>*</v>
      </c>
      <c r="AH558" s="454" t="str">
        <f t="shared" si="623"/>
        <v>*</v>
      </c>
    </row>
    <row r="559" spans="1:34" ht="12.75">
      <c r="A559" s="14" t="s">
        <v>4055</v>
      </c>
      <c r="B559" s="24" t="s">
        <v>2668</v>
      </c>
      <c r="C559" s="14" t="s">
        <v>2678</v>
      </c>
      <c r="D559" s="14" t="s">
        <v>2911</v>
      </c>
      <c r="E559" s="14" t="s">
        <v>4056</v>
      </c>
      <c r="F559" s="13">
        <v>240.6</v>
      </c>
      <c r="G559" s="14" t="s">
        <v>3658</v>
      </c>
      <c r="H559" s="13">
        <v>8105</v>
      </c>
      <c r="I559" s="14" t="s">
        <v>4075</v>
      </c>
      <c r="J559" s="14" t="s">
        <v>4076</v>
      </c>
      <c r="K559" s="478">
        <v>0.22</v>
      </c>
      <c r="L559" s="220">
        <v>53.24</v>
      </c>
      <c r="M559" s="473" t="s">
        <v>4077</v>
      </c>
      <c r="N559" s="473" t="s">
        <v>4078</v>
      </c>
      <c r="O559" s="480" t="s">
        <v>1624</v>
      </c>
      <c r="P559" s="14" t="s">
        <v>232</v>
      </c>
      <c r="Q559" s="486" t="s">
        <v>4029</v>
      </c>
      <c r="R559" s="14">
        <v>20</v>
      </c>
      <c r="S559" s="14">
        <f t="shared" si="556"/>
        <v>10.648000000000001</v>
      </c>
      <c r="T559" s="220">
        <f>SUM(R559:R560)</f>
        <v>105</v>
      </c>
      <c r="U559">
        <f t="shared" si="554"/>
        <v>19.047619047619047</v>
      </c>
      <c r="V559" s="551">
        <f>U559*100/U559</f>
        <v>100</v>
      </c>
      <c r="W559" s="162" t="s">
        <v>232</v>
      </c>
      <c r="X559">
        <f t="shared" si="615"/>
        <v>22</v>
      </c>
      <c r="Y559" s="220">
        <f t="shared" ref="Y559:AA559" si="624">X559</f>
        <v>22</v>
      </c>
      <c r="Z559" s="220">
        <f t="shared" si="624"/>
        <v>22</v>
      </c>
      <c r="AA559" s="792">
        <f t="shared" si="624"/>
        <v>22</v>
      </c>
      <c r="AB559" s="18" t="s">
        <v>232</v>
      </c>
      <c r="AC559" s="13" t="s">
        <v>55</v>
      </c>
      <c r="AD559" s="13" t="s">
        <v>2979</v>
      </c>
      <c r="AE559" s="12">
        <v>3.1468479298981202E-3</v>
      </c>
      <c r="AF559" s="12">
        <v>0.16906375764329037</v>
      </c>
      <c r="AG559" s="12">
        <v>9.759036144578314E-5</v>
      </c>
      <c r="AH559" s="12">
        <v>7.171669800597832E-4</v>
      </c>
    </row>
    <row r="560" spans="1:34" ht="12.75">
      <c r="A560" s="617" t="s">
        <v>4055</v>
      </c>
      <c r="B560" s="794" t="s">
        <v>2668</v>
      </c>
      <c r="C560" s="617" t="s">
        <v>2678</v>
      </c>
      <c r="D560" s="617" t="s">
        <v>2911</v>
      </c>
      <c r="E560" s="617" t="s">
        <v>4056</v>
      </c>
      <c r="F560" s="799">
        <v>240.6</v>
      </c>
      <c r="G560" s="617" t="s">
        <v>3658</v>
      </c>
      <c r="H560" s="799">
        <v>8105</v>
      </c>
      <c r="I560" s="617" t="s">
        <v>4075</v>
      </c>
      <c r="J560" s="617" t="s">
        <v>4076</v>
      </c>
      <c r="K560" s="838">
        <v>0.22</v>
      </c>
      <c r="L560" s="725">
        <v>53.24</v>
      </c>
      <c r="M560" s="850" t="s">
        <v>4077</v>
      </c>
      <c r="N560" s="850" t="s">
        <v>4079</v>
      </c>
      <c r="O560" s="842" t="s">
        <v>1624</v>
      </c>
      <c r="P560" s="617" t="s">
        <v>2938</v>
      </c>
      <c r="Q560" s="899" t="s">
        <v>2939</v>
      </c>
      <c r="R560" s="617">
        <v>85</v>
      </c>
      <c r="S560" s="617">
        <f t="shared" si="556"/>
        <v>45.253999999999998</v>
      </c>
      <c r="T560" s="857">
        <f>SUM(R559:R560)</f>
        <v>105</v>
      </c>
      <c r="U560" s="617">
        <f t="shared" si="554"/>
        <v>80.952380952380949</v>
      </c>
      <c r="V560" s="858">
        <f>U560</f>
        <v>80.952380952380949</v>
      </c>
      <c r="W560" s="859" t="s">
        <v>72</v>
      </c>
      <c r="X560" s="900">
        <f t="shared" si="615"/>
        <v>17.80952380952381</v>
      </c>
      <c r="Y560" s="725" t="s">
        <v>1666</v>
      </c>
      <c r="Z560" s="725" t="s">
        <v>1666</v>
      </c>
      <c r="AA560" s="455" t="s">
        <v>1666</v>
      </c>
      <c r="AB560" s="821" t="str">
        <f t="shared" ref="AB560:AH560" si="625">AA560</f>
        <v>*</v>
      </c>
      <c r="AC560" s="869" t="str">
        <f t="shared" si="625"/>
        <v>*</v>
      </c>
      <c r="AD560" s="869" t="str">
        <f t="shared" si="625"/>
        <v>*</v>
      </c>
      <c r="AE560" s="808" t="str">
        <f t="shared" si="625"/>
        <v>*</v>
      </c>
      <c r="AF560" s="808" t="str">
        <f t="shared" si="625"/>
        <v>*</v>
      </c>
      <c r="AG560" s="808" t="str">
        <f t="shared" si="625"/>
        <v>*</v>
      </c>
      <c r="AH560" s="808" t="str">
        <f t="shared" si="625"/>
        <v>*</v>
      </c>
    </row>
    <row r="561" spans="1:34" ht="12.75">
      <c r="A561" s="10" t="s">
        <v>4080</v>
      </c>
      <c r="B561" s="24" t="s">
        <v>2668</v>
      </c>
      <c r="C561" t="s">
        <v>2681</v>
      </c>
      <c r="D561" s="10" t="s">
        <v>2911</v>
      </c>
      <c r="E561" s="10" t="s">
        <v>4081</v>
      </c>
      <c r="F561" s="24">
        <v>25</v>
      </c>
      <c r="G561" s="10" t="s">
        <v>4082</v>
      </c>
      <c r="H561" s="24">
        <v>18069</v>
      </c>
      <c r="I561" s="901" t="s">
        <v>4081</v>
      </c>
      <c r="J561" s="10" t="s">
        <v>4083</v>
      </c>
      <c r="K561" s="902">
        <v>1</v>
      </c>
      <c r="L561" s="237">
        <v>25</v>
      </c>
      <c r="M561" s="903" t="s">
        <v>4084</v>
      </c>
      <c r="N561" s="903"/>
      <c r="O561" s="565" t="s">
        <v>4085</v>
      </c>
      <c r="P561" s="655" t="s">
        <v>3005</v>
      </c>
      <c r="Q561" s="486" t="s">
        <v>3006</v>
      </c>
      <c r="R561" s="10">
        <v>50</v>
      </c>
      <c r="S561" s="10">
        <f t="shared" si="556"/>
        <v>12.5</v>
      </c>
      <c r="T561" s="498">
        <f>SUM(R561:R580)</f>
        <v>98.95</v>
      </c>
      <c r="U561" s="10">
        <f t="shared" si="554"/>
        <v>50.530570995452244</v>
      </c>
      <c r="V561" s="220">
        <f>U561*100/SUM(U561:U562,U564:U580)</f>
        <v>67.613252197430711</v>
      </c>
      <c r="W561" s="14" t="s">
        <v>2526</v>
      </c>
      <c r="X561" s="220">
        <f t="shared" si="615"/>
        <v>67.613252197430711</v>
      </c>
      <c r="Y561" s="220">
        <f t="shared" ref="Y561:AA561" si="626">X561</f>
        <v>67.613252197430711</v>
      </c>
      <c r="Z561" s="220">
        <f t="shared" si="626"/>
        <v>67.613252197430711</v>
      </c>
      <c r="AA561" s="792">
        <f t="shared" si="626"/>
        <v>67.613252197430711</v>
      </c>
      <c r="AB561" s="18" t="s">
        <v>2658</v>
      </c>
      <c r="AC561" s="13" t="s">
        <v>215</v>
      </c>
      <c r="AD561" s="13" t="s">
        <v>3007</v>
      </c>
      <c r="AE561" s="12">
        <v>5.0851930036188197E-3</v>
      </c>
      <c r="AF561" s="12">
        <v>5.9995417730640897E-2</v>
      </c>
      <c r="AG561" s="12">
        <v>3.4699999999999998E-4</v>
      </c>
      <c r="AH561" s="12">
        <v>2.9762429672480995E-4</v>
      </c>
    </row>
    <row r="562" spans="1:34" ht="12.75">
      <c r="A562" s="10" t="s">
        <v>4080</v>
      </c>
      <c r="B562" s="24" t="s">
        <v>2668</v>
      </c>
      <c r="C562" t="s">
        <v>2681</v>
      </c>
      <c r="D562" s="10" t="s">
        <v>2911</v>
      </c>
      <c r="E562" s="10" t="s">
        <v>4081</v>
      </c>
      <c r="F562" s="24">
        <v>25</v>
      </c>
      <c r="G562" s="10" t="s">
        <v>4082</v>
      </c>
      <c r="H562" s="24">
        <v>18069</v>
      </c>
      <c r="I562" s="901" t="s">
        <v>4081</v>
      </c>
      <c r="J562" s="10" t="s">
        <v>4083</v>
      </c>
      <c r="K562" s="902">
        <v>1</v>
      </c>
      <c r="L562" s="237">
        <v>25</v>
      </c>
      <c r="M562" s="903" t="s">
        <v>4084</v>
      </c>
      <c r="N562" s="903"/>
      <c r="O562" s="565" t="s">
        <v>4085</v>
      </c>
      <c r="P562" s="14" t="s">
        <v>3862</v>
      </c>
      <c r="Q562" s="486" t="s">
        <v>3863</v>
      </c>
      <c r="R562" s="10">
        <v>5</v>
      </c>
      <c r="S562" s="10">
        <f t="shared" si="556"/>
        <v>1.25</v>
      </c>
      <c r="T562" s="498">
        <f>SUM(R561:R580)</f>
        <v>98.95</v>
      </c>
      <c r="U562" s="10">
        <f t="shared" si="554"/>
        <v>5.0530570995452244</v>
      </c>
      <c r="V562" s="220">
        <f>U562*100/SUM(U561:U562,U564:U580)</f>
        <v>6.7613252197430702</v>
      </c>
      <c r="W562" s="14" t="s">
        <v>2662</v>
      </c>
      <c r="X562" s="220">
        <f t="shared" si="615"/>
        <v>6.7613252197430702</v>
      </c>
      <c r="Y562" s="220">
        <f t="shared" ref="Y562:AA562" si="627">X562</f>
        <v>6.7613252197430702</v>
      </c>
      <c r="Z562" s="220">
        <f t="shared" si="627"/>
        <v>6.7613252197430702</v>
      </c>
      <c r="AA562" s="792">
        <f t="shared" si="627"/>
        <v>6.7613252197430702</v>
      </c>
      <c r="AB562" s="18" t="s">
        <v>2662</v>
      </c>
      <c r="AC562" s="13" t="s">
        <v>208</v>
      </c>
      <c r="AD562" s="13" t="s">
        <v>3864</v>
      </c>
      <c r="AE562" s="12">
        <v>6.399192301960112E-3</v>
      </c>
      <c r="AF562" s="12">
        <v>0.12411340117772937</v>
      </c>
      <c r="AG562" s="12">
        <v>9.8749999999999988E-5</v>
      </c>
      <c r="AH562" s="12">
        <v>3.8580927353216109E-4</v>
      </c>
    </row>
    <row r="563" spans="1:34" ht="12.75">
      <c r="A563" s="10" t="s">
        <v>4080</v>
      </c>
      <c r="B563" s="24" t="s">
        <v>2668</v>
      </c>
      <c r="C563" t="s">
        <v>2681</v>
      </c>
      <c r="D563" s="10" t="s">
        <v>2911</v>
      </c>
      <c r="E563" s="10" t="s">
        <v>4081</v>
      </c>
      <c r="F563" s="24">
        <v>25</v>
      </c>
      <c r="G563" s="10" t="s">
        <v>4082</v>
      </c>
      <c r="H563" s="24">
        <v>18069</v>
      </c>
      <c r="I563" s="901" t="s">
        <v>4081</v>
      </c>
      <c r="J563" s="10" t="s">
        <v>4083</v>
      </c>
      <c r="K563" s="902">
        <v>1</v>
      </c>
      <c r="L563" s="237">
        <v>25</v>
      </c>
      <c r="M563" s="903" t="s">
        <v>4084</v>
      </c>
      <c r="N563" s="903"/>
      <c r="O563" s="565" t="s">
        <v>4085</v>
      </c>
      <c r="P563" s="14" t="s">
        <v>2938</v>
      </c>
      <c r="Q563" s="435" t="s">
        <v>2939</v>
      </c>
      <c r="R563" s="10">
        <v>25</v>
      </c>
      <c r="S563" s="10">
        <f t="shared" si="556"/>
        <v>6.25</v>
      </c>
      <c r="T563" s="498">
        <f>SUM(R561:R580)</f>
        <v>98.95</v>
      </c>
      <c r="U563" s="10">
        <f t="shared" si="554"/>
        <v>25.265285497726122</v>
      </c>
      <c r="V563" s="481">
        <f>U563</f>
        <v>25.265285497726122</v>
      </c>
      <c r="W563" s="482" t="s">
        <v>72</v>
      </c>
      <c r="X563" s="470">
        <f t="shared" si="615"/>
        <v>25.265285497726122</v>
      </c>
      <c r="Y563" s="481">
        <f t="shared" ref="Y563:AA563" si="628">X563</f>
        <v>25.265285497726122</v>
      </c>
      <c r="Z563" s="481">
        <f t="shared" si="628"/>
        <v>25.265285497726122</v>
      </c>
      <c r="AA563" s="810">
        <f t="shared" si="628"/>
        <v>25.265285497726122</v>
      </c>
      <c r="AB563" s="456" t="s">
        <v>72</v>
      </c>
      <c r="AC563" s="469" t="s">
        <v>2938</v>
      </c>
      <c r="AD563" s="469" t="s">
        <v>2940</v>
      </c>
      <c r="AE563" s="457">
        <v>0</v>
      </c>
      <c r="AF563" s="457">
        <v>0</v>
      </c>
      <c r="AG563" s="457">
        <v>0</v>
      </c>
      <c r="AH563" s="457">
        <v>0</v>
      </c>
    </row>
    <row r="564" spans="1:34" ht="12.75">
      <c r="A564" s="10" t="s">
        <v>4080</v>
      </c>
      <c r="B564" s="24" t="s">
        <v>2668</v>
      </c>
      <c r="C564" t="s">
        <v>2681</v>
      </c>
      <c r="D564" s="10" t="s">
        <v>2911</v>
      </c>
      <c r="E564" s="10" t="s">
        <v>4081</v>
      </c>
      <c r="F564" s="24">
        <v>25</v>
      </c>
      <c r="G564" s="10" t="s">
        <v>4082</v>
      </c>
      <c r="H564" s="24">
        <v>18069</v>
      </c>
      <c r="I564" s="901" t="s">
        <v>4081</v>
      </c>
      <c r="J564" s="10" t="s">
        <v>4083</v>
      </c>
      <c r="K564" s="902">
        <v>1</v>
      </c>
      <c r="L564" s="237">
        <v>25</v>
      </c>
      <c r="M564" s="903" t="s">
        <v>4084</v>
      </c>
      <c r="N564" s="903"/>
      <c r="O564" s="565" t="s">
        <v>4085</v>
      </c>
      <c r="P564" s="14" t="s">
        <v>2962</v>
      </c>
      <c r="Q564" s="486" t="s">
        <v>2963</v>
      </c>
      <c r="R564" s="10">
        <v>4</v>
      </c>
      <c r="S564" s="10">
        <f t="shared" si="556"/>
        <v>1</v>
      </c>
      <c r="T564" s="498">
        <f>SUM(R561:R580)</f>
        <v>98.95</v>
      </c>
      <c r="U564" s="10">
        <f t="shared" si="554"/>
        <v>4.0424456796361801</v>
      </c>
      <c r="V564" s="220">
        <f>U564*100/SUM(U561:U562,U564:U580)</f>
        <v>5.4090601757944574</v>
      </c>
      <c r="W564" s="14" t="s">
        <v>425</v>
      </c>
      <c r="X564" s="220">
        <f t="shared" si="615"/>
        <v>5.4090601757944574</v>
      </c>
      <c r="Y564" s="220">
        <f>SUM(X564,X573,X578,X579)</f>
        <v>6.6260987153482098</v>
      </c>
      <c r="Z564" s="220">
        <f>SUM(X564,X579)</f>
        <v>5.67951318458418</v>
      </c>
      <c r="AA564" s="792">
        <f t="shared" ref="AA564:AA576" si="629">Z564</f>
        <v>5.67951318458418</v>
      </c>
      <c r="AB564" s="18" t="s">
        <v>425</v>
      </c>
      <c r="AC564" s="13" t="s">
        <v>2964</v>
      </c>
      <c r="AD564" s="13" t="s">
        <v>2965</v>
      </c>
      <c r="AE564" s="12">
        <v>3.8102374934982654E-3</v>
      </c>
      <c r="AF564" s="12">
        <v>0.20470422547079484</v>
      </c>
      <c r="AG564" s="12">
        <v>1.210810810810811E-4</v>
      </c>
      <c r="AH564" s="12">
        <v>1.0002400855855065E-3</v>
      </c>
    </row>
    <row r="565" spans="1:34" ht="12.75">
      <c r="A565" s="10" t="s">
        <v>4080</v>
      </c>
      <c r="B565" s="24" t="s">
        <v>2668</v>
      </c>
      <c r="C565" t="s">
        <v>2681</v>
      </c>
      <c r="D565" s="10" t="s">
        <v>2911</v>
      </c>
      <c r="E565" s="10" t="s">
        <v>4081</v>
      </c>
      <c r="F565" s="24">
        <v>25</v>
      </c>
      <c r="G565" s="10" t="s">
        <v>4082</v>
      </c>
      <c r="H565" s="24">
        <v>18069</v>
      </c>
      <c r="I565" s="901" t="s">
        <v>4081</v>
      </c>
      <c r="J565" s="10" t="s">
        <v>4083</v>
      </c>
      <c r="K565" s="902">
        <v>1</v>
      </c>
      <c r="L565" s="237">
        <v>25</v>
      </c>
      <c r="M565" s="903" t="s">
        <v>4084</v>
      </c>
      <c r="N565" s="903"/>
      <c r="O565" s="565" t="s">
        <v>4085</v>
      </c>
      <c r="P565" s="14" t="s">
        <v>2912</v>
      </c>
      <c r="Q565" s="14" t="s">
        <v>2915</v>
      </c>
      <c r="R565" s="10">
        <v>4</v>
      </c>
      <c r="S565" s="10">
        <f t="shared" si="556"/>
        <v>1</v>
      </c>
      <c r="T565" s="498">
        <f>SUM(R561:R580)</f>
        <v>98.95</v>
      </c>
      <c r="U565" s="10">
        <f t="shared" si="554"/>
        <v>4.0424456796361801</v>
      </c>
      <c r="V565" s="220">
        <f>U565*100/SUM(U561:U562,U564:U580)</f>
        <v>5.4090601757944574</v>
      </c>
      <c r="W565" s="14" t="s">
        <v>124</v>
      </c>
      <c r="X565" s="220">
        <f t="shared" si="615"/>
        <v>5.4090601757944574</v>
      </c>
      <c r="Y565" s="220">
        <f>SUM(X565,X574)</f>
        <v>6.0851926977687647</v>
      </c>
      <c r="Z565" s="220">
        <f t="shared" ref="Z565:Z566" si="630">X565</f>
        <v>5.4090601757944574</v>
      </c>
      <c r="AA565" s="792">
        <f t="shared" si="629"/>
        <v>5.4090601757944574</v>
      </c>
      <c r="AB565" s="18" t="s">
        <v>124</v>
      </c>
      <c r="AC565" s="13" t="s">
        <v>877</v>
      </c>
      <c r="AD565" s="14" t="s">
        <v>2916</v>
      </c>
      <c r="AE565" s="12">
        <v>3.9416473933649287E-3</v>
      </c>
      <c r="AF565" s="12">
        <v>1.1589150710900475E-2</v>
      </c>
      <c r="AG565" s="12">
        <v>7.7264934597156404E-5</v>
      </c>
      <c r="AH565" s="12">
        <v>7.2702369668246447E-4</v>
      </c>
    </row>
    <row r="566" spans="1:34" ht="12.75">
      <c r="A566" s="10" t="s">
        <v>4080</v>
      </c>
      <c r="B566" s="24" t="s">
        <v>2668</v>
      </c>
      <c r="C566" t="s">
        <v>2681</v>
      </c>
      <c r="D566" s="10" t="s">
        <v>2911</v>
      </c>
      <c r="E566" s="10" t="s">
        <v>4081</v>
      </c>
      <c r="F566" s="24">
        <v>25</v>
      </c>
      <c r="G566" s="10" t="s">
        <v>4082</v>
      </c>
      <c r="H566" s="24">
        <v>18069</v>
      </c>
      <c r="I566" s="901" t="s">
        <v>4081</v>
      </c>
      <c r="J566" s="10" t="s">
        <v>4083</v>
      </c>
      <c r="K566" s="902">
        <v>1</v>
      </c>
      <c r="L566" s="237">
        <v>25</v>
      </c>
      <c r="M566" s="903" t="s">
        <v>4084</v>
      </c>
      <c r="N566" s="903"/>
      <c r="O566" s="565" t="s">
        <v>4085</v>
      </c>
      <c r="P566" s="14" t="s">
        <v>86</v>
      </c>
      <c r="Q566" s="14" t="s">
        <v>3442</v>
      </c>
      <c r="R566" s="10">
        <v>3</v>
      </c>
      <c r="S566" s="10">
        <f t="shared" si="556"/>
        <v>0.75</v>
      </c>
      <c r="T566" s="498">
        <f>SUM(R561:R580)</f>
        <v>98.95</v>
      </c>
      <c r="U566" s="10">
        <f t="shared" si="554"/>
        <v>3.0318342597271348</v>
      </c>
      <c r="V566" s="220">
        <f>U566*100/SUM(U561:U562,U564:U580)</f>
        <v>4.0567951318458428</v>
      </c>
      <c r="W566" s="14" t="s">
        <v>86</v>
      </c>
      <c r="X566" s="220">
        <f t="shared" si="615"/>
        <v>4.0567951318458428</v>
      </c>
      <c r="Y566" s="220">
        <f>X566</f>
        <v>4.0567951318458428</v>
      </c>
      <c r="Z566" s="220">
        <f t="shared" si="630"/>
        <v>4.0567951318458428</v>
      </c>
      <c r="AA566" s="792">
        <f t="shared" si="629"/>
        <v>4.0567951318458428</v>
      </c>
      <c r="AB566" s="18" t="s">
        <v>86</v>
      </c>
      <c r="AC566" s="14" t="s">
        <v>18</v>
      </c>
      <c r="AD566" s="14" t="s">
        <v>18</v>
      </c>
      <c r="AE566" s="12">
        <v>0</v>
      </c>
      <c r="AF566" s="12">
        <v>0</v>
      </c>
      <c r="AG566" s="12">
        <v>0</v>
      </c>
      <c r="AH566" s="12">
        <v>0</v>
      </c>
    </row>
    <row r="567" spans="1:34" ht="12.75">
      <c r="A567" s="10" t="s">
        <v>4080</v>
      </c>
      <c r="B567" s="24" t="s">
        <v>2668</v>
      </c>
      <c r="C567" t="s">
        <v>2681</v>
      </c>
      <c r="D567" s="10" t="s">
        <v>2911</v>
      </c>
      <c r="E567" s="10" t="s">
        <v>4081</v>
      </c>
      <c r="F567" s="24">
        <v>25</v>
      </c>
      <c r="G567" s="10" t="s">
        <v>4082</v>
      </c>
      <c r="H567" s="24">
        <v>18069</v>
      </c>
      <c r="I567" s="901" t="s">
        <v>4081</v>
      </c>
      <c r="J567" s="10" t="s">
        <v>4083</v>
      </c>
      <c r="K567" s="902">
        <v>1</v>
      </c>
      <c r="L567" s="237">
        <v>25</v>
      </c>
      <c r="M567" s="903" t="s">
        <v>4084</v>
      </c>
      <c r="N567" s="903"/>
      <c r="O567" s="565" t="s">
        <v>4085</v>
      </c>
      <c r="P567" s="14" t="s">
        <v>3021</v>
      </c>
      <c r="Q567" s="486" t="s">
        <v>3022</v>
      </c>
      <c r="R567" s="10">
        <v>0.8</v>
      </c>
      <c r="S567" s="10">
        <f t="shared" si="556"/>
        <v>0.2</v>
      </c>
      <c r="T567" s="498">
        <f>SUM(R561:R580)</f>
        <v>98.95</v>
      </c>
      <c r="U567" s="10">
        <f t="shared" si="554"/>
        <v>0.80848913592723592</v>
      </c>
      <c r="V567" s="220">
        <f>U567*100/SUM(U561:U562,U564:U580)</f>
        <v>1.0818120351588913</v>
      </c>
      <c r="W567" s="14" t="s">
        <v>346</v>
      </c>
      <c r="X567" s="220">
        <f t="shared" si="615"/>
        <v>1.0818120351588913</v>
      </c>
      <c r="Y567" s="220">
        <f>SUM(X567,X572,X575)</f>
        <v>3.110209601081813</v>
      </c>
      <c r="Z567" s="220">
        <f>SUM(X567,X572,X575)</f>
        <v>3.110209601081813</v>
      </c>
      <c r="AA567" s="792">
        <f t="shared" si="629"/>
        <v>3.110209601081813</v>
      </c>
      <c r="AB567" s="18" t="s">
        <v>346</v>
      </c>
      <c r="AC567" s="13" t="s">
        <v>2982</v>
      </c>
      <c r="AD567" s="13" t="s">
        <v>2983</v>
      </c>
      <c r="AE567" s="12">
        <v>2.9691872042618299E-2</v>
      </c>
      <c r="AF567" s="12">
        <v>7.5368545517799299E-2</v>
      </c>
      <c r="AG567" s="12">
        <v>2.9014018691588786E-4</v>
      </c>
      <c r="AH567" s="12">
        <v>1.4770983615231311E-3</v>
      </c>
    </row>
    <row r="568" spans="1:34" ht="12.75">
      <c r="A568" s="10" t="s">
        <v>4080</v>
      </c>
      <c r="B568" s="24" t="s">
        <v>2668</v>
      </c>
      <c r="C568" t="s">
        <v>2681</v>
      </c>
      <c r="D568" s="10" t="s">
        <v>2911</v>
      </c>
      <c r="E568" s="10" t="s">
        <v>4081</v>
      </c>
      <c r="F568" s="24">
        <v>25</v>
      </c>
      <c r="G568" s="10" t="s">
        <v>4082</v>
      </c>
      <c r="H568" s="24">
        <v>18069</v>
      </c>
      <c r="I568" s="901" t="s">
        <v>4081</v>
      </c>
      <c r="J568" s="10" t="s">
        <v>4083</v>
      </c>
      <c r="K568" s="902">
        <v>1</v>
      </c>
      <c r="L568" s="237">
        <v>25</v>
      </c>
      <c r="M568" s="903" t="s">
        <v>4084</v>
      </c>
      <c r="N568" s="903"/>
      <c r="O568" s="565" t="s">
        <v>4085</v>
      </c>
      <c r="P568" s="14" t="s">
        <v>1376</v>
      </c>
      <c r="Q568" s="486" t="s">
        <v>3114</v>
      </c>
      <c r="R568" s="10">
        <v>0.3</v>
      </c>
      <c r="S568" s="10">
        <f t="shared" si="556"/>
        <v>7.4999999999999997E-2</v>
      </c>
      <c r="T568" s="498">
        <f>SUM(R561:R580)</f>
        <v>98.95</v>
      </c>
      <c r="U568" s="10">
        <f t="shared" si="554"/>
        <v>0.30318342597271347</v>
      </c>
      <c r="V568" s="220">
        <f>U568*100/SUM(U561:U562,U564:U580)</f>
        <v>0.40567951318458423</v>
      </c>
      <c r="W568" s="14" t="s">
        <v>340</v>
      </c>
      <c r="X568" s="220">
        <f t="shared" si="615"/>
        <v>0.40567951318458423</v>
      </c>
      <c r="Y568" s="499">
        <f t="shared" ref="Y568:Y571" si="631">X568</f>
        <v>0.40567951318458423</v>
      </c>
      <c r="Z568" s="220">
        <f t="shared" ref="Z568:Z571" si="632">X568</f>
        <v>0.40567951318458423</v>
      </c>
      <c r="AA568" s="792">
        <f t="shared" si="629"/>
        <v>0.40567951318458423</v>
      </c>
      <c r="AB568" s="18" t="s">
        <v>340</v>
      </c>
      <c r="AC568" s="13" t="s">
        <v>3115</v>
      </c>
      <c r="AD568" s="13" t="s">
        <v>3116</v>
      </c>
      <c r="AE568" s="12">
        <v>2.1708241661196198E-2</v>
      </c>
      <c r="AF568" s="12">
        <v>0.36572952458380198</v>
      </c>
      <c r="AG568" s="12">
        <v>4.6350652173913045E-4</v>
      </c>
      <c r="AH568" s="12">
        <v>1.6975608035415088E-3</v>
      </c>
    </row>
    <row r="569" spans="1:34" ht="12.75">
      <c r="A569" s="10" t="s">
        <v>4080</v>
      </c>
      <c r="B569" s="24" t="s">
        <v>2668</v>
      </c>
      <c r="C569" t="s">
        <v>2681</v>
      </c>
      <c r="D569" s="10" t="s">
        <v>2911</v>
      </c>
      <c r="E569" s="10" t="s">
        <v>4081</v>
      </c>
      <c r="F569" s="24">
        <v>25</v>
      </c>
      <c r="G569" s="10" t="s">
        <v>4082</v>
      </c>
      <c r="H569" s="24">
        <v>18069</v>
      </c>
      <c r="I569" s="901" t="s">
        <v>4081</v>
      </c>
      <c r="J569" s="10" t="s">
        <v>4083</v>
      </c>
      <c r="K569" s="902">
        <v>1</v>
      </c>
      <c r="L569" s="237">
        <v>25</v>
      </c>
      <c r="M569" s="903" t="s">
        <v>4084</v>
      </c>
      <c r="N569" s="903"/>
      <c r="O569" s="565" t="s">
        <v>4085</v>
      </c>
      <c r="P569" s="14" t="s">
        <v>83</v>
      </c>
      <c r="Q569" s="527" t="s">
        <v>3430</v>
      </c>
      <c r="R569" s="10">
        <v>1</v>
      </c>
      <c r="S569" s="10">
        <f t="shared" si="556"/>
        <v>0.25</v>
      </c>
      <c r="T569" s="498">
        <f>SUM(R561:R580)</f>
        <v>98.95</v>
      </c>
      <c r="U569" s="10">
        <f t="shared" si="554"/>
        <v>1.010611419909045</v>
      </c>
      <c r="V569" s="220">
        <f>U569*100/SUM(U561:U562,U564:U580)</f>
        <v>1.3522650439486144</v>
      </c>
      <c r="W569" s="14" t="s">
        <v>83</v>
      </c>
      <c r="X569" s="220">
        <f t="shared" si="615"/>
        <v>1.3522650439486144</v>
      </c>
      <c r="Y569" s="220">
        <f t="shared" si="631"/>
        <v>1.3522650439486144</v>
      </c>
      <c r="Z569" s="220">
        <f t="shared" si="632"/>
        <v>1.3522650439486144</v>
      </c>
      <c r="AA569" s="792">
        <f t="shared" si="629"/>
        <v>1.3522650439486144</v>
      </c>
      <c r="AB569" s="18" t="s">
        <v>83</v>
      </c>
      <c r="AC569" s="13" t="s">
        <v>83</v>
      </c>
      <c r="AD569" s="13" t="s">
        <v>2951</v>
      </c>
      <c r="AE569" s="12">
        <v>0</v>
      </c>
      <c r="AF569" s="12">
        <v>0</v>
      </c>
      <c r="AG569" s="12">
        <v>0</v>
      </c>
      <c r="AH569" s="12">
        <v>0</v>
      </c>
    </row>
    <row r="570" spans="1:34" ht="12.75">
      <c r="A570" s="10" t="s">
        <v>4080</v>
      </c>
      <c r="B570" s="24" t="s">
        <v>2668</v>
      </c>
      <c r="C570" t="s">
        <v>2681</v>
      </c>
      <c r="D570" s="10" t="s">
        <v>2911</v>
      </c>
      <c r="E570" s="10" t="s">
        <v>4081</v>
      </c>
      <c r="F570" s="24">
        <v>25</v>
      </c>
      <c r="G570" s="10" t="s">
        <v>4082</v>
      </c>
      <c r="H570" s="24">
        <v>18069</v>
      </c>
      <c r="I570" s="901" t="s">
        <v>4081</v>
      </c>
      <c r="J570" s="10" t="s">
        <v>4083</v>
      </c>
      <c r="K570" s="902">
        <v>1</v>
      </c>
      <c r="L570" s="237">
        <v>25</v>
      </c>
      <c r="M570" s="903" t="s">
        <v>4084</v>
      </c>
      <c r="N570" s="903"/>
      <c r="O570" s="565" t="s">
        <v>4085</v>
      </c>
      <c r="P570" s="14" t="s">
        <v>217</v>
      </c>
      <c r="Q570" s="486" t="s">
        <v>4063</v>
      </c>
      <c r="R570" s="10">
        <v>1</v>
      </c>
      <c r="S570" s="10">
        <f t="shared" si="556"/>
        <v>0.25</v>
      </c>
      <c r="T570" s="498">
        <f>SUM(R561:R580)</f>
        <v>98.95</v>
      </c>
      <c r="U570" s="10">
        <f t="shared" si="554"/>
        <v>1.010611419909045</v>
      </c>
      <c r="V570" s="220">
        <f>U570*100/SUM(U561:U562,U564:U580)</f>
        <v>1.3522650439486144</v>
      </c>
      <c r="W570" s="14" t="s">
        <v>217</v>
      </c>
      <c r="X570" s="220">
        <f t="shared" si="615"/>
        <v>1.3522650439486144</v>
      </c>
      <c r="Y570" s="220">
        <f t="shared" si="631"/>
        <v>1.3522650439486144</v>
      </c>
      <c r="Z570" s="220">
        <f t="shared" si="632"/>
        <v>1.3522650439486144</v>
      </c>
      <c r="AA570" s="792">
        <f t="shared" si="629"/>
        <v>1.3522650439486144</v>
      </c>
      <c r="AB570" s="18" t="s">
        <v>217</v>
      </c>
      <c r="AC570" s="13" t="s">
        <v>4065</v>
      </c>
      <c r="AD570" s="13" t="s">
        <v>4066</v>
      </c>
      <c r="AE570" s="12">
        <f>0.508519300361882/100</f>
        <v>5.0851930036188197E-3</v>
      </c>
      <c r="AF570" s="12">
        <f>5.99954177306409/100</f>
        <v>5.9995417730640897E-2</v>
      </c>
      <c r="AG570" s="12">
        <f>347/1000000</f>
        <v>3.4699999999999998E-4</v>
      </c>
      <c r="AH570" s="12">
        <v>2.9762429672480995E-4</v>
      </c>
    </row>
    <row r="571" spans="1:34" ht="12.75">
      <c r="A571" s="10" t="s">
        <v>4080</v>
      </c>
      <c r="B571" s="24" t="s">
        <v>2668</v>
      </c>
      <c r="C571" t="s">
        <v>2681</v>
      </c>
      <c r="D571" s="10" t="s">
        <v>2911</v>
      </c>
      <c r="E571" s="10" t="s">
        <v>4081</v>
      </c>
      <c r="F571" s="24">
        <v>25</v>
      </c>
      <c r="G571" s="10" t="s">
        <v>4082</v>
      </c>
      <c r="H571" s="24">
        <v>18069</v>
      </c>
      <c r="I571" s="901" t="s">
        <v>4081</v>
      </c>
      <c r="J571" s="10" t="s">
        <v>4083</v>
      </c>
      <c r="K571" s="902">
        <v>1</v>
      </c>
      <c r="L571" s="237">
        <v>25</v>
      </c>
      <c r="M571" s="903" t="s">
        <v>4084</v>
      </c>
      <c r="N571" s="903"/>
      <c r="O571" s="565" t="s">
        <v>4085</v>
      </c>
      <c r="P571" s="14" t="s">
        <v>430</v>
      </c>
      <c r="Q571" s="527" t="s">
        <v>4086</v>
      </c>
      <c r="R571" s="10">
        <v>1</v>
      </c>
      <c r="S571" s="10">
        <f t="shared" si="556"/>
        <v>0.25</v>
      </c>
      <c r="T571" s="498">
        <f>SUM(R561:R580)</f>
        <v>98.95</v>
      </c>
      <c r="U571" s="10">
        <f t="shared" si="554"/>
        <v>1.010611419909045</v>
      </c>
      <c r="V571" s="220">
        <f>U571*100/SUM(U561:U562,U564:U580)</f>
        <v>1.3522650439486144</v>
      </c>
      <c r="W571" s="14" t="s">
        <v>430</v>
      </c>
      <c r="X571" s="220">
        <f t="shared" si="615"/>
        <v>1.3522650439486144</v>
      </c>
      <c r="Y571" s="220">
        <f t="shared" si="631"/>
        <v>1.3522650439486144</v>
      </c>
      <c r="Z571" s="220">
        <f t="shared" si="632"/>
        <v>1.3522650439486144</v>
      </c>
      <c r="AA571" s="792">
        <f t="shared" si="629"/>
        <v>1.3522650439486144</v>
      </c>
      <c r="AB571" s="18" t="s">
        <v>430</v>
      </c>
      <c r="AC571" s="14" t="s">
        <v>18</v>
      </c>
      <c r="AD571" s="14" t="s">
        <v>18</v>
      </c>
      <c r="AE571" s="12">
        <v>0</v>
      </c>
      <c r="AF571" s="12">
        <v>0</v>
      </c>
      <c r="AG571" s="12">
        <v>0</v>
      </c>
      <c r="AH571" s="12">
        <v>0</v>
      </c>
    </row>
    <row r="572" spans="1:34" ht="12.75">
      <c r="A572" s="10" t="s">
        <v>4080</v>
      </c>
      <c r="B572" s="24" t="s">
        <v>2668</v>
      </c>
      <c r="C572" t="s">
        <v>2681</v>
      </c>
      <c r="D572" s="10" t="s">
        <v>2911</v>
      </c>
      <c r="E572" s="10" t="s">
        <v>4081</v>
      </c>
      <c r="F572" s="24">
        <v>25</v>
      </c>
      <c r="G572" s="10" t="s">
        <v>4082</v>
      </c>
      <c r="H572" s="24">
        <v>18069</v>
      </c>
      <c r="I572" s="901" t="s">
        <v>4081</v>
      </c>
      <c r="J572" s="10" t="s">
        <v>4083</v>
      </c>
      <c r="K572" s="902">
        <v>1</v>
      </c>
      <c r="L572" s="237">
        <v>25</v>
      </c>
      <c r="M572" s="903" t="s">
        <v>4084</v>
      </c>
      <c r="N572" s="903"/>
      <c r="O572" s="565" t="s">
        <v>4085</v>
      </c>
      <c r="P572" s="14" t="s">
        <v>2948</v>
      </c>
      <c r="Q572" s="14" t="s">
        <v>2949</v>
      </c>
      <c r="R572" s="10">
        <v>1</v>
      </c>
      <c r="S572" s="10">
        <f t="shared" si="556"/>
        <v>0.25</v>
      </c>
      <c r="T572" s="498">
        <f>SUM(R561:R580)</f>
        <v>98.95</v>
      </c>
      <c r="U572" s="10">
        <f t="shared" si="554"/>
        <v>1.010611419909045</v>
      </c>
      <c r="V572" s="220">
        <f>U572*100/SUM(U561:U562,U564:U580)</f>
        <v>1.3522650439486144</v>
      </c>
      <c r="W572" s="14" t="s">
        <v>305</v>
      </c>
      <c r="X572" s="220">
        <f t="shared" si="615"/>
        <v>1.3522650439486144</v>
      </c>
      <c r="Y572" s="220" t="s">
        <v>1666</v>
      </c>
      <c r="Z572" s="220" t="s">
        <v>1666</v>
      </c>
      <c r="AA572" s="792" t="str">
        <f t="shared" si="629"/>
        <v>*</v>
      </c>
      <c r="AB572" s="458" t="str">
        <f t="shared" ref="AB572:AH572" si="633">AA572</f>
        <v>*</v>
      </c>
      <c r="AC572" s="497" t="str">
        <f t="shared" si="633"/>
        <v>*</v>
      </c>
      <c r="AD572" s="497" t="str">
        <f t="shared" si="633"/>
        <v>*</v>
      </c>
      <c r="AE572" s="454" t="str">
        <f t="shared" si="633"/>
        <v>*</v>
      </c>
      <c r="AF572" s="454" t="str">
        <f t="shared" si="633"/>
        <v>*</v>
      </c>
      <c r="AG572" s="454" t="str">
        <f t="shared" si="633"/>
        <v>*</v>
      </c>
      <c r="AH572" s="454" t="str">
        <f t="shared" si="633"/>
        <v>*</v>
      </c>
    </row>
    <row r="573" spans="1:34" ht="12.75">
      <c r="A573" s="10" t="s">
        <v>4080</v>
      </c>
      <c r="B573" s="24" t="s">
        <v>2668</v>
      </c>
      <c r="C573" t="s">
        <v>2681</v>
      </c>
      <c r="D573" s="10" t="s">
        <v>2911</v>
      </c>
      <c r="E573" s="10" t="s">
        <v>4081</v>
      </c>
      <c r="F573" s="24">
        <v>25</v>
      </c>
      <c r="G573" s="10" t="s">
        <v>4082</v>
      </c>
      <c r="H573" s="24">
        <v>18069</v>
      </c>
      <c r="I573" s="901" t="s">
        <v>4081</v>
      </c>
      <c r="J573" s="10" t="s">
        <v>4083</v>
      </c>
      <c r="K573" s="902">
        <v>1</v>
      </c>
      <c r="L573" s="237">
        <v>25</v>
      </c>
      <c r="M573" s="903" t="s">
        <v>4084</v>
      </c>
      <c r="N573" s="903"/>
      <c r="O573" s="565" t="s">
        <v>4085</v>
      </c>
      <c r="P573" s="655" t="s">
        <v>2977</v>
      </c>
      <c r="Q573" s="527" t="s">
        <v>2978</v>
      </c>
      <c r="R573" s="10">
        <v>0.5</v>
      </c>
      <c r="S573" s="10">
        <f t="shared" si="556"/>
        <v>0.125</v>
      </c>
      <c r="T573" s="498">
        <f>SUM(R561:R580)</f>
        <v>98.95</v>
      </c>
      <c r="U573" s="10">
        <f t="shared" si="554"/>
        <v>0.50530570995452251</v>
      </c>
      <c r="V573" s="220">
        <f>U573*100/SUM(U561:U562,U564:U580)</f>
        <v>0.67613252197430718</v>
      </c>
      <c r="W573" s="14" t="s">
        <v>1099</v>
      </c>
      <c r="X573" s="220">
        <f t="shared" si="615"/>
        <v>0.67613252197430718</v>
      </c>
      <c r="Y573" s="220" t="s">
        <v>1666</v>
      </c>
      <c r="Z573" s="220">
        <f>SUM(X573,X578)</f>
        <v>0.94658553076403007</v>
      </c>
      <c r="AA573" s="792">
        <f t="shared" si="629"/>
        <v>0.94658553076403007</v>
      </c>
      <c r="AB573" s="18" t="s">
        <v>2530</v>
      </c>
      <c r="AC573" s="13" t="s">
        <v>55</v>
      </c>
      <c r="AD573" s="13" t="s">
        <v>2979</v>
      </c>
      <c r="AE573" s="12">
        <v>2.5055367220000002E-3</v>
      </c>
      <c r="AF573" s="12">
        <v>3.8459841414181101E-2</v>
      </c>
      <c r="AG573" s="12">
        <v>1.1035422343324251E-4</v>
      </c>
      <c r="AH573" s="12">
        <v>8.109653861711444E-4</v>
      </c>
    </row>
    <row r="574" spans="1:34" ht="12.75">
      <c r="A574" s="10" t="s">
        <v>4080</v>
      </c>
      <c r="B574" s="24" t="s">
        <v>2668</v>
      </c>
      <c r="C574" t="s">
        <v>2681</v>
      </c>
      <c r="D574" s="10" t="s">
        <v>2911</v>
      </c>
      <c r="E574" s="10" t="s">
        <v>4081</v>
      </c>
      <c r="F574" s="24">
        <v>25</v>
      </c>
      <c r="G574" s="10" t="s">
        <v>4082</v>
      </c>
      <c r="H574" s="24">
        <v>18069</v>
      </c>
      <c r="I574" s="901" t="s">
        <v>4081</v>
      </c>
      <c r="J574" s="10" t="s">
        <v>4083</v>
      </c>
      <c r="K574" s="902">
        <v>1</v>
      </c>
      <c r="L574" s="237">
        <v>25</v>
      </c>
      <c r="M574" s="903" t="s">
        <v>4084</v>
      </c>
      <c r="N574" s="903"/>
      <c r="O574" s="565" t="s">
        <v>4085</v>
      </c>
      <c r="P574" s="10" t="s">
        <v>3051</v>
      </c>
      <c r="Q574" s="486" t="s">
        <v>3084</v>
      </c>
      <c r="R574" s="10">
        <v>0.5</v>
      </c>
      <c r="S574" s="10">
        <f t="shared" si="556"/>
        <v>0.125</v>
      </c>
      <c r="T574" s="498">
        <f>SUM(R561:R580)</f>
        <v>98.95</v>
      </c>
      <c r="U574" s="10">
        <f t="shared" si="554"/>
        <v>0.50530570995452251</v>
      </c>
      <c r="V574" s="220">
        <f>U574*100/SUM(U561:U562,U564:U580)</f>
        <v>0.67613252197430718</v>
      </c>
      <c r="W574" s="14" t="s">
        <v>134</v>
      </c>
      <c r="X574" s="220">
        <f t="shared" si="615"/>
        <v>0.67613252197430718</v>
      </c>
      <c r="Y574" s="220" t="s">
        <v>1666</v>
      </c>
      <c r="Z574" s="220">
        <f>X574</f>
        <v>0.67613252197430718</v>
      </c>
      <c r="AA574" s="792">
        <f t="shared" si="629"/>
        <v>0.67613252197430718</v>
      </c>
      <c r="AB574" s="18" t="s">
        <v>2661</v>
      </c>
      <c r="AC574" s="14" t="s">
        <v>134</v>
      </c>
      <c r="AD574" s="14" t="s">
        <v>3053</v>
      </c>
      <c r="AE574" s="12">
        <v>3.0177940758293843E-3</v>
      </c>
      <c r="AF574" s="12">
        <v>8.8728561611374421E-3</v>
      </c>
      <c r="AG574" s="12">
        <v>5.9155383175355464E-5</v>
      </c>
      <c r="AH574" s="12">
        <v>5.56622037914692E-4</v>
      </c>
    </row>
    <row r="575" spans="1:34" ht="12.75">
      <c r="A575" s="10" t="s">
        <v>4080</v>
      </c>
      <c r="B575" s="24" t="s">
        <v>2668</v>
      </c>
      <c r="C575" t="s">
        <v>2681</v>
      </c>
      <c r="D575" s="10" t="s">
        <v>2911</v>
      </c>
      <c r="E575" s="10" t="s">
        <v>4081</v>
      </c>
      <c r="F575" s="24">
        <v>25</v>
      </c>
      <c r="G575" s="10" t="s">
        <v>4082</v>
      </c>
      <c r="H575" s="24">
        <v>18069</v>
      </c>
      <c r="I575" s="901" t="s">
        <v>4081</v>
      </c>
      <c r="J575" s="10" t="s">
        <v>4083</v>
      </c>
      <c r="K575" s="902">
        <v>1</v>
      </c>
      <c r="L575" s="237">
        <v>25</v>
      </c>
      <c r="M575" s="903" t="s">
        <v>4084</v>
      </c>
      <c r="N575" s="903"/>
      <c r="O575" s="565" t="s">
        <v>4085</v>
      </c>
      <c r="P575" s="10" t="s">
        <v>3072</v>
      </c>
      <c r="Q575" s="14" t="s">
        <v>3073</v>
      </c>
      <c r="R575" s="10">
        <v>0.5</v>
      </c>
      <c r="S575" s="10">
        <f t="shared" si="556"/>
        <v>0.125</v>
      </c>
      <c r="T575" s="498">
        <f>SUM(R561:R580)</f>
        <v>98.95</v>
      </c>
      <c r="U575" s="10">
        <f t="shared" si="554"/>
        <v>0.50530570995452251</v>
      </c>
      <c r="V575" s="220">
        <f>U575*100/SUM(U561:U562,U564:U580)</f>
        <v>0.67613252197430718</v>
      </c>
      <c r="W575" s="14" t="s">
        <v>343</v>
      </c>
      <c r="X575" s="220">
        <f t="shared" si="615"/>
        <v>0.67613252197430718</v>
      </c>
      <c r="Y575" s="220" t="s">
        <v>1666</v>
      </c>
      <c r="Z575" s="220" t="s">
        <v>1666</v>
      </c>
      <c r="AA575" s="792" t="str">
        <f t="shared" si="629"/>
        <v>*</v>
      </c>
      <c r="AB575" s="458" t="str">
        <f t="shared" ref="AB575:AH575" si="634">AA575</f>
        <v>*</v>
      </c>
      <c r="AC575" s="497" t="str">
        <f t="shared" si="634"/>
        <v>*</v>
      </c>
      <c r="AD575" s="497" t="str">
        <f t="shared" si="634"/>
        <v>*</v>
      </c>
      <c r="AE575" s="454" t="str">
        <f t="shared" si="634"/>
        <v>*</v>
      </c>
      <c r="AF575" s="454" t="str">
        <f t="shared" si="634"/>
        <v>*</v>
      </c>
      <c r="AG575" s="454" t="str">
        <f t="shared" si="634"/>
        <v>*</v>
      </c>
      <c r="AH575" s="454" t="str">
        <f t="shared" si="634"/>
        <v>*</v>
      </c>
    </row>
    <row r="576" spans="1:34" ht="12.75">
      <c r="A576" s="10" t="s">
        <v>4080</v>
      </c>
      <c r="B576" s="24" t="s">
        <v>2668</v>
      </c>
      <c r="C576" t="s">
        <v>2681</v>
      </c>
      <c r="D576" s="10" t="s">
        <v>2911</v>
      </c>
      <c r="E576" s="10" t="s">
        <v>4081</v>
      </c>
      <c r="F576" s="24">
        <v>25</v>
      </c>
      <c r="G576" s="10" t="s">
        <v>4082</v>
      </c>
      <c r="H576" s="24">
        <v>18069</v>
      </c>
      <c r="I576" s="901" t="s">
        <v>4081</v>
      </c>
      <c r="J576" s="10" t="s">
        <v>4083</v>
      </c>
      <c r="K576" s="902">
        <v>1</v>
      </c>
      <c r="L576" s="237">
        <v>25</v>
      </c>
      <c r="M576" s="903" t="s">
        <v>4084</v>
      </c>
      <c r="N576" s="903"/>
      <c r="O576" s="565" t="s">
        <v>4085</v>
      </c>
      <c r="P576" s="10" t="s">
        <v>85</v>
      </c>
      <c r="Q576" s="10" t="s">
        <v>3171</v>
      </c>
      <c r="R576" s="10">
        <v>0.5</v>
      </c>
      <c r="S576" s="10">
        <f t="shared" si="556"/>
        <v>0.125</v>
      </c>
      <c r="T576" s="498">
        <f>SUM(R561:R580)</f>
        <v>98.95</v>
      </c>
      <c r="U576" s="10">
        <f t="shared" si="554"/>
        <v>0.50530570995452251</v>
      </c>
      <c r="V576" s="220">
        <f>U576*100/SUM(U561:U562,U564:U580)</f>
        <v>0.67613252197430718</v>
      </c>
      <c r="W576" s="14" t="s">
        <v>85</v>
      </c>
      <c r="X576" s="220">
        <f t="shared" si="615"/>
        <v>0.67613252197430718</v>
      </c>
      <c r="Y576" s="499">
        <f>X576</f>
        <v>0.67613252197430718</v>
      </c>
      <c r="Z576" s="220">
        <f>X576</f>
        <v>0.67613252197430718</v>
      </c>
      <c r="AA576" s="792">
        <f t="shared" si="629"/>
        <v>0.67613252197430718</v>
      </c>
      <c r="AB576" s="18" t="s">
        <v>85</v>
      </c>
      <c r="AC576" s="14" t="s">
        <v>18</v>
      </c>
      <c r="AD576" s="14" t="s">
        <v>3144</v>
      </c>
      <c r="AE576" s="12">
        <v>2.0262392565709405E-4</v>
      </c>
      <c r="AF576" s="12">
        <v>1.0885928720785719E-2</v>
      </c>
      <c r="AG576" s="12">
        <v>6.2837933649623454E-6</v>
      </c>
      <c r="AH576" s="12">
        <v>4.6142098112569087E-5</v>
      </c>
    </row>
    <row r="577" spans="1:34" ht="12.75">
      <c r="A577" s="10" t="s">
        <v>4080</v>
      </c>
      <c r="B577" s="24" t="s">
        <v>2668</v>
      </c>
      <c r="C577" t="s">
        <v>2681</v>
      </c>
      <c r="D577" s="10" t="s">
        <v>2911</v>
      </c>
      <c r="E577" s="10" t="s">
        <v>4081</v>
      </c>
      <c r="F577" s="24">
        <v>25</v>
      </c>
      <c r="G577" s="10" t="s">
        <v>4082</v>
      </c>
      <c r="H577" s="24">
        <v>18069</v>
      </c>
      <c r="I577" s="901" t="s">
        <v>4081</v>
      </c>
      <c r="J577" s="10" t="s">
        <v>4083</v>
      </c>
      <c r="K577" s="902">
        <v>1</v>
      </c>
      <c r="L577" s="237">
        <v>25</v>
      </c>
      <c r="M577" s="903" t="s">
        <v>4084</v>
      </c>
      <c r="N577" s="903"/>
      <c r="O577" s="565" t="s">
        <v>4085</v>
      </c>
      <c r="P577" s="10" t="s">
        <v>2945</v>
      </c>
      <c r="Q577" s="10" t="s">
        <v>2946</v>
      </c>
      <c r="R577" s="10">
        <v>0.25</v>
      </c>
      <c r="S577" s="10">
        <f t="shared" si="556"/>
        <v>6.25E-2</v>
      </c>
      <c r="T577" s="498">
        <f>SUM(R561:R580)</f>
        <v>98.95</v>
      </c>
      <c r="U577" s="10">
        <f t="shared" si="554"/>
        <v>0.25265285497726125</v>
      </c>
      <c r="V577" s="220">
        <f>U577*100/SUM(U561:U562,U564:U580)</f>
        <v>0.33806626098715359</v>
      </c>
      <c r="W577" s="14" t="s">
        <v>433</v>
      </c>
      <c r="X577" s="220">
        <f t="shared" si="615"/>
        <v>0.33806626098715359</v>
      </c>
      <c r="Y577" s="499">
        <f>SUM(X577,X580)</f>
        <v>0.60851926977687643</v>
      </c>
      <c r="Z577" s="220">
        <f t="shared" ref="Z577:AA577" si="635">Y577</f>
        <v>0.60851926977687643</v>
      </c>
      <c r="AA577" s="792">
        <f t="shared" si="635"/>
        <v>0.60851926977687643</v>
      </c>
      <c r="AB577" s="18" t="s">
        <v>433</v>
      </c>
      <c r="AC577" s="13" t="s">
        <v>433</v>
      </c>
      <c r="AD577" s="13" t="s">
        <v>2947</v>
      </c>
      <c r="AE577" s="12">
        <v>3.0104466724907065E-4</v>
      </c>
      <c r="AF577" s="12">
        <v>1.2500000000000001E-2</v>
      </c>
      <c r="AG577" s="12">
        <v>5.1818181818181835E-4</v>
      </c>
      <c r="AH577" s="12">
        <v>4.0084080366977777E-4</v>
      </c>
    </row>
    <row r="578" spans="1:34" ht="12.75">
      <c r="A578" s="10" t="s">
        <v>4080</v>
      </c>
      <c r="B578" s="24" t="s">
        <v>2668</v>
      </c>
      <c r="C578" t="s">
        <v>2681</v>
      </c>
      <c r="D578" s="10" t="s">
        <v>2911</v>
      </c>
      <c r="E578" s="10" t="s">
        <v>4081</v>
      </c>
      <c r="F578" s="24">
        <v>25</v>
      </c>
      <c r="G578" s="10" t="s">
        <v>4082</v>
      </c>
      <c r="H578" s="24">
        <v>18069</v>
      </c>
      <c r="I578" s="901" t="s">
        <v>4081</v>
      </c>
      <c r="J578" s="10" t="s">
        <v>4083</v>
      </c>
      <c r="K578" s="902">
        <v>1</v>
      </c>
      <c r="L578" s="237">
        <v>25</v>
      </c>
      <c r="M578" s="903" t="s">
        <v>4084</v>
      </c>
      <c r="N578" s="903"/>
      <c r="O578" s="565" t="s">
        <v>4085</v>
      </c>
      <c r="P578" s="901" t="s">
        <v>2977</v>
      </c>
      <c r="Q578" s="527" t="s">
        <v>4087</v>
      </c>
      <c r="R578" s="10">
        <v>0.2</v>
      </c>
      <c r="S578" s="10">
        <f t="shared" si="556"/>
        <v>0.05</v>
      </c>
      <c r="T578" s="498">
        <f>SUM(R561:R580)</f>
        <v>98.95</v>
      </c>
      <c r="U578" s="10">
        <f t="shared" si="554"/>
        <v>0.20212228398180898</v>
      </c>
      <c r="V578" s="220">
        <f>U578*100/SUM(U561:U562,U564:U580)</f>
        <v>0.27045300878972284</v>
      </c>
      <c r="W578" s="14" t="s">
        <v>1099</v>
      </c>
      <c r="X578" s="220">
        <f t="shared" si="615"/>
        <v>0.27045300878972284</v>
      </c>
      <c r="Y578" s="220" t="s">
        <v>1666</v>
      </c>
      <c r="Z578" s="220" t="s">
        <v>1666</v>
      </c>
      <c r="AA578" s="792" t="str">
        <f t="shared" ref="AA578:AH578" si="636">Z578</f>
        <v>*</v>
      </c>
      <c r="AB578" s="458" t="str">
        <f t="shared" si="636"/>
        <v>*</v>
      </c>
      <c r="AC578" s="497" t="str">
        <f t="shared" si="636"/>
        <v>*</v>
      </c>
      <c r="AD578" s="497" t="str">
        <f t="shared" si="636"/>
        <v>*</v>
      </c>
      <c r="AE578" s="454" t="str">
        <f t="shared" si="636"/>
        <v>*</v>
      </c>
      <c r="AF578" s="454" t="str">
        <f t="shared" si="636"/>
        <v>*</v>
      </c>
      <c r="AG578" s="454" t="str">
        <f t="shared" si="636"/>
        <v>*</v>
      </c>
      <c r="AH578" s="454" t="str">
        <f t="shared" si="636"/>
        <v>*</v>
      </c>
    </row>
    <row r="579" spans="1:34" ht="12.75">
      <c r="A579" s="10" t="s">
        <v>4080</v>
      </c>
      <c r="B579" s="24" t="s">
        <v>2668</v>
      </c>
      <c r="C579" t="s">
        <v>2681</v>
      </c>
      <c r="D579" s="10" t="s">
        <v>2911</v>
      </c>
      <c r="E579" s="10" t="s">
        <v>4081</v>
      </c>
      <c r="F579" s="24">
        <v>25</v>
      </c>
      <c r="G579" s="10" t="s">
        <v>4082</v>
      </c>
      <c r="H579" s="24">
        <v>18069</v>
      </c>
      <c r="I579" s="901" t="s">
        <v>4081</v>
      </c>
      <c r="J579" s="10" t="s">
        <v>4083</v>
      </c>
      <c r="K579" s="902">
        <v>1</v>
      </c>
      <c r="L579" s="237">
        <v>25</v>
      </c>
      <c r="M579" s="903" t="s">
        <v>4084</v>
      </c>
      <c r="N579" s="903"/>
      <c r="O579" s="565" t="s">
        <v>4085</v>
      </c>
      <c r="P579" s="10" t="s">
        <v>2962</v>
      </c>
      <c r="Q579" s="14" t="s">
        <v>2963</v>
      </c>
      <c r="R579" s="10">
        <v>0.2</v>
      </c>
      <c r="S579" s="10">
        <f t="shared" si="556"/>
        <v>0.05</v>
      </c>
      <c r="T579" s="498">
        <f>SUM(R561:R580)</f>
        <v>98.95</v>
      </c>
      <c r="U579" s="10">
        <f t="shared" si="554"/>
        <v>0.20212228398180898</v>
      </c>
      <c r="V579" s="220">
        <f>U579*100/SUM(U561:U562,U564:U580)</f>
        <v>0.27045300878972284</v>
      </c>
      <c r="W579" s="14" t="s">
        <v>425</v>
      </c>
      <c r="X579" s="220">
        <f t="shared" si="615"/>
        <v>0.27045300878972284</v>
      </c>
      <c r="Y579" s="220" t="s">
        <v>1666</v>
      </c>
      <c r="Z579" s="220" t="s">
        <v>1666</v>
      </c>
      <c r="AA579" s="792" t="str">
        <f t="shared" ref="AA579:AH579" si="637">Z579</f>
        <v>*</v>
      </c>
      <c r="AB579" s="458" t="str">
        <f t="shared" si="637"/>
        <v>*</v>
      </c>
      <c r="AC579" s="497" t="str">
        <f t="shared" si="637"/>
        <v>*</v>
      </c>
      <c r="AD579" s="497" t="str">
        <f t="shared" si="637"/>
        <v>*</v>
      </c>
      <c r="AE579" s="454" t="str">
        <f t="shared" si="637"/>
        <v>*</v>
      </c>
      <c r="AF579" s="454" t="str">
        <f t="shared" si="637"/>
        <v>*</v>
      </c>
      <c r="AG579" s="454" t="str">
        <f t="shared" si="637"/>
        <v>*</v>
      </c>
      <c r="AH579" s="454" t="str">
        <f t="shared" si="637"/>
        <v>*</v>
      </c>
    </row>
    <row r="580" spans="1:34" ht="12.75">
      <c r="A580" s="813" t="s">
        <v>4080</v>
      </c>
      <c r="B580" s="794" t="s">
        <v>2668</v>
      </c>
      <c r="C580" s="812" t="s">
        <v>2681</v>
      </c>
      <c r="D580" s="813" t="s">
        <v>2911</v>
      </c>
      <c r="E580" s="813" t="s">
        <v>4081</v>
      </c>
      <c r="F580" s="794">
        <v>25</v>
      </c>
      <c r="G580" s="813" t="s">
        <v>4082</v>
      </c>
      <c r="H580" s="794">
        <v>18069</v>
      </c>
      <c r="I580" s="904" t="s">
        <v>4081</v>
      </c>
      <c r="J580" s="813" t="s">
        <v>4083</v>
      </c>
      <c r="K580" s="905">
        <v>1</v>
      </c>
      <c r="L580" s="735">
        <v>25</v>
      </c>
      <c r="M580" s="906" t="s">
        <v>4084</v>
      </c>
      <c r="N580" s="906"/>
      <c r="O580" s="907" t="s">
        <v>4085</v>
      </c>
      <c r="P580" s="813" t="s">
        <v>2945</v>
      </c>
      <c r="Q580" s="813" t="s">
        <v>4088</v>
      </c>
      <c r="R580" s="813">
        <v>0.2</v>
      </c>
      <c r="S580" s="813">
        <f t="shared" si="556"/>
        <v>0.05</v>
      </c>
      <c r="T580" s="908">
        <f>SUM(R561:R580)</f>
        <v>98.95</v>
      </c>
      <c r="U580" s="813">
        <f t="shared" si="554"/>
        <v>0.20212228398180898</v>
      </c>
      <c r="V580" s="725">
        <f>U580*100/SUM(U561:U562,U564:U580)</f>
        <v>0.27045300878972284</v>
      </c>
      <c r="W580" s="617" t="s">
        <v>433</v>
      </c>
      <c r="X580" s="725">
        <f t="shared" si="615"/>
        <v>0.27045300878972284</v>
      </c>
      <c r="Y580" s="725" t="s">
        <v>1624</v>
      </c>
      <c r="Z580" s="725">
        <f>SUM(X580,X576:X577,X568)</f>
        <v>1.690331304935768</v>
      </c>
      <c r="AA580" s="455" t="s">
        <v>1666</v>
      </c>
      <c r="AB580" s="793" t="s">
        <v>1666</v>
      </c>
      <c r="AC580" s="799" t="s">
        <v>1666</v>
      </c>
      <c r="AD580" s="799" t="s">
        <v>1666</v>
      </c>
      <c r="AE580" s="808" t="s">
        <v>1666</v>
      </c>
      <c r="AF580" s="808" t="s">
        <v>1666</v>
      </c>
      <c r="AG580" s="808" t="s">
        <v>1666</v>
      </c>
      <c r="AH580" s="808" t="s">
        <v>1666</v>
      </c>
    </row>
    <row r="581" spans="1:34" ht="12.75">
      <c r="A581" s="14" t="s">
        <v>4089</v>
      </c>
      <c r="B581" s="24" t="s">
        <v>2668</v>
      </c>
      <c r="C581" s="14" t="s">
        <v>2682</v>
      </c>
      <c r="D581" s="14" t="s">
        <v>2911</v>
      </c>
      <c r="E581" s="14" t="s">
        <v>4090</v>
      </c>
      <c r="F581" s="13">
        <v>32</v>
      </c>
      <c r="G581" s="14" t="s">
        <v>4082</v>
      </c>
      <c r="H581" s="13">
        <v>18060</v>
      </c>
      <c r="I581" s="655" t="s">
        <v>4090</v>
      </c>
      <c r="J581" s="14" t="s">
        <v>4091</v>
      </c>
      <c r="K581" s="478">
        <v>1</v>
      </c>
      <c r="L581" s="220">
        <v>32</v>
      </c>
      <c r="M581" s="473" t="s">
        <v>4092</v>
      </c>
      <c r="N581" s="473"/>
      <c r="O581" s="480"/>
      <c r="P581" s="655" t="s">
        <v>3005</v>
      </c>
      <c r="Q581" s="486" t="s">
        <v>3006</v>
      </c>
      <c r="R581" s="14">
        <v>40</v>
      </c>
      <c r="S581" s="14">
        <f t="shared" si="556"/>
        <v>12.8</v>
      </c>
      <c r="T581" s="220">
        <f>SUM(R581:R594)</f>
        <v>98.5</v>
      </c>
      <c r="U581">
        <f t="shared" si="554"/>
        <v>40.609137055837564</v>
      </c>
      <c r="V581" s="220">
        <f>U581*100/SUM(U581,U582,U584:U594)</f>
        <v>58.394160583941613</v>
      </c>
      <c r="W581" s="14" t="s">
        <v>2526</v>
      </c>
      <c r="X581">
        <f t="shared" si="615"/>
        <v>58.394160583941613</v>
      </c>
      <c r="Y581" s="220">
        <f t="shared" ref="Y581:AA581" si="638">X581</f>
        <v>58.394160583941613</v>
      </c>
      <c r="Z581" s="220">
        <f t="shared" si="638"/>
        <v>58.394160583941613</v>
      </c>
      <c r="AA581" s="792">
        <f t="shared" si="638"/>
        <v>58.394160583941613</v>
      </c>
      <c r="AB581" s="18" t="s">
        <v>2658</v>
      </c>
      <c r="AC581" s="13" t="s">
        <v>215</v>
      </c>
      <c r="AD581" s="13" t="s">
        <v>3007</v>
      </c>
      <c r="AE581" s="12">
        <v>5.0851930036188197E-3</v>
      </c>
      <c r="AF581" s="12">
        <v>5.9995417730640897E-2</v>
      </c>
      <c r="AG581" s="12">
        <v>3.4699999999999998E-4</v>
      </c>
      <c r="AH581" s="12">
        <v>2.9762429672480995E-4</v>
      </c>
    </row>
    <row r="582" spans="1:34" ht="12.75">
      <c r="A582" s="14" t="s">
        <v>4089</v>
      </c>
      <c r="B582" s="24" t="s">
        <v>2668</v>
      </c>
      <c r="C582" s="14" t="s">
        <v>2682</v>
      </c>
      <c r="D582" s="14" t="s">
        <v>2911</v>
      </c>
      <c r="E582" s="14" t="s">
        <v>4090</v>
      </c>
      <c r="F582" s="13">
        <v>32</v>
      </c>
      <c r="G582" s="14" t="s">
        <v>4082</v>
      </c>
      <c r="H582" s="13">
        <v>18060</v>
      </c>
      <c r="I582" s="655" t="s">
        <v>4090</v>
      </c>
      <c r="J582" s="14" t="s">
        <v>4091</v>
      </c>
      <c r="K582" s="478">
        <v>1</v>
      </c>
      <c r="L582" s="220">
        <v>32</v>
      </c>
      <c r="M582" s="473" t="s">
        <v>4092</v>
      </c>
      <c r="N582" s="473"/>
      <c r="O582" s="480"/>
      <c r="P582" s="14" t="s">
        <v>3862</v>
      </c>
      <c r="Q582" s="486" t="s">
        <v>3863</v>
      </c>
      <c r="R582" s="14">
        <v>2</v>
      </c>
      <c r="S582" s="14">
        <f t="shared" si="556"/>
        <v>0.64</v>
      </c>
      <c r="T582" s="220">
        <f>SUM(R581:R594)</f>
        <v>98.5</v>
      </c>
      <c r="U582">
        <f t="shared" si="554"/>
        <v>2.030456852791878</v>
      </c>
      <c r="V582" s="220">
        <f>U582*100/SUM(U581,U582,U584:U594)</f>
        <v>2.9197080291970803</v>
      </c>
      <c r="W582" s="14" t="s">
        <v>2662</v>
      </c>
      <c r="X582">
        <f t="shared" si="615"/>
        <v>2.9197080291970803</v>
      </c>
      <c r="Y582" s="220">
        <f>SUM(X582,X590)</f>
        <v>4.3795620437956204</v>
      </c>
      <c r="Z582" s="220">
        <f t="shared" ref="Z582:AA582" si="639">Y582</f>
        <v>4.3795620437956204</v>
      </c>
      <c r="AA582" s="792">
        <f t="shared" si="639"/>
        <v>4.3795620437956204</v>
      </c>
      <c r="AB582" s="18" t="s">
        <v>2662</v>
      </c>
      <c r="AC582" s="13" t="s">
        <v>208</v>
      </c>
      <c r="AD582" s="13" t="s">
        <v>3864</v>
      </c>
      <c r="AE582" s="12">
        <v>6.399192301960112E-3</v>
      </c>
      <c r="AF582" s="12">
        <v>0.12411340117772937</v>
      </c>
      <c r="AG582" s="12">
        <v>9.8749999999999988E-5</v>
      </c>
      <c r="AH582" s="12">
        <v>3.8580927353216109E-4</v>
      </c>
    </row>
    <row r="583" spans="1:34" ht="12.75">
      <c r="A583" s="14" t="s">
        <v>4089</v>
      </c>
      <c r="B583" s="24" t="s">
        <v>2668</v>
      </c>
      <c r="C583" s="14" t="s">
        <v>2682</v>
      </c>
      <c r="D583" s="14" t="s">
        <v>2911</v>
      </c>
      <c r="E583" s="14" t="s">
        <v>4090</v>
      </c>
      <c r="F583" s="13">
        <v>32</v>
      </c>
      <c r="G583" s="14" t="s">
        <v>4082</v>
      </c>
      <c r="H583" s="13">
        <v>18060</v>
      </c>
      <c r="I583" s="655" t="s">
        <v>4090</v>
      </c>
      <c r="J583" s="14" t="s">
        <v>4091</v>
      </c>
      <c r="K583" s="478">
        <v>1</v>
      </c>
      <c r="L583" s="220">
        <v>32</v>
      </c>
      <c r="M583" s="473" t="s">
        <v>4092</v>
      </c>
      <c r="N583" s="473"/>
      <c r="O583" s="480"/>
      <c r="P583" s="14" t="s">
        <v>2938</v>
      </c>
      <c r="Q583" s="435" t="s">
        <v>2939</v>
      </c>
      <c r="R583" s="14">
        <v>30</v>
      </c>
      <c r="S583" s="14">
        <f t="shared" si="556"/>
        <v>9.6</v>
      </c>
      <c r="T583" s="220">
        <f>SUM(R581:R594)</f>
        <v>98.5</v>
      </c>
      <c r="U583">
        <f t="shared" si="554"/>
        <v>30.456852791878173</v>
      </c>
      <c r="V583" s="481">
        <f>U583</f>
        <v>30.456852791878173</v>
      </c>
      <c r="W583" s="482" t="s">
        <v>72</v>
      </c>
      <c r="X583" s="515">
        <f t="shared" si="615"/>
        <v>30.456852791878173</v>
      </c>
      <c r="Y583" s="481">
        <f t="shared" ref="Y583:AA583" si="640">X583</f>
        <v>30.456852791878173</v>
      </c>
      <c r="Z583" s="481">
        <f t="shared" si="640"/>
        <v>30.456852791878173</v>
      </c>
      <c r="AA583" s="810">
        <f t="shared" si="640"/>
        <v>30.456852791878173</v>
      </c>
      <c r="AB583" s="456" t="s">
        <v>72</v>
      </c>
      <c r="AC583" s="469" t="s">
        <v>2938</v>
      </c>
      <c r="AD583" s="469" t="s">
        <v>2940</v>
      </c>
      <c r="AE583" s="457">
        <v>0</v>
      </c>
      <c r="AF583" s="457">
        <v>0</v>
      </c>
      <c r="AG583" s="457">
        <v>0</v>
      </c>
      <c r="AH583" s="457">
        <v>0</v>
      </c>
    </row>
    <row r="584" spans="1:34" ht="12.75">
      <c r="A584" s="14" t="s">
        <v>4089</v>
      </c>
      <c r="B584" s="24" t="s">
        <v>2668</v>
      </c>
      <c r="C584" s="14" t="s">
        <v>2682</v>
      </c>
      <c r="D584" s="14" t="s">
        <v>2911</v>
      </c>
      <c r="E584" s="14" t="s">
        <v>4090</v>
      </c>
      <c r="F584" s="13">
        <v>32</v>
      </c>
      <c r="G584" s="14" t="s">
        <v>4082</v>
      </c>
      <c r="H584" s="13">
        <v>18060</v>
      </c>
      <c r="I584" s="655" t="s">
        <v>4090</v>
      </c>
      <c r="J584" s="14" t="s">
        <v>4091</v>
      </c>
      <c r="K584" s="478">
        <v>1</v>
      </c>
      <c r="L584" s="220">
        <v>32</v>
      </c>
      <c r="M584" s="473" t="s">
        <v>4092</v>
      </c>
      <c r="N584" s="473"/>
      <c r="O584" s="480"/>
      <c r="P584" s="14" t="s">
        <v>4093</v>
      </c>
      <c r="Q584" s="486" t="s">
        <v>4022</v>
      </c>
      <c r="R584" s="14">
        <v>13</v>
      </c>
      <c r="S584" s="14">
        <f t="shared" si="556"/>
        <v>4.16</v>
      </c>
      <c r="T584" s="220">
        <f>SUM(R581:R594)</f>
        <v>98.5</v>
      </c>
      <c r="U584">
        <f t="shared" si="554"/>
        <v>13.197969543147208</v>
      </c>
      <c r="V584" s="220">
        <f>U584*100/SUM(U581,U582,U584:U594)</f>
        <v>18.978102189781023</v>
      </c>
      <c r="W584" s="14" t="s">
        <v>271</v>
      </c>
      <c r="X584">
        <f t="shared" si="615"/>
        <v>18.978102189781023</v>
      </c>
      <c r="Y584" s="220">
        <f t="shared" ref="Y584:AA584" si="641">X584</f>
        <v>18.978102189781023</v>
      </c>
      <c r="Z584" s="220">
        <f t="shared" si="641"/>
        <v>18.978102189781023</v>
      </c>
      <c r="AA584" s="792">
        <f t="shared" si="641"/>
        <v>18.978102189781023</v>
      </c>
      <c r="AB584" s="18" t="s">
        <v>271</v>
      </c>
      <c r="AC584" s="13" t="s">
        <v>271</v>
      </c>
      <c r="AD584" s="13" t="s">
        <v>4023</v>
      </c>
      <c r="AE584" s="12">
        <v>8.4188576965875186E-3</v>
      </c>
      <c r="AF584" s="12">
        <v>3.7019919874172996E-2</v>
      </c>
      <c r="AG584" s="12">
        <v>2.5000000000000001E-5</v>
      </c>
      <c r="AH584" s="12">
        <v>2.4250868622021553E-4</v>
      </c>
    </row>
    <row r="585" spans="1:34" ht="12.75">
      <c r="A585" s="14" t="s">
        <v>4089</v>
      </c>
      <c r="B585" s="24" t="s">
        <v>2668</v>
      </c>
      <c r="C585" s="14" t="s">
        <v>2682</v>
      </c>
      <c r="D585" s="14" t="s">
        <v>2911</v>
      </c>
      <c r="E585" s="14" t="s">
        <v>4090</v>
      </c>
      <c r="F585" s="13">
        <v>32</v>
      </c>
      <c r="G585" s="14" t="s">
        <v>4082</v>
      </c>
      <c r="H585" s="13">
        <v>18060</v>
      </c>
      <c r="I585" s="655" t="s">
        <v>4090</v>
      </c>
      <c r="J585" s="14" t="s">
        <v>4091</v>
      </c>
      <c r="K585" s="478">
        <v>1</v>
      </c>
      <c r="L585" s="220">
        <v>32</v>
      </c>
      <c r="M585" s="473" t="s">
        <v>4092</v>
      </c>
      <c r="N585" s="473"/>
      <c r="O585" s="480"/>
      <c r="P585" s="14" t="s">
        <v>2945</v>
      </c>
      <c r="Q585" s="10" t="s">
        <v>2946</v>
      </c>
      <c r="R585" s="14">
        <v>2</v>
      </c>
      <c r="S585" s="14">
        <f t="shared" si="556"/>
        <v>0.64</v>
      </c>
      <c r="T585" s="220">
        <f>SUM(R581:R594)</f>
        <v>98.5</v>
      </c>
      <c r="U585">
        <f t="shared" si="554"/>
        <v>2.030456852791878</v>
      </c>
      <c r="V585" s="220">
        <f>U585*100/SUM(U581,U582,U584:U594)</f>
        <v>2.9197080291970803</v>
      </c>
      <c r="W585" s="14" t="s">
        <v>433</v>
      </c>
      <c r="X585">
        <f t="shared" si="615"/>
        <v>2.9197080291970803</v>
      </c>
      <c r="Y585" s="220">
        <f>X585</f>
        <v>2.9197080291970803</v>
      </c>
      <c r="Z585" s="220">
        <f t="shared" ref="Z585:Z586" si="642">X585</f>
        <v>2.9197080291970803</v>
      </c>
      <c r="AA585" s="792">
        <f t="shared" ref="AA585:AA586" si="643">Z585</f>
        <v>2.9197080291970803</v>
      </c>
      <c r="AB585" s="18" t="s">
        <v>433</v>
      </c>
      <c r="AC585" s="13" t="s">
        <v>433</v>
      </c>
      <c r="AD585" s="13" t="s">
        <v>2947</v>
      </c>
      <c r="AE585" s="12">
        <v>3.0104466724907065E-4</v>
      </c>
      <c r="AF585" s="12">
        <v>1.2500000000000001E-2</v>
      </c>
      <c r="AG585" s="12">
        <v>5.1818181818181835E-4</v>
      </c>
      <c r="AH585" s="12">
        <v>4.0084080366977777E-4</v>
      </c>
    </row>
    <row r="586" spans="1:34" ht="12.75">
      <c r="A586" s="14" t="s">
        <v>4089</v>
      </c>
      <c r="B586" s="24" t="s">
        <v>2668</v>
      </c>
      <c r="C586" s="14" t="s">
        <v>2682</v>
      </c>
      <c r="D586" s="14" t="s">
        <v>2911</v>
      </c>
      <c r="E586" s="14" t="s">
        <v>4090</v>
      </c>
      <c r="F586" s="13">
        <v>32</v>
      </c>
      <c r="G586" s="14" t="s">
        <v>4082</v>
      </c>
      <c r="H586" s="13">
        <v>18060</v>
      </c>
      <c r="I586" s="655" t="s">
        <v>4090</v>
      </c>
      <c r="J586" s="14" t="s">
        <v>4091</v>
      </c>
      <c r="K586" s="478">
        <v>1</v>
      </c>
      <c r="L586" s="220">
        <v>32</v>
      </c>
      <c r="M586" s="473" t="s">
        <v>4092</v>
      </c>
      <c r="N586" s="473"/>
      <c r="O586" s="480"/>
      <c r="P586" s="14" t="s">
        <v>2962</v>
      </c>
      <c r="Q586" s="14" t="s">
        <v>2963</v>
      </c>
      <c r="R586" s="14">
        <v>2</v>
      </c>
      <c r="S586" s="14">
        <f t="shared" si="556"/>
        <v>0.64</v>
      </c>
      <c r="T586" s="220">
        <f>SUM(R581:R594)</f>
        <v>98.5</v>
      </c>
      <c r="U586">
        <f t="shared" si="554"/>
        <v>2.030456852791878</v>
      </c>
      <c r="V586" s="220">
        <f>U586*100/SUM(U581,U582,U584:U594)</f>
        <v>2.9197080291970803</v>
      </c>
      <c r="W586" s="14" t="s">
        <v>425</v>
      </c>
      <c r="X586">
        <f t="shared" si="615"/>
        <v>2.9197080291970803</v>
      </c>
      <c r="Y586" s="220">
        <f>SUM(X586,X591)</f>
        <v>4.3795620437956204</v>
      </c>
      <c r="Z586" s="220">
        <f t="shared" si="642"/>
        <v>2.9197080291970803</v>
      </c>
      <c r="AA586" s="792">
        <f t="shared" si="643"/>
        <v>2.9197080291970803</v>
      </c>
      <c r="AB586" s="18" t="s">
        <v>425</v>
      </c>
      <c r="AC586" s="14" t="s">
        <v>2964</v>
      </c>
      <c r="AD586" s="14" t="s">
        <v>2965</v>
      </c>
      <c r="AE586" s="12">
        <v>3.8102374934982654E-3</v>
      </c>
      <c r="AF586" s="12">
        <v>0.20470422547079484</v>
      </c>
      <c r="AG586" s="12">
        <v>1.210810810810811E-4</v>
      </c>
      <c r="AH586" s="12">
        <v>1.0002400855855065E-3</v>
      </c>
    </row>
    <row r="587" spans="1:34" ht="12.75">
      <c r="A587" s="14" t="s">
        <v>4089</v>
      </c>
      <c r="B587" s="24" t="s">
        <v>2668</v>
      </c>
      <c r="C587" s="14" t="s">
        <v>2682</v>
      </c>
      <c r="D587" s="14" t="s">
        <v>2911</v>
      </c>
      <c r="E587" s="14" t="s">
        <v>4090</v>
      </c>
      <c r="F587" s="13">
        <v>32</v>
      </c>
      <c r="G587" s="14" t="s">
        <v>4082</v>
      </c>
      <c r="H587" s="13">
        <v>18060</v>
      </c>
      <c r="I587" s="655" t="s">
        <v>4090</v>
      </c>
      <c r="J587" s="14" t="s">
        <v>4091</v>
      </c>
      <c r="K587" s="478">
        <v>1</v>
      </c>
      <c r="L587" s="220">
        <v>32</v>
      </c>
      <c r="M587" s="473" t="s">
        <v>4092</v>
      </c>
      <c r="N587" s="473"/>
      <c r="O587" s="480"/>
      <c r="P587" s="14" t="s">
        <v>3865</v>
      </c>
      <c r="Q587" s="553" t="s">
        <v>4094</v>
      </c>
      <c r="R587" s="14">
        <v>2</v>
      </c>
      <c r="S587" s="14">
        <f t="shared" si="556"/>
        <v>0.64</v>
      </c>
      <c r="T587" s="220">
        <f>SUM(R581:R594)</f>
        <v>98.5</v>
      </c>
      <c r="U587">
        <f t="shared" si="554"/>
        <v>2.030456852791878</v>
      </c>
      <c r="V587" s="220">
        <f>U587*100/SUM(U581,U582,U584:U594)</f>
        <v>2.9197080291970803</v>
      </c>
      <c r="W587" s="14" t="s">
        <v>1165</v>
      </c>
      <c r="X587">
        <f t="shared" si="615"/>
        <v>2.9197080291970803</v>
      </c>
      <c r="Y587" s="220">
        <f t="shared" ref="Y587:AA587" si="644">X587</f>
        <v>2.9197080291970803</v>
      </c>
      <c r="Z587" s="220">
        <f t="shared" si="644"/>
        <v>2.9197080291970803</v>
      </c>
      <c r="AA587" s="792">
        <f t="shared" si="644"/>
        <v>2.9197080291970803</v>
      </c>
      <c r="AB587" s="18" t="s">
        <v>2663</v>
      </c>
      <c r="AC587" s="13" t="s">
        <v>3867</v>
      </c>
      <c r="AD587" s="13" t="s">
        <v>3007</v>
      </c>
      <c r="AE587" s="12">
        <v>3.1660297063617504E-2</v>
      </c>
      <c r="AF587" s="12">
        <v>0.3735301190055475</v>
      </c>
      <c r="AG587" s="12">
        <v>2.1604141815772032E-3</v>
      </c>
      <c r="AH587" s="12">
        <v>1.8530021654934324E-3</v>
      </c>
    </row>
    <row r="588" spans="1:34" ht="12.75">
      <c r="A588" s="14" t="s">
        <v>4089</v>
      </c>
      <c r="B588" s="24" t="s">
        <v>2668</v>
      </c>
      <c r="C588" s="14" t="s">
        <v>2682</v>
      </c>
      <c r="D588" s="14" t="s">
        <v>2911</v>
      </c>
      <c r="E588" s="14" t="s">
        <v>4090</v>
      </c>
      <c r="F588" s="13">
        <v>32</v>
      </c>
      <c r="G588" s="14" t="s">
        <v>4082</v>
      </c>
      <c r="H588" s="13">
        <v>18060</v>
      </c>
      <c r="I588" s="655" t="s">
        <v>4090</v>
      </c>
      <c r="J588" s="14" t="s">
        <v>4091</v>
      </c>
      <c r="K588" s="478">
        <v>1</v>
      </c>
      <c r="L588" s="220">
        <v>32</v>
      </c>
      <c r="M588" s="473" t="s">
        <v>4092</v>
      </c>
      <c r="N588" s="473"/>
      <c r="O588" s="480"/>
      <c r="P588" s="14" t="s">
        <v>3021</v>
      </c>
      <c r="Q588" s="486" t="s">
        <v>3022</v>
      </c>
      <c r="R588" s="14">
        <v>1.5</v>
      </c>
      <c r="S588" s="14">
        <f t="shared" si="556"/>
        <v>0.48</v>
      </c>
      <c r="T588" s="220">
        <f>SUM(R581:R594)</f>
        <v>98.5</v>
      </c>
      <c r="U588">
        <f t="shared" si="554"/>
        <v>1.5228426395939085</v>
      </c>
      <c r="V588" s="220">
        <f>U588*100/SUM(U581,U582,U584:U594)</f>
        <v>2.1897810218978102</v>
      </c>
      <c r="W588" s="14" t="s">
        <v>346</v>
      </c>
      <c r="X588">
        <f t="shared" si="615"/>
        <v>2.1897810218978102</v>
      </c>
      <c r="Y588" s="220">
        <f>SUM(X588,X589,X594)</f>
        <v>5.10948905109489</v>
      </c>
      <c r="Z588" s="220">
        <f>SUM(X588,X594)</f>
        <v>3.6496350364963503</v>
      </c>
      <c r="AA588" s="792">
        <f t="shared" ref="AA588:AA596" si="645">Z588</f>
        <v>3.6496350364963503</v>
      </c>
      <c r="AB588" s="18" t="s">
        <v>2683</v>
      </c>
      <c r="AC588" s="13" t="s">
        <v>2982</v>
      </c>
      <c r="AD588" s="13" t="s">
        <v>2983</v>
      </c>
      <c r="AE588" s="12">
        <v>2.9691872042618299E-2</v>
      </c>
      <c r="AF588" s="12">
        <v>7.5368545517799299E-2</v>
      </c>
      <c r="AG588" s="12">
        <v>2.9014018691588786E-4</v>
      </c>
      <c r="AH588" s="12">
        <v>1.4770983615231311E-3</v>
      </c>
    </row>
    <row r="589" spans="1:34" ht="12.75">
      <c r="A589" s="14" t="s">
        <v>4089</v>
      </c>
      <c r="B589" s="24" t="s">
        <v>2668</v>
      </c>
      <c r="C589" s="14" t="s">
        <v>2682</v>
      </c>
      <c r="D589" s="14" t="s">
        <v>2911</v>
      </c>
      <c r="E589" s="14" t="s">
        <v>4090</v>
      </c>
      <c r="F589" s="13">
        <v>32</v>
      </c>
      <c r="G589" s="14" t="s">
        <v>4082</v>
      </c>
      <c r="H589" s="13">
        <v>18060</v>
      </c>
      <c r="I589" s="655" t="s">
        <v>4090</v>
      </c>
      <c r="J589" s="14" t="s">
        <v>4091</v>
      </c>
      <c r="K589" s="478">
        <v>1</v>
      </c>
      <c r="L589" s="220">
        <v>32</v>
      </c>
      <c r="M589" s="473" t="s">
        <v>4092</v>
      </c>
      <c r="N589" s="473"/>
      <c r="O589" s="480"/>
      <c r="P589" s="14" t="s">
        <v>2948</v>
      </c>
      <c r="Q589" s="14" t="s">
        <v>2949</v>
      </c>
      <c r="R589" s="14">
        <v>1</v>
      </c>
      <c r="S589" s="14">
        <f t="shared" si="556"/>
        <v>0.32</v>
      </c>
      <c r="T589" s="220">
        <f>SUM(R581:R594)</f>
        <v>98.5</v>
      </c>
      <c r="U589">
        <f t="shared" si="554"/>
        <v>1.015228426395939</v>
      </c>
      <c r="V589" s="220">
        <f>U589*100/SUM(U581,U582,U584:U594)</f>
        <v>1.4598540145985401</v>
      </c>
      <c r="W589" s="14" t="s">
        <v>305</v>
      </c>
      <c r="X589">
        <f t="shared" si="615"/>
        <v>1.4598540145985401</v>
      </c>
      <c r="Y589" s="220" t="s">
        <v>1666</v>
      </c>
      <c r="Z589" s="220">
        <f>X589</f>
        <v>1.4598540145985401</v>
      </c>
      <c r="AA589" s="792">
        <f t="shared" si="645"/>
        <v>1.4598540145985401</v>
      </c>
      <c r="AB589" s="18" t="s">
        <v>2684</v>
      </c>
      <c r="AC589" s="13" t="s">
        <v>3485</v>
      </c>
      <c r="AD589" s="13" t="s">
        <v>2944</v>
      </c>
      <c r="AE589" s="12">
        <v>4.7062756261925113E-3</v>
      </c>
      <c r="AF589" s="12">
        <v>3.8210906557435767E-2</v>
      </c>
      <c r="AG589" s="12">
        <v>8.2999999999999998E-5</v>
      </c>
      <c r="AH589" s="12">
        <v>5.9908272287602653E-4</v>
      </c>
    </row>
    <row r="590" spans="1:34" ht="12.75">
      <c r="A590" s="14" t="s">
        <v>4089</v>
      </c>
      <c r="B590" s="24" t="s">
        <v>2668</v>
      </c>
      <c r="C590" s="14" t="s">
        <v>2682</v>
      </c>
      <c r="D590" s="14" t="s">
        <v>2911</v>
      </c>
      <c r="E590" s="14" t="s">
        <v>4090</v>
      </c>
      <c r="F590" s="13">
        <v>32</v>
      </c>
      <c r="G590" s="14" t="s">
        <v>4082</v>
      </c>
      <c r="H590" s="13">
        <v>18060</v>
      </c>
      <c r="I590" s="655" t="s">
        <v>4090</v>
      </c>
      <c r="J590" s="14" t="s">
        <v>4091</v>
      </c>
      <c r="K590" s="478">
        <v>1</v>
      </c>
      <c r="L590" s="220">
        <v>32</v>
      </c>
      <c r="M590" s="473" t="s">
        <v>4092</v>
      </c>
      <c r="N590" s="473"/>
      <c r="O590" s="480"/>
      <c r="P590" s="14" t="s">
        <v>3862</v>
      </c>
      <c r="Q590" s="486" t="s">
        <v>4095</v>
      </c>
      <c r="R590" s="14">
        <v>1</v>
      </c>
      <c r="S590" s="14">
        <f t="shared" si="556"/>
        <v>0.32</v>
      </c>
      <c r="T590" s="220">
        <f>SUM(R581:R594)</f>
        <v>98.5</v>
      </c>
      <c r="U590">
        <f t="shared" si="554"/>
        <v>1.015228426395939</v>
      </c>
      <c r="V590" s="220">
        <f>U590*100/SUM(U581,U582,U584:U594)</f>
        <v>1.4598540145985401</v>
      </c>
      <c r="W590" s="14" t="s">
        <v>2662</v>
      </c>
      <c r="X590">
        <f t="shared" si="615"/>
        <v>1.4598540145985401</v>
      </c>
      <c r="Y590" s="220" t="s">
        <v>1666</v>
      </c>
      <c r="Z590" s="220" t="s">
        <v>1666</v>
      </c>
      <c r="AA590" s="792" t="str">
        <f t="shared" si="645"/>
        <v>*</v>
      </c>
      <c r="AB590" s="458" t="str">
        <f t="shared" ref="AB590:AH590" si="646">AA590</f>
        <v>*</v>
      </c>
      <c r="AC590" s="497" t="str">
        <f t="shared" si="646"/>
        <v>*</v>
      </c>
      <c r="AD590" s="497" t="str">
        <f t="shared" si="646"/>
        <v>*</v>
      </c>
      <c r="AE590" s="454" t="str">
        <f t="shared" si="646"/>
        <v>*</v>
      </c>
      <c r="AF590" s="454" t="str">
        <f t="shared" si="646"/>
        <v>*</v>
      </c>
      <c r="AG590" s="454" t="str">
        <f t="shared" si="646"/>
        <v>*</v>
      </c>
      <c r="AH590" s="454" t="str">
        <f t="shared" si="646"/>
        <v>*</v>
      </c>
    </row>
    <row r="591" spans="1:34" ht="12.75">
      <c r="A591" s="14" t="s">
        <v>4089</v>
      </c>
      <c r="B591" s="24" t="s">
        <v>2668</v>
      </c>
      <c r="C591" s="14" t="s">
        <v>2682</v>
      </c>
      <c r="D591" s="14" t="s">
        <v>2911</v>
      </c>
      <c r="E591" s="14" t="s">
        <v>4090</v>
      </c>
      <c r="F591" s="13">
        <v>32</v>
      </c>
      <c r="G591" s="14" t="s">
        <v>4082</v>
      </c>
      <c r="H591" s="13">
        <v>18060</v>
      </c>
      <c r="I591" s="655" t="s">
        <v>4090</v>
      </c>
      <c r="J591" s="14" t="s">
        <v>4091</v>
      </c>
      <c r="K591" s="478">
        <v>1</v>
      </c>
      <c r="L591" s="220">
        <v>32</v>
      </c>
      <c r="M591" s="473" t="s">
        <v>4092</v>
      </c>
      <c r="N591" s="473"/>
      <c r="O591" s="480"/>
      <c r="P591" s="14" t="s">
        <v>4035</v>
      </c>
      <c r="Q591" s="486" t="s">
        <v>4096</v>
      </c>
      <c r="R591" s="14">
        <v>1</v>
      </c>
      <c r="S591" s="14">
        <f t="shared" si="556"/>
        <v>0.32</v>
      </c>
      <c r="T591" s="220">
        <f>SUM(R581:R594)</f>
        <v>98.5</v>
      </c>
      <c r="U591">
        <f t="shared" si="554"/>
        <v>1.015228426395939</v>
      </c>
      <c r="V591" s="220">
        <f>U591*100/SUM(U581,U582,U584:U594)</f>
        <v>1.4598540145985401</v>
      </c>
      <c r="W591" s="14" t="s">
        <v>222</v>
      </c>
      <c r="X591">
        <f t="shared" si="615"/>
        <v>1.4598540145985401</v>
      </c>
      <c r="Y591" s="220" t="s">
        <v>1666</v>
      </c>
      <c r="Z591" s="220">
        <f t="shared" ref="Z591:Z593" si="647">X591</f>
        <v>1.4598540145985401</v>
      </c>
      <c r="AA591" s="792">
        <f t="shared" si="645"/>
        <v>1.4598540145985401</v>
      </c>
      <c r="AB591" s="18" t="s">
        <v>222</v>
      </c>
      <c r="AC591" s="13" t="s">
        <v>55</v>
      </c>
      <c r="AD591" s="13" t="s">
        <v>2979</v>
      </c>
      <c r="AE591" s="12">
        <v>3.1468479298981202E-3</v>
      </c>
      <c r="AF591" s="12">
        <v>0.16906375764329037</v>
      </c>
      <c r="AG591" s="12">
        <v>9.759036144578314E-5</v>
      </c>
      <c r="AH591" s="12">
        <v>7.171669800597832E-4</v>
      </c>
    </row>
    <row r="592" spans="1:34" ht="12.75">
      <c r="A592" s="14" t="s">
        <v>4089</v>
      </c>
      <c r="B592" s="24" t="s">
        <v>2668</v>
      </c>
      <c r="C592" s="14" t="s">
        <v>2682</v>
      </c>
      <c r="D592" s="14" t="s">
        <v>2911</v>
      </c>
      <c r="E592" s="14" t="s">
        <v>4090</v>
      </c>
      <c r="F592" s="13">
        <v>32</v>
      </c>
      <c r="G592" s="14" t="s">
        <v>4082</v>
      </c>
      <c r="H592" s="13">
        <v>18060</v>
      </c>
      <c r="I592" s="655" t="s">
        <v>4090</v>
      </c>
      <c r="J592" s="14" t="s">
        <v>4091</v>
      </c>
      <c r="K592" s="478">
        <v>1</v>
      </c>
      <c r="L592" s="220">
        <v>32</v>
      </c>
      <c r="M592" s="473" t="s">
        <v>4092</v>
      </c>
      <c r="N592" s="473"/>
      <c r="O592" s="480"/>
      <c r="P592" s="14" t="s">
        <v>86</v>
      </c>
      <c r="Q592" s="14" t="s">
        <v>3442</v>
      </c>
      <c r="R592" s="14">
        <v>1</v>
      </c>
      <c r="S592" s="14">
        <f t="shared" si="556"/>
        <v>0.32</v>
      </c>
      <c r="T592" s="220">
        <f>SUM(R581:R594)</f>
        <v>98.5</v>
      </c>
      <c r="U592">
        <f t="shared" si="554"/>
        <v>1.015228426395939</v>
      </c>
      <c r="V592" s="220">
        <f>U592*100/SUM(U581,U582,U584:U594)</f>
        <v>1.4598540145985401</v>
      </c>
      <c r="W592" s="14" t="s">
        <v>86</v>
      </c>
      <c r="X592">
        <f t="shared" si="615"/>
        <v>1.4598540145985401</v>
      </c>
      <c r="Y592" s="499">
        <f t="shared" ref="Y592:Y593" si="648">X592</f>
        <v>1.4598540145985401</v>
      </c>
      <c r="Z592" s="220">
        <f t="shared" si="647"/>
        <v>1.4598540145985401</v>
      </c>
      <c r="AA592" s="792">
        <f t="shared" si="645"/>
        <v>1.4598540145985401</v>
      </c>
      <c r="AB592" s="18" t="s">
        <v>86</v>
      </c>
      <c r="AC592" s="13" t="s">
        <v>18</v>
      </c>
      <c r="AD592" s="13" t="s">
        <v>18</v>
      </c>
      <c r="AE592" s="12">
        <v>0</v>
      </c>
      <c r="AF592" s="12">
        <v>0</v>
      </c>
      <c r="AG592" s="12">
        <v>0</v>
      </c>
      <c r="AH592" s="12">
        <v>0</v>
      </c>
    </row>
    <row r="593" spans="1:34" ht="12.75">
      <c r="A593" s="14" t="s">
        <v>4089</v>
      </c>
      <c r="B593" s="24" t="s">
        <v>2668</v>
      </c>
      <c r="C593" s="14" t="s">
        <v>2682</v>
      </c>
      <c r="D593" s="14" t="s">
        <v>2911</v>
      </c>
      <c r="E593" s="14" t="s">
        <v>4090</v>
      </c>
      <c r="F593" s="13">
        <v>32</v>
      </c>
      <c r="G593" s="14" t="s">
        <v>4082</v>
      </c>
      <c r="H593" s="13">
        <v>18060</v>
      </c>
      <c r="I593" s="655" t="s">
        <v>4090</v>
      </c>
      <c r="J593" s="14" t="s">
        <v>4091</v>
      </c>
      <c r="K593" s="478">
        <v>1</v>
      </c>
      <c r="L593" s="220">
        <v>32</v>
      </c>
      <c r="M593" s="473" t="s">
        <v>4092</v>
      </c>
      <c r="N593" s="473"/>
      <c r="O593" s="480"/>
      <c r="P593" s="14" t="s">
        <v>85</v>
      </c>
      <c r="Q593" s="10" t="s">
        <v>3171</v>
      </c>
      <c r="R593" s="14">
        <v>1</v>
      </c>
      <c r="S593" s="14">
        <f t="shared" si="556"/>
        <v>0.32</v>
      </c>
      <c r="T593" s="220">
        <f>SUM(R581:R594)</f>
        <v>98.5</v>
      </c>
      <c r="U593">
        <f t="shared" si="554"/>
        <v>1.015228426395939</v>
      </c>
      <c r="V593" s="220">
        <f>U593*100/SUM(U581,U582,U584:U594)</f>
        <v>1.4598540145985401</v>
      </c>
      <c r="W593" s="14" t="s">
        <v>85</v>
      </c>
      <c r="X593">
        <f t="shared" si="615"/>
        <v>1.4598540145985401</v>
      </c>
      <c r="Y593" s="499">
        <f t="shared" si="648"/>
        <v>1.4598540145985401</v>
      </c>
      <c r="Z593" s="220">
        <f t="shared" si="647"/>
        <v>1.4598540145985401</v>
      </c>
      <c r="AA593" s="792">
        <f t="shared" si="645"/>
        <v>1.4598540145985401</v>
      </c>
      <c r="AB593" s="18" t="s">
        <v>85</v>
      </c>
      <c r="AC593" s="14" t="s">
        <v>18</v>
      </c>
      <c r="AD593" s="14" t="s">
        <v>3144</v>
      </c>
      <c r="AE593" s="12">
        <v>2.0262392565709405E-4</v>
      </c>
      <c r="AF593" s="12">
        <v>1.0885928720785719E-2</v>
      </c>
      <c r="AG593" s="12">
        <v>6.2837933649623454E-6</v>
      </c>
      <c r="AH593" s="12">
        <v>4.6142098112569087E-5</v>
      </c>
    </row>
    <row r="594" spans="1:34" ht="12.75">
      <c r="A594" s="617" t="s">
        <v>4089</v>
      </c>
      <c r="B594" s="794" t="s">
        <v>2668</v>
      </c>
      <c r="C594" s="617" t="s">
        <v>2682</v>
      </c>
      <c r="D594" s="617" t="s">
        <v>2911</v>
      </c>
      <c r="E594" s="617" t="s">
        <v>4090</v>
      </c>
      <c r="F594" s="799">
        <v>32</v>
      </c>
      <c r="G594" s="617" t="s">
        <v>4082</v>
      </c>
      <c r="H594" s="799">
        <v>18060</v>
      </c>
      <c r="I594" s="849" t="s">
        <v>4090</v>
      </c>
      <c r="J594" s="617" t="s">
        <v>4091</v>
      </c>
      <c r="K594" s="838">
        <v>1</v>
      </c>
      <c r="L594" s="725">
        <v>32</v>
      </c>
      <c r="M594" s="850" t="s">
        <v>4092</v>
      </c>
      <c r="N594" s="850"/>
      <c r="O594" s="842"/>
      <c r="P594" s="617" t="s">
        <v>3072</v>
      </c>
      <c r="Q594" s="617" t="s">
        <v>4097</v>
      </c>
      <c r="R594" s="617">
        <v>1</v>
      </c>
      <c r="S594" s="617">
        <f t="shared" si="556"/>
        <v>0.32</v>
      </c>
      <c r="T594" s="868">
        <f>SUM(R581:R594)</f>
        <v>98.5</v>
      </c>
      <c r="U594" s="617">
        <f t="shared" si="554"/>
        <v>1.015228426395939</v>
      </c>
      <c r="V594" s="725">
        <f>U594*100/SUM(U581,U582,U584:U594)</f>
        <v>1.4598540145985401</v>
      </c>
      <c r="W594" s="617" t="s">
        <v>343</v>
      </c>
      <c r="X594" s="617">
        <f t="shared" si="615"/>
        <v>1.4598540145985401</v>
      </c>
      <c r="Y594" s="725" t="s">
        <v>1666</v>
      </c>
      <c r="Z594" s="725" t="s">
        <v>1666</v>
      </c>
      <c r="AA594" s="455" t="str">
        <f t="shared" si="645"/>
        <v>*</v>
      </c>
      <c r="AB594" s="821" t="str">
        <f t="shared" ref="AB594:AH594" si="649">AA594</f>
        <v>*</v>
      </c>
      <c r="AC594" s="869" t="str">
        <f t="shared" si="649"/>
        <v>*</v>
      </c>
      <c r="AD594" s="869" t="str">
        <f t="shared" si="649"/>
        <v>*</v>
      </c>
      <c r="AE594" s="808" t="str">
        <f t="shared" si="649"/>
        <v>*</v>
      </c>
      <c r="AF594" s="808" t="str">
        <f t="shared" si="649"/>
        <v>*</v>
      </c>
      <c r="AG594" s="808" t="str">
        <f t="shared" si="649"/>
        <v>*</v>
      </c>
      <c r="AH594" s="808" t="str">
        <f t="shared" si="649"/>
        <v>*</v>
      </c>
    </row>
    <row r="595" spans="1:34" ht="12.75">
      <c r="A595" s="14" t="s">
        <v>4098</v>
      </c>
      <c r="B595" s="24" t="s">
        <v>2668</v>
      </c>
      <c r="C595" s="14" t="s">
        <v>2685</v>
      </c>
      <c r="D595" s="14" t="s">
        <v>2911</v>
      </c>
      <c r="E595" s="14" t="s">
        <v>4099</v>
      </c>
      <c r="F595" s="13">
        <v>32.67</v>
      </c>
      <c r="G595" s="14" t="s">
        <v>4082</v>
      </c>
      <c r="H595" s="13">
        <v>18064</v>
      </c>
      <c r="I595" s="655" t="s">
        <v>4100</v>
      </c>
      <c r="J595" s="14" t="s">
        <v>4101</v>
      </c>
      <c r="K595" s="478">
        <f t="shared" ref="K595:K608" si="650">16/101</f>
        <v>0.15841584158415842</v>
      </c>
      <c r="L595" s="220">
        <v>4</v>
      </c>
      <c r="M595" s="473" t="s">
        <v>4102</v>
      </c>
      <c r="N595" s="473"/>
      <c r="O595" s="565" t="s">
        <v>4085</v>
      </c>
      <c r="P595" s="655" t="s">
        <v>3005</v>
      </c>
      <c r="Q595" s="486" t="s">
        <v>3006</v>
      </c>
      <c r="R595" s="14">
        <v>36</v>
      </c>
      <c r="S595" s="14">
        <f t="shared" si="556"/>
        <v>1.44</v>
      </c>
      <c r="T595" s="220">
        <f>SUM(R595:R608)</f>
        <v>100.25</v>
      </c>
      <c r="U595">
        <f t="shared" si="554"/>
        <v>35.910224438902745</v>
      </c>
      <c r="V595" s="220">
        <f>U595*100/SUM(U595:U596,U598:U608)</f>
        <v>51.245551601423486</v>
      </c>
      <c r="W595" s="14" t="s">
        <v>2526</v>
      </c>
      <c r="X595">
        <f t="shared" si="615"/>
        <v>8.1181071843839181</v>
      </c>
      <c r="Y595" s="220">
        <f>SUM(X595,X599,X609,X617,X621,X639,X654,X664,X675,X677,X660,X613,X598,X615,X601,X627,X641,X658,X670,X684,X685)</f>
        <v>77.006484154887346</v>
      </c>
      <c r="Z595" s="220">
        <f>Y595-Z598-Z601-X660</f>
        <v>69.503072304743483</v>
      </c>
      <c r="AA595" s="792">
        <f t="shared" si="645"/>
        <v>69.503072304743483</v>
      </c>
      <c r="AB595" s="18" t="s">
        <v>2686</v>
      </c>
      <c r="AC595" s="13" t="s">
        <v>215</v>
      </c>
      <c r="AD595" s="13" t="s">
        <v>3007</v>
      </c>
      <c r="AE595" s="12">
        <v>5.0851930036188197E-3</v>
      </c>
      <c r="AF595" s="12">
        <v>5.9995417730640897E-2</v>
      </c>
      <c r="AG595" s="12">
        <v>3.4699999999999998E-4</v>
      </c>
      <c r="AH595" s="12">
        <v>2.9762429672480995E-4</v>
      </c>
    </row>
    <row r="596" spans="1:34" ht="12.75">
      <c r="A596" s="14" t="s">
        <v>4098</v>
      </c>
      <c r="B596" s="24" t="s">
        <v>2668</v>
      </c>
      <c r="C596" s="14" t="s">
        <v>2685</v>
      </c>
      <c r="D596" s="14" t="s">
        <v>2911</v>
      </c>
      <c r="E596" s="14" t="s">
        <v>4099</v>
      </c>
      <c r="F596" s="13">
        <v>32.67</v>
      </c>
      <c r="G596" s="14" t="s">
        <v>4082</v>
      </c>
      <c r="H596" s="13">
        <v>18064</v>
      </c>
      <c r="I596" s="655" t="s">
        <v>4100</v>
      </c>
      <c r="J596" s="14" t="s">
        <v>4101</v>
      </c>
      <c r="K596" s="478">
        <f t="shared" si="650"/>
        <v>0.15841584158415842</v>
      </c>
      <c r="L596" s="220">
        <v>4</v>
      </c>
      <c r="M596" s="473" t="s">
        <v>4102</v>
      </c>
      <c r="N596" s="473"/>
      <c r="O596" s="565" t="s">
        <v>4085</v>
      </c>
      <c r="P596" s="14" t="s">
        <v>3862</v>
      </c>
      <c r="Q596" s="486" t="s">
        <v>3863</v>
      </c>
      <c r="R596" s="14">
        <v>5</v>
      </c>
      <c r="S596" s="14">
        <f t="shared" si="556"/>
        <v>0.2</v>
      </c>
      <c r="T596" s="487">
        <f>SUM(R595:R608)</f>
        <v>100.25</v>
      </c>
      <c r="U596">
        <f t="shared" si="554"/>
        <v>4.9875311720698257</v>
      </c>
      <c r="V596" s="220">
        <f>U596*100/SUM(U595:U596,U598:U608)</f>
        <v>7.1174377224199281</v>
      </c>
      <c r="W596" s="14" t="s">
        <v>2662</v>
      </c>
      <c r="X596">
        <f t="shared" si="615"/>
        <v>1.1275148867199887</v>
      </c>
      <c r="Y596" s="220">
        <f>SUM(X596,X610,X622,X663,X678)</f>
        <v>2.6599965699756734</v>
      </c>
      <c r="Z596" s="220">
        <f>SUM(X596,X610,X622,X663,X678)</f>
        <v>2.6599965699756734</v>
      </c>
      <c r="AA596" s="792">
        <f t="shared" si="645"/>
        <v>2.6599965699756734</v>
      </c>
      <c r="AB596" s="18" t="s">
        <v>2662</v>
      </c>
      <c r="AC596" s="13" t="s">
        <v>208</v>
      </c>
      <c r="AD596" s="13" t="s">
        <v>3864</v>
      </c>
      <c r="AE596" s="12">
        <v>6.399192301960112E-3</v>
      </c>
      <c r="AF596" s="12">
        <v>0.12411340117772937</v>
      </c>
      <c r="AG596" s="12">
        <v>9.8749999999999988E-5</v>
      </c>
      <c r="AH596" s="12">
        <v>3.8580927353216109E-4</v>
      </c>
    </row>
    <row r="597" spans="1:34" ht="12.75">
      <c r="A597" s="14" t="s">
        <v>4098</v>
      </c>
      <c r="B597" s="24" t="s">
        <v>2668</v>
      </c>
      <c r="C597" s="14" t="s">
        <v>2685</v>
      </c>
      <c r="D597" s="14" t="s">
        <v>2911</v>
      </c>
      <c r="E597" s="14" t="s">
        <v>4099</v>
      </c>
      <c r="F597" s="13">
        <v>32.67</v>
      </c>
      <c r="G597" s="14" t="s">
        <v>4082</v>
      </c>
      <c r="H597" s="13">
        <v>18064</v>
      </c>
      <c r="I597" s="655" t="s">
        <v>4100</v>
      </c>
      <c r="J597" s="14" t="s">
        <v>4101</v>
      </c>
      <c r="K597" s="478">
        <f t="shared" si="650"/>
        <v>0.15841584158415842</v>
      </c>
      <c r="L597" s="220">
        <v>4</v>
      </c>
      <c r="M597" s="473" t="s">
        <v>4102</v>
      </c>
      <c r="N597" s="473"/>
      <c r="O597" s="565" t="s">
        <v>4085</v>
      </c>
      <c r="P597" s="14" t="s">
        <v>2938</v>
      </c>
      <c r="Q597" s="435" t="s">
        <v>2939</v>
      </c>
      <c r="R597" s="14">
        <v>30</v>
      </c>
      <c r="S597" s="14">
        <f t="shared" si="556"/>
        <v>1.2</v>
      </c>
      <c r="T597" s="487">
        <f>SUM(R595:R608)</f>
        <v>100.25</v>
      </c>
      <c r="U597">
        <f t="shared" si="554"/>
        <v>29.925187032418954</v>
      </c>
      <c r="V597" s="481">
        <f>U597</f>
        <v>29.925187032418954</v>
      </c>
      <c r="W597" s="482" t="s">
        <v>72</v>
      </c>
      <c r="X597" s="482">
        <f t="shared" si="615"/>
        <v>4.7406236883039927</v>
      </c>
      <c r="Y597" s="481">
        <f>SUM(X597,X611,X623,X640,X665,X679)</f>
        <v>27.990338031586671</v>
      </c>
      <c r="Z597" s="481">
        <f t="shared" ref="Z597:AA597" si="651">Y597</f>
        <v>27.990338031586671</v>
      </c>
      <c r="AA597" s="796">
        <f t="shared" si="651"/>
        <v>27.990338031586671</v>
      </c>
      <c r="AB597" s="456" t="s">
        <v>72</v>
      </c>
      <c r="AC597" s="469" t="s">
        <v>2938</v>
      </c>
      <c r="AD597" s="469" t="s">
        <v>2940</v>
      </c>
      <c r="AE597" s="457">
        <v>0</v>
      </c>
      <c r="AF597" s="457">
        <v>0</v>
      </c>
      <c r="AG597" s="457">
        <v>0</v>
      </c>
      <c r="AH597" s="457">
        <v>0</v>
      </c>
    </row>
    <row r="598" spans="1:34" ht="12.75">
      <c r="A598" s="14" t="s">
        <v>4098</v>
      </c>
      <c r="B598" s="24" t="s">
        <v>2668</v>
      </c>
      <c r="C598" s="14" t="s">
        <v>2685</v>
      </c>
      <c r="D598" s="14" t="s">
        <v>2911</v>
      </c>
      <c r="E598" s="14" t="s">
        <v>4099</v>
      </c>
      <c r="F598" s="13">
        <v>32.67</v>
      </c>
      <c r="G598" s="14" t="s">
        <v>4082</v>
      </c>
      <c r="H598" s="13">
        <v>18064</v>
      </c>
      <c r="I598" s="655" t="s">
        <v>4100</v>
      </c>
      <c r="J598" s="14" t="s">
        <v>4101</v>
      </c>
      <c r="K598" s="478">
        <f t="shared" si="650"/>
        <v>0.15841584158415842</v>
      </c>
      <c r="L598" s="220">
        <v>4</v>
      </c>
      <c r="M598" s="473" t="s">
        <v>4102</v>
      </c>
      <c r="N598" s="473"/>
      <c r="O598" s="565" t="s">
        <v>4085</v>
      </c>
      <c r="P598" s="14" t="s">
        <v>214</v>
      </c>
      <c r="Q598" s="14" t="s">
        <v>3980</v>
      </c>
      <c r="R598" s="14">
        <v>6</v>
      </c>
      <c r="S598" s="14">
        <f t="shared" si="556"/>
        <v>0.24</v>
      </c>
      <c r="T598" s="487">
        <f>SUM(R595:R608)</f>
        <v>100.25</v>
      </c>
      <c r="U598">
        <f t="shared" si="554"/>
        <v>5.9850374064837908</v>
      </c>
      <c r="V598" s="220">
        <f>U598*100/SUM(U595:U596,U598:U608)</f>
        <v>8.5409252669039155</v>
      </c>
      <c r="W598" s="14" t="s">
        <v>214</v>
      </c>
      <c r="X598">
        <f t="shared" si="615"/>
        <v>1.3530178640639867</v>
      </c>
      <c r="Y598" s="220" t="s">
        <v>1666</v>
      </c>
      <c r="Z598" s="220">
        <f>SUM(X598,X613,X658,X684)</f>
        <v>1.8945376280650348</v>
      </c>
      <c r="AA598" s="792">
        <f>Z598</f>
        <v>1.8945376280650348</v>
      </c>
      <c r="AB598" s="18" t="s">
        <v>2671</v>
      </c>
      <c r="AC598" s="13" t="s">
        <v>214</v>
      </c>
      <c r="AD598" s="13" t="s">
        <v>3981</v>
      </c>
      <c r="AE598" s="12">
        <v>2.5425965018094099E-4</v>
      </c>
      <c r="AF598" s="12">
        <v>2.999770886532045E-3</v>
      </c>
      <c r="AG598" s="12">
        <v>1.7349999999999998E-5</v>
      </c>
      <c r="AH598" s="12">
        <v>1.4881214836240498E-5</v>
      </c>
    </row>
    <row r="599" spans="1:34" ht="12.75">
      <c r="A599" s="14" t="s">
        <v>4098</v>
      </c>
      <c r="B599" s="24" t="s">
        <v>2668</v>
      </c>
      <c r="C599" s="14" t="s">
        <v>2685</v>
      </c>
      <c r="D599" s="14" t="s">
        <v>2911</v>
      </c>
      <c r="E599" s="14" t="s">
        <v>4099</v>
      </c>
      <c r="F599" s="13">
        <v>32.67</v>
      </c>
      <c r="G599" s="14" t="s">
        <v>4082</v>
      </c>
      <c r="H599" s="13">
        <v>18064</v>
      </c>
      <c r="I599" s="655" t="s">
        <v>4100</v>
      </c>
      <c r="J599" s="14" t="s">
        <v>4101</v>
      </c>
      <c r="K599" s="478">
        <f t="shared" si="650"/>
        <v>0.15841584158415842</v>
      </c>
      <c r="L599" s="220">
        <v>4</v>
      </c>
      <c r="M599" s="473" t="s">
        <v>4102</v>
      </c>
      <c r="N599" s="473"/>
      <c r="O599" s="565" t="s">
        <v>4085</v>
      </c>
      <c r="P599" s="655" t="s">
        <v>3978</v>
      </c>
      <c r="Q599" s="486" t="s">
        <v>3979</v>
      </c>
      <c r="R599" s="14">
        <v>6</v>
      </c>
      <c r="S599" s="14">
        <f t="shared" si="556"/>
        <v>0.24</v>
      </c>
      <c r="T599" s="487">
        <f>SUM(R595:R608)</f>
        <v>100.25</v>
      </c>
      <c r="U599">
        <f t="shared" si="554"/>
        <v>5.9850374064837908</v>
      </c>
      <c r="V599" s="220">
        <f>U599*100/SUM(U595:U596,U598:U608)</f>
        <v>8.5409252669039155</v>
      </c>
      <c r="W599" s="14" t="s">
        <v>1164</v>
      </c>
      <c r="X599">
        <f t="shared" si="615"/>
        <v>1.3530178640639867</v>
      </c>
      <c r="Y599" s="220" t="s">
        <v>1666</v>
      </c>
      <c r="Z599" s="220" t="str">
        <f t="shared" ref="Z599:AA599" si="652">Y599</f>
        <v>*</v>
      </c>
      <c r="AA599" s="792" t="str">
        <f t="shared" si="652"/>
        <v>*</v>
      </c>
      <c r="AB599" s="18" t="s">
        <v>1666</v>
      </c>
      <c r="AC599" s="13" t="str">
        <f t="shared" ref="AC599:AH599" si="653">AB599</f>
        <v>*</v>
      </c>
      <c r="AD599" s="13" t="str">
        <f t="shared" si="653"/>
        <v>*</v>
      </c>
      <c r="AE599" s="454" t="str">
        <f t="shared" si="653"/>
        <v>*</v>
      </c>
      <c r="AF599" s="454" t="str">
        <f t="shared" si="653"/>
        <v>*</v>
      </c>
      <c r="AG599" s="454" t="str">
        <f t="shared" si="653"/>
        <v>*</v>
      </c>
      <c r="AH599" s="454" t="str">
        <f t="shared" si="653"/>
        <v>*</v>
      </c>
    </row>
    <row r="600" spans="1:34" ht="12.75">
      <c r="A600" s="14" t="s">
        <v>4098</v>
      </c>
      <c r="B600" s="24" t="s">
        <v>2668</v>
      </c>
      <c r="C600" s="14" t="s">
        <v>2685</v>
      </c>
      <c r="D600" s="14" t="s">
        <v>2911</v>
      </c>
      <c r="E600" s="14" t="s">
        <v>4099</v>
      </c>
      <c r="F600" s="13">
        <v>32.67</v>
      </c>
      <c r="G600" s="14" t="s">
        <v>4082</v>
      </c>
      <c r="H600" s="13">
        <v>18064</v>
      </c>
      <c r="I600" s="655" t="s">
        <v>4100</v>
      </c>
      <c r="J600" s="14" t="s">
        <v>4101</v>
      </c>
      <c r="K600" s="478">
        <f t="shared" si="650"/>
        <v>0.15841584158415842</v>
      </c>
      <c r="L600" s="220">
        <v>4</v>
      </c>
      <c r="M600" s="473" t="s">
        <v>4102</v>
      </c>
      <c r="N600" s="473"/>
      <c r="O600" s="565" t="s">
        <v>4085</v>
      </c>
      <c r="P600" s="14" t="s">
        <v>2962</v>
      </c>
      <c r="Q600" s="14" t="s">
        <v>2963</v>
      </c>
      <c r="R600" s="14">
        <v>3</v>
      </c>
      <c r="S600" s="14">
        <f t="shared" si="556"/>
        <v>0.12</v>
      </c>
      <c r="T600" s="487">
        <f>SUM(R595:R608)</f>
        <v>100.25</v>
      </c>
      <c r="U600">
        <f t="shared" si="554"/>
        <v>2.9925187032418954</v>
      </c>
      <c r="V600" s="220">
        <f>U600*100/SUM(U595:U596,U598:U608)</f>
        <v>4.2704626334519578</v>
      </c>
      <c r="W600" s="14" t="s">
        <v>425</v>
      </c>
      <c r="X600">
        <f t="shared" si="615"/>
        <v>0.67650893203199336</v>
      </c>
      <c r="Y600" s="220">
        <f>SUM(X600,X614,X628,X642,X680,X618,X631,X653,X690)</f>
        <v>4.414389942390712</v>
      </c>
      <c r="Z600" s="220">
        <f>SUM(X600,X614,X628,X642,X680)</f>
        <v>3.8643913451665197</v>
      </c>
      <c r="AA600" s="792">
        <f t="shared" ref="AA600:AA601" si="654">Z600</f>
        <v>3.8643913451665197</v>
      </c>
      <c r="AB600" s="18" t="s">
        <v>425</v>
      </c>
      <c r="AC600" s="13" t="s">
        <v>2964</v>
      </c>
      <c r="AD600" s="13" t="s">
        <v>2965</v>
      </c>
      <c r="AE600" s="12">
        <v>3.8102374934982654E-3</v>
      </c>
      <c r="AF600" s="12">
        <v>0.20470422547079484</v>
      </c>
      <c r="AG600" s="12">
        <v>1.210810810810811E-4</v>
      </c>
      <c r="AH600" s="12">
        <v>1.0002400855855065E-3</v>
      </c>
    </row>
    <row r="601" spans="1:34" ht="12.75">
      <c r="A601" s="14" t="s">
        <v>4098</v>
      </c>
      <c r="B601" s="24" t="s">
        <v>2668</v>
      </c>
      <c r="C601" s="14" t="s">
        <v>2685</v>
      </c>
      <c r="D601" s="14" t="s">
        <v>2911</v>
      </c>
      <c r="E601" s="14" t="s">
        <v>4099</v>
      </c>
      <c r="F601" s="13">
        <v>32.67</v>
      </c>
      <c r="G601" s="14" t="s">
        <v>4082</v>
      </c>
      <c r="H601" s="13">
        <v>18064</v>
      </c>
      <c r="I601" s="655" t="s">
        <v>4100</v>
      </c>
      <c r="J601" s="14" t="s">
        <v>4101</v>
      </c>
      <c r="K601" s="478">
        <f t="shared" si="650"/>
        <v>0.15841584158415842</v>
      </c>
      <c r="L601" s="220">
        <v>4</v>
      </c>
      <c r="M601" s="473" t="s">
        <v>4102</v>
      </c>
      <c r="N601" s="473"/>
      <c r="O601" s="565" t="s">
        <v>4085</v>
      </c>
      <c r="P601" s="14" t="s">
        <v>3865</v>
      </c>
      <c r="Q601" s="553" t="s">
        <v>4094</v>
      </c>
      <c r="R601" s="14">
        <v>3</v>
      </c>
      <c r="S601" s="14">
        <f t="shared" si="556"/>
        <v>0.12</v>
      </c>
      <c r="T601" s="487">
        <f>SUM(R595:R608)</f>
        <v>100.25</v>
      </c>
      <c r="U601">
        <f t="shared" si="554"/>
        <v>2.9925187032418954</v>
      </c>
      <c r="V601" s="220">
        <f>U601*100/SUM(U595:U596,U598:U608)</f>
        <v>4.2704626334519578</v>
      </c>
      <c r="W601" s="14" t="s">
        <v>1165</v>
      </c>
      <c r="X601">
        <f t="shared" si="615"/>
        <v>0.67650893203199336</v>
      </c>
      <c r="Y601" s="220" t="s">
        <v>1666</v>
      </c>
      <c r="Z601" s="220">
        <f>SUM(X601,X615,X627,X641,X670,X685)</f>
        <v>5.5440824668296838</v>
      </c>
      <c r="AA601" s="792">
        <f t="shared" si="654"/>
        <v>5.5440824668296838</v>
      </c>
      <c r="AB601" s="18" t="s">
        <v>1165</v>
      </c>
      <c r="AC601" s="13" t="s">
        <v>3867</v>
      </c>
      <c r="AD601" s="13" t="s">
        <v>3007</v>
      </c>
      <c r="AE601" s="12">
        <v>3.1660297063617504E-2</v>
      </c>
      <c r="AF601" s="12">
        <v>0.3735301190055475</v>
      </c>
      <c r="AG601" s="12">
        <v>2.1604141815772032E-3</v>
      </c>
      <c r="AH601" s="12">
        <v>1.8530021654934324E-3</v>
      </c>
    </row>
    <row r="602" spans="1:34" ht="12.75">
      <c r="A602" s="14" t="s">
        <v>4098</v>
      </c>
      <c r="B602" s="24" t="s">
        <v>2668</v>
      </c>
      <c r="C602" s="14" t="s">
        <v>2685</v>
      </c>
      <c r="D602" s="14" t="s">
        <v>2911</v>
      </c>
      <c r="E602" s="14" t="s">
        <v>4099</v>
      </c>
      <c r="F602" s="13">
        <v>32.67</v>
      </c>
      <c r="G602" s="14" t="s">
        <v>4082</v>
      </c>
      <c r="H602" s="13">
        <v>18064</v>
      </c>
      <c r="I602" s="655" t="s">
        <v>4100</v>
      </c>
      <c r="J602" s="14" t="s">
        <v>4101</v>
      </c>
      <c r="K602" s="478">
        <f t="shared" si="650"/>
        <v>0.15841584158415842</v>
      </c>
      <c r="L602" s="220">
        <v>4</v>
      </c>
      <c r="M602" s="473" t="s">
        <v>4102</v>
      </c>
      <c r="N602" s="473"/>
      <c r="O602" s="565" t="s">
        <v>4085</v>
      </c>
      <c r="P602" s="14" t="s">
        <v>86</v>
      </c>
      <c r="Q602" s="14" t="s">
        <v>3442</v>
      </c>
      <c r="R602" s="14">
        <v>2</v>
      </c>
      <c r="S602" s="14">
        <f t="shared" si="556"/>
        <v>0.08</v>
      </c>
      <c r="T602" s="487">
        <f>SUM(R595:R608)</f>
        <v>100.25</v>
      </c>
      <c r="U602">
        <f t="shared" si="554"/>
        <v>1.9950124688279303</v>
      </c>
      <c r="V602" s="220">
        <f>U602*100/SUM(U595:U596,U598:U608)</f>
        <v>2.8469750889679712</v>
      </c>
      <c r="W602" s="14" t="s">
        <v>86</v>
      </c>
      <c r="X602">
        <f t="shared" si="615"/>
        <v>0.45100595468799543</v>
      </c>
      <c r="Y602" s="499">
        <f>SUM(X602,X606,X616,X630,X644,X668,X689)</f>
        <v>2.0693387869888622</v>
      </c>
      <c r="Z602" s="220">
        <f t="shared" ref="Z602:AA602" si="655">Y602</f>
        <v>2.0693387869888622</v>
      </c>
      <c r="AA602" s="792">
        <f t="shared" si="655"/>
        <v>2.0693387869888622</v>
      </c>
      <c r="AB602" s="18" t="s">
        <v>86</v>
      </c>
      <c r="AC602" s="13" t="s">
        <v>18</v>
      </c>
      <c r="AD602" s="13" t="s">
        <v>18</v>
      </c>
      <c r="AE602" s="12">
        <v>0</v>
      </c>
      <c r="AF602" s="12">
        <v>0</v>
      </c>
      <c r="AG602" s="12">
        <v>0</v>
      </c>
      <c r="AH602" s="12">
        <v>0</v>
      </c>
    </row>
    <row r="603" spans="1:34" ht="12.75">
      <c r="A603" s="14" t="s">
        <v>4098</v>
      </c>
      <c r="B603" s="24" t="s">
        <v>2668</v>
      </c>
      <c r="C603" s="14" t="s">
        <v>2685</v>
      </c>
      <c r="D603" s="14" t="s">
        <v>2911</v>
      </c>
      <c r="E603" s="14" t="s">
        <v>4099</v>
      </c>
      <c r="F603" s="13">
        <v>32.67</v>
      </c>
      <c r="G603" s="14" t="s">
        <v>4082</v>
      </c>
      <c r="H603" s="13">
        <v>18064</v>
      </c>
      <c r="I603" s="655" t="s">
        <v>4100</v>
      </c>
      <c r="J603" s="14" t="s">
        <v>4101</v>
      </c>
      <c r="K603" s="478">
        <f t="shared" si="650"/>
        <v>0.15841584158415842</v>
      </c>
      <c r="L603" s="220">
        <v>4</v>
      </c>
      <c r="M603" s="473" t="s">
        <v>4102</v>
      </c>
      <c r="N603" s="473"/>
      <c r="O603" s="565" t="s">
        <v>4085</v>
      </c>
      <c r="P603" s="14" t="s">
        <v>432</v>
      </c>
      <c r="Q603" s="486" t="s">
        <v>3028</v>
      </c>
      <c r="R603" s="14">
        <v>2</v>
      </c>
      <c r="S603" s="14">
        <f t="shared" si="556"/>
        <v>0.08</v>
      </c>
      <c r="T603" s="487">
        <f>SUM(R595:R608)</f>
        <v>100.25</v>
      </c>
      <c r="U603">
        <f t="shared" si="554"/>
        <v>1.9950124688279303</v>
      </c>
      <c r="V603" s="220">
        <f>U603*100/SUM(U595:U596,U598:U608)</f>
        <v>2.8469750889679712</v>
      </c>
      <c r="W603" s="14" t="s">
        <v>432</v>
      </c>
      <c r="X603">
        <f t="shared" si="615"/>
        <v>0.45100595468799543</v>
      </c>
      <c r="Y603" s="220">
        <f>SUM(X603,X632,X661,X624,X643,X667,X692,X607)</f>
        <v>3.7293304630097688</v>
      </c>
      <c r="Z603" s="220">
        <f>SUM(X603,X632,X661)</f>
        <v>0.67352528573599424</v>
      </c>
      <c r="AA603" s="792">
        <f>Z603</f>
        <v>0.67352528573599424</v>
      </c>
      <c r="AB603" s="18" t="s">
        <v>432</v>
      </c>
      <c r="AC603" s="13" t="s">
        <v>4103</v>
      </c>
      <c r="AD603" s="13" t="s">
        <v>4104</v>
      </c>
      <c r="AE603" s="12">
        <v>2.2558902713754649E-4</v>
      </c>
      <c r="AF603" s="12">
        <v>9.3669250645994837E-3</v>
      </c>
      <c r="AG603" s="12">
        <v>3.8830162085976054E-4</v>
      </c>
      <c r="AH603" s="12">
        <v>3.0037166166469137E-4</v>
      </c>
    </row>
    <row r="604" spans="1:34" ht="12.75">
      <c r="A604" s="14" t="s">
        <v>4098</v>
      </c>
      <c r="B604" s="24" t="s">
        <v>2668</v>
      </c>
      <c r="C604" s="14" t="s">
        <v>2685</v>
      </c>
      <c r="D604" s="14" t="s">
        <v>2911</v>
      </c>
      <c r="E604" s="14" t="s">
        <v>4099</v>
      </c>
      <c r="F604" s="13">
        <v>32.67</v>
      </c>
      <c r="G604" s="14" t="s">
        <v>4082</v>
      </c>
      <c r="H604" s="13">
        <v>18064</v>
      </c>
      <c r="I604" s="655" t="s">
        <v>4100</v>
      </c>
      <c r="J604" s="14" t="s">
        <v>4101</v>
      </c>
      <c r="K604" s="478">
        <f t="shared" si="650"/>
        <v>0.15841584158415842</v>
      </c>
      <c r="L604" s="220">
        <v>4</v>
      </c>
      <c r="M604" s="473" t="s">
        <v>4102</v>
      </c>
      <c r="N604" s="473"/>
      <c r="O604" s="565" t="s">
        <v>4085</v>
      </c>
      <c r="P604" s="14" t="s">
        <v>430</v>
      </c>
      <c r="Q604" s="527" t="s">
        <v>4086</v>
      </c>
      <c r="R604" s="14">
        <v>2</v>
      </c>
      <c r="S604" s="14">
        <f t="shared" si="556"/>
        <v>0.08</v>
      </c>
      <c r="T604" s="487">
        <f>SUM(R595:R608)</f>
        <v>100.25</v>
      </c>
      <c r="U604">
        <f t="shared" si="554"/>
        <v>1.9950124688279303</v>
      </c>
      <c r="V604" s="220">
        <f>U604*100/SUM(U595:U596,U598:U608)</f>
        <v>2.8469750889679712</v>
      </c>
      <c r="W604" s="14" t="s">
        <v>430</v>
      </c>
      <c r="X604">
        <f t="shared" si="615"/>
        <v>0.45100595468799543</v>
      </c>
      <c r="Y604" s="499">
        <f>SUM(X604,X656,X673,X693)</f>
        <v>0.75595871978248652</v>
      </c>
      <c r="Z604" s="220">
        <f t="shared" ref="Z604:AA604" si="656">Y604</f>
        <v>0.75595871978248652</v>
      </c>
      <c r="AA604" s="792">
        <f t="shared" si="656"/>
        <v>0.75595871978248652</v>
      </c>
      <c r="AB604" s="18" t="s">
        <v>430</v>
      </c>
      <c r="AC604" s="562" t="s">
        <v>18</v>
      </c>
      <c r="AD604" s="562" t="s">
        <v>18</v>
      </c>
      <c r="AE604" s="12">
        <v>0</v>
      </c>
      <c r="AF604" s="12">
        <v>0</v>
      </c>
      <c r="AG604" s="12">
        <v>0</v>
      </c>
      <c r="AH604" s="12">
        <v>0</v>
      </c>
    </row>
    <row r="605" spans="1:34" ht="12.75">
      <c r="A605" s="14" t="s">
        <v>4098</v>
      </c>
      <c r="B605" s="24" t="s">
        <v>2668</v>
      </c>
      <c r="C605" s="14" t="s">
        <v>2685</v>
      </c>
      <c r="D605" s="14" t="s">
        <v>2911</v>
      </c>
      <c r="E605" s="14" t="s">
        <v>4099</v>
      </c>
      <c r="F605" s="13">
        <v>32.67</v>
      </c>
      <c r="G605" s="14" t="s">
        <v>4082</v>
      </c>
      <c r="H605" s="13">
        <v>18064</v>
      </c>
      <c r="I605" s="655" t="s">
        <v>4100</v>
      </c>
      <c r="J605" s="14" t="s">
        <v>4101</v>
      </c>
      <c r="K605" s="478">
        <f t="shared" si="650"/>
        <v>0.15841584158415842</v>
      </c>
      <c r="L605" s="220">
        <v>4</v>
      </c>
      <c r="M605" s="473" t="s">
        <v>4102</v>
      </c>
      <c r="N605" s="473"/>
      <c r="O605" s="565" t="s">
        <v>4085</v>
      </c>
      <c r="P605" s="14" t="s">
        <v>3021</v>
      </c>
      <c r="Q605" s="486" t="s">
        <v>3022</v>
      </c>
      <c r="R605" s="14">
        <v>2</v>
      </c>
      <c r="S605" s="14">
        <f t="shared" si="556"/>
        <v>0.08</v>
      </c>
      <c r="T605" s="487">
        <f>SUM(R595:R608)</f>
        <v>100.25</v>
      </c>
      <c r="U605">
        <f t="shared" si="554"/>
        <v>1.9950124688279303</v>
      </c>
      <c r="V605" s="220">
        <f>U605*100/SUM(U595:U596,U598:U608)</f>
        <v>2.8469750889679712</v>
      </c>
      <c r="W605" s="14" t="s">
        <v>346</v>
      </c>
      <c r="X605">
        <f t="shared" si="615"/>
        <v>0.45100595468799543</v>
      </c>
      <c r="Y605" s="220">
        <f>SUM(X605,X620,X629,X645,X651,X671,X687,X608,X612,X634,X636,X646,X649,X655,X672,X676,X686,X696,X688)</f>
        <v>2.9221496369188924</v>
      </c>
      <c r="Z605" s="220">
        <f>SUM(X605,X608,X620,X629,X634,X645,X646,X649,X651,X671,X676,X687:X688,X696,X655)</f>
        <v>2.3992475791208498</v>
      </c>
      <c r="AA605" s="792">
        <f t="shared" ref="AA605:AA607" si="657">Z605</f>
        <v>2.3992475791208498</v>
      </c>
      <c r="AB605" s="18" t="s">
        <v>2687</v>
      </c>
      <c r="AC605" s="13" t="s">
        <v>2982</v>
      </c>
      <c r="AD605" s="13" t="s">
        <v>2983</v>
      </c>
      <c r="AE605" s="12">
        <v>2.9691872042618299E-2</v>
      </c>
      <c r="AF605" s="12">
        <v>7.5368545517799299E-2</v>
      </c>
      <c r="AG605" s="12">
        <v>2.9014018691588786E-4</v>
      </c>
      <c r="AH605" s="12">
        <v>1.4770983615231311E-3</v>
      </c>
    </row>
    <row r="606" spans="1:34" ht="12.75">
      <c r="A606" s="14" t="s">
        <v>4098</v>
      </c>
      <c r="B606" s="24" t="s">
        <v>2668</v>
      </c>
      <c r="C606" s="14" t="s">
        <v>2685</v>
      </c>
      <c r="D606" s="14" t="s">
        <v>2911</v>
      </c>
      <c r="E606" s="14" t="s">
        <v>4099</v>
      </c>
      <c r="F606" s="13">
        <v>32.67</v>
      </c>
      <c r="G606" s="14" t="s">
        <v>4082</v>
      </c>
      <c r="H606" s="13">
        <v>18064</v>
      </c>
      <c r="I606" s="655" t="s">
        <v>4100</v>
      </c>
      <c r="J606" s="14" t="s">
        <v>4101</v>
      </c>
      <c r="K606" s="478">
        <f t="shared" si="650"/>
        <v>0.15841584158415842</v>
      </c>
      <c r="L606" s="220">
        <v>4</v>
      </c>
      <c r="M606" s="473" t="s">
        <v>4102</v>
      </c>
      <c r="N606" s="473"/>
      <c r="O606" s="565" t="s">
        <v>4085</v>
      </c>
      <c r="P606" s="14" t="s">
        <v>86</v>
      </c>
      <c r="Q606" s="14" t="s">
        <v>3442</v>
      </c>
      <c r="R606" s="14">
        <v>1.5</v>
      </c>
      <c r="S606" s="14">
        <f t="shared" si="556"/>
        <v>0.06</v>
      </c>
      <c r="T606" s="487">
        <f>SUM(R595:R608)</f>
        <v>100.25</v>
      </c>
      <c r="U606">
        <f t="shared" si="554"/>
        <v>1.4962593516209477</v>
      </c>
      <c r="V606" s="220">
        <f>U606*100/SUM(U595:U596,U598:U608)</f>
        <v>2.1352313167259789</v>
      </c>
      <c r="W606" s="14" t="s">
        <v>86</v>
      </c>
      <c r="X606">
        <f t="shared" si="615"/>
        <v>0.33825446601599668</v>
      </c>
      <c r="Y606" s="220" t="s">
        <v>1624</v>
      </c>
      <c r="Z606" s="220" t="s">
        <v>1666</v>
      </c>
      <c r="AA606" s="792" t="str">
        <f t="shared" si="657"/>
        <v>*</v>
      </c>
      <c r="AB606" s="18" t="s">
        <v>1666</v>
      </c>
      <c r="AC606" s="13" t="str">
        <f t="shared" ref="AC606:AH606" si="658">AB606</f>
        <v>*</v>
      </c>
      <c r="AD606" s="13" t="str">
        <f t="shared" si="658"/>
        <v>*</v>
      </c>
      <c r="AE606" s="454" t="str">
        <f t="shared" si="658"/>
        <v>*</v>
      </c>
      <c r="AF606" s="454" t="str">
        <f t="shared" si="658"/>
        <v>*</v>
      </c>
      <c r="AG606" s="454" t="str">
        <f t="shared" si="658"/>
        <v>*</v>
      </c>
      <c r="AH606" s="454" t="str">
        <f t="shared" si="658"/>
        <v>*</v>
      </c>
    </row>
    <row r="607" spans="1:34" ht="12.75">
      <c r="A607" s="14" t="s">
        <v>4098</v>
      </c>
      <c r="B607" s="24" t="s">
        <v>2668</v>
      </c>
      <c r="C607" s="14" t="s">
        <v>2685</v>
      </c>
      <c r="D607" s="14" t="s">
        <v>2911</v>
      </c>
      <c r="E607" s="14" t="s">
        <v>4099</v>
      </c>
      <c r="F607" s="13">
        <v>32.67</v>
      </c>
      <c r="G607" s="14" t="s">
        <v>4082</v>
      </c>
      <c r="H607" s="13">
        <v>18064</v>
      </c>
      <c r="I607" s="655" t="s">
        <v>4100</v>
      </c>
      <c r="J607" s="14" t="s">
        <v>4101</v>
      </c>
      <c r="K607" s="478">
        <f t="shared" si="650"/>
        <v>0.15841584158415842</v>
      </c>
      <c r="L607" s="220">
        <v>4</v>
      </c>
      <c r="M607" s="473" t="s">
        <v>4102</v>
      </c>
      <c r="N607" s="473"/>
      <c r="O607" s="565" t="s">
        <v>4085</v>
      </c>
      <c r="P607" s="14" t="s">
        <v>2945</v>
      </c>
      <c r="Q607" s="10" t="s">
        <v>2946</v>
      </c>
      <c r="R607" s="14">
        <v>1</v>
      </c>
      <c r="S607" s="14">
        <f t="shared" si="556"/>
        <v>0.04</v>
      </c>
      <c r="T607" s="487">
        <f>SUM(R595:R608)</f>
        <v>100.25</v>
      </c>
      <c r="U607">
        <f t="shared" si="554"/>
        <v>0.99750623441396513</v>
      </c>
      <c r="V607" s="220">
        <f>U607*100/SUM(U595:U596,U598:U608)</f>
        <v>1.4234875444839856</v>
      </c>
      <c r="W607" s="14" t="s">
        <v>2945</v>
      </c>
      <c r="X607">
        <f t="shared" si="615"/>
        <v>0.22550297734399771</v>
      </c>
      <c r="Y607" s="220" t="s">
        <v>1666</v>
      </c>
      <c r="Z607" s="220">
        <f>SUM(X607,X624,X643,X667,X692)</f>
        <v>3.0558051772737742</v>
      </c>
      <c r="AA607" s="792">
        <f t="shared" si="657"/>
        <v>3.0558051772737742</v>
      </c>
      <c r="AB607" s="18" t="s">
        <v>433</v>
      </c>
      <c r="AC607" s="13" t="s">
        <v>433</v>
      </c>
      <c r="AD607" s="13" t="s">
        <v>2947</v>
      </c>
      <c r="AE607" s="12">
        <v>3.0104466724907065E-4</v>
      </c>
      <c r="AF607" s="12">
        <v>1.2500000000000001E-2</v>
      </c>
      <c r="AG607" s="12">
        <v>5.1818181818181835E-4</v>
      </c>
      <c r="AH607" s="12">
        <v>4.0084080366977777E-4</v>
      </c>
    </row>
    <row r="608" spans="1:34" ht="12.75">
      <c r="A608" s="14" t="s">
        <v>4098</v>
      </c>
      <c r="B608" s="24" t="s">
        <v>2668</v>
      </c>
      <c r="C608" s="14" t="s">
        <v>2685</v>
      </c>
      <c r="D608" s="14" t="s">
        <v>2911</v>
      </c>
      <c r="E608" s="14" t="s">
        <v>4099</v>
      </c>
      <c r="F608" s="13">
        <v>32.67</v>
      </c>
      <c r="G608" s="14" t="s">
        <v>4082</v>
      </c>
      <c r="H608" s="13">
        <v>18064</v>
      </c>
      <c r="I608" s="848" t="s">
        <v>4100</v>
      </c>
      <c r="J608" s="135" t="s">
        <v>4101</v>
      </c>
      <c r="K608" s="475">
        <f t="shared" si="650"/>
        <v>0.15841584158415842</v>
      </c>
      <c r="L608" s="476">
        <v>4</v>
      </c>
      <c r="M608" s="492" t="s">
        <v>4102</v>
      </c>
      <c r="N608" s="492"/>
      <c r="O608" s="494" t="s">
        <v>4085</v>
      </c>
      <c r="P608" s="135" t="s">
        <v>3072</v>
      </c>
      <c r="Q608" s="135" t="s">
        <v>3073</v>
      </c>
      <c r="R608" s="135">
        <v>0.75</v>
      </c>
      <c r="S608" s="135">
        <f t="shared" si="556"/>
        <v>0.03</v>
      </c>
      <c r="T608" s="872">
        <f>SUM(R595:R608)</f>
        <v>100.25</v>
      </c>
      <c r="U608" s="135">
        <f t="shared" si="554"/>
        <v>0.74812967581047385</v>
      </c>
      <c r="V608" s="476">
        <f>U608*100/SUM(U595:U596,U598:U608)</f>
        <v>1.0676156583629894</v>
      </c>
      <c r="W608" s="135" t="s">
        <v>343</v>
      </c>
      <c r="X608">
        <f t="shared" si="615"/>
        <v>0.16912723300799834</v>
      </c>
      <c r="Y608" s="220" t="s">
        <v>1666</v>
      </c>
      <c r="Z608" s="220" t="str">
        <f t="shared" ref="Z608:AA608" si="659">Y608</f>
        <v>*</v>
      </c>
      <c r="AA608" s="792" t="str">
        <f t="shared" si="659"/>
        <v>*</v>
      </c>
      <c r="AB608" s="18" t="s">
        <v>1666</v>
      </c>
      <c r="AC608" s="13" t="str">
        <f t="shared" ref="AC608:AH608" si="660">AB608</f>
        <v>*</v>
      </c>
      <c r="AD608" s="13" t="str">
        <f t="shared" si="660"/>
        <v>*</v>
      </c>
      <c r="AE608" s="454" t="str">
        <f t="shared" si="660"/>
        <v>*</v>
      </c>
      <c r="AF608" s="454" t="str">
        <f t="shared" si="660"/>
        <v>*</v>
      </c>
      <c r="AG608" s="454" t="str">
        <f t="shared" si="660"/>
        <v>*</v>
      </c>
      <c r="AH608" s="454" t="str">
        <f t="shared" si="660"/>
        <v>*</v>
      </c>
    </row>
    <row r="609" spans="1:34" ht="12.75">
      <c r="A609" s="14" t="s">
        <v>4098</v>
      </c>
      <c r="B609" s="24" t="s">
        <v>2668</v>
      </c>
      <c r="C609" s="14" t="s">
        <v>2685</v>
      </c>
      <c r="D609" s="14" t="s">
        <v>2911</v>
      </c>
      <c r="E609" s="14" t="s">
        <v>4099</v>
      </c>
      <c r="F609" s="13">
        <v>32.67</v>
      </c>
      <c r="G609" s="14" t="s">
        <v>4082</v>
      </c>
      <c r="H609" s="13">
        <v>18064</v>
      </c>
      <c r="I609" s="655" t="s">
        <v>4105</v>
      </c>
      <c r="J609" s="14" t="s">
        <v>4106</v>
      </c>
      <c r="K609" s="478">
        <f t="shared" ref="K609:K620" si="661">5/101</f>
        <v>4.9504950495049507E-2</v>
      </c>
      <c r="L609" s="220">
        <v>1.8</v>
      </c>
      <c r="M609" s="473" t="s">
        <v>4107</v>
      </c>
      <c r="N609" s="473"/>
      <c r="O609" s="565" t="s">
        <v>4085</v>
      </c>
      <c r="P609" s="655" t="s">
        <v>3005</v>
      </c>
      <c r="Q609" s="486" t="s">
        <v>3006</v>
      </c>
      <c r="R609" s="14">
        <v>47</v>
      </c>
      <c r="S609" s="14">
        <f t="shared" si="556"/>
        <v>0.84600000000000009</v>
      </c>
      <c r="T609" s="487">
        <f>SUM(R609:R620)</f>
        <v>97.5</v>
      </c>
      <c r="U609">
        <f t="shared" si="554"/>
        <v>48.205128205128204</v>
      </c>
      <c r="V609" s="220">
        <f>U609*100/SUM(U609:U610,U612:U620)</f>
        <v>69.629629629629633</v>
      </c>
      <c r="W609" s="14" t="s">
        <v>2526</v>
      </c>
      <c r="X609">
        <f t="shared" si="615"/>
        <v>3.4470113678034475</v>
      </c>
      <c r="Y609" s="220" t="s">
        <v>1666</v>
      </c>
      <c r="Z609" s="220" t="str">
        <f t="shared" ref="Z609:AA609" si="662">Y609</f>
        <v>*</v>
      </c>
      <c r="AA609" s="792" t="str">
        <f t="shared" si="662"/>
        <v>*</v>
      </c>
      <c r="AB609" s="18" t="s">
        <v>1666</v>
      </c>
      <c r="AC609" s="13" t="str">
        <f t="shared" ref="AC609:AH609" si="663">AB609</f>
        <v>*</v>
      </c>
      <c r="AD609" s="13" t="str">
        <f t="shared" si="663"/>
        <v>*</v>
      </c>
      <c r="AE609" s="454" t="str">
        <f t="shared" si="663"/>
        <v>*</v>
      </c>
      <c r="AF609" s="454" t="str">
        <f t="shared" si="663"/>
        <v>*</v>
      </c>
      <c r="AG609" s="454" t="str">
        <f t="shared" si="663"/>
        <v>*</v>
      </c>
      <c r="AH609" s="454" t="str">
        <f t="shared" si="663"/>
        <v>*</v>
      </c>
    </row>
    <row r="610" spans="1:34" ht="12.75">
      <c r="A610" s="14" t="s">
        <v>4098</v>
      </c>
      <c r="B610" s="24" t="s">
        <v>2668</v>
      </c>
      <c r="C610" s="14" t="s">
        <v>2685</v>
      </c>
      <c r="D610" s="14" t="s">
        <v>2911</v>
      </c>
      <c r="E610" s="14" t="s">
        <v>4099</v>
      </c>
      <c r="F610" s="13">
        <v>32.67</v>
      </c>
      <c r="G610" s="14" t="s">
        <v>4082</v>
      </c>
      <c r="H610" s="13">
        <v>18064</v>
      </c>
      <c r="I610" s="655" t="s">
        <v>4105</v>
      </c>
      <c r="J610" s="14" t="s">
        <v>4106</v>
      </c>
      <c r="K610" s="478">
        <f t="shared" si="661"/>
        <v>4.9504950495049507E-2</v>
      </c>
      <c r="L610" s="220">
        <v>1.8</v>
      </c>
      <c r="M610" s="473" t="s">
        <v>4107</v>
      </c>
      <c r="N610" s="473"/>
      <c r="O610" s="565" t="s">
        <v>4085</v>
      </c>
      <c r="P610" s="14" t="s">
        <v>3862</v>
      </c>
      <c r="Q610" s="486" t="s">
        <v>3863</v>
      </c>
      <c r="R610" s="14">
        <v>5</v>
      </c>
      <c r="S610" s="14">
        <f t="shared" si="556"/>
        <v>9.0000000000000011E-2</v>
      </c>
      <c r="T610" s="487">
        <f>SUM(R609:R620)</f>
        <v>97.5</v>
      </c>
      <c r="U610">
        <f t="shared" si="554"/>
        <v>5.1282051282051286</v>
      </c>
      <c r="V610" s="220">
        <f>U610*100/SUM(U609:U610,U612:U620)</f>
        <v>7.4074074074074074</v>
      </c>
      <c r="W610" s="14" t="s">
        <v>2662</v>
      </c>
      <c r="X610">
        <f t="shared" si="615"/>
        <v>0.36670333700036672</v>
      </c>
      <c r="Y610" s="220" t="s">
        <v>1666</v>
      </c>
      <c r="Z610" s="220" t="str">
        <f t="shared" ref="Z610:AA610" si="664">Y610</f>
        <v>*</v>
      </c>
      <c r="AA610" s="792" t="str">
        <f t="shared" si="664"/>
        <v>*</v>
      </c>
      <c r="AB610" s="18" t="s">
        <v>1666</v>
      </c>
      <c r="AC610" s="13" t="str">
        <f t="shared" ref="AC610:AH610" si="665">AB610</f>
        <v>*</v>
      </c>
      <c r="AD610" s="13" t="str">
        <f t="shared" si="665"/>
        <v>*</v>
      </c>
      <c r="AE610" s="454" t="str">
        <f t="shared" si="665"/>
        <v>*</v>
      </c>
      <c r="AF610" s="454" t="str">
        <f t="shared" si="665"/>
        <v>*</v>
      </c>
      <c r="AG610" s="454" t="str">
        <f t="shared" si="665"/>
        <v>*</v>
      </c>
      <c r="AH610" s="454" t="str">
        <f t="shared" si="665"/>
        <v>*</v>
      </c>
    </row>
    <row r="611" spans="1:34" ht="12.75">
      <c r="A611" s="14" t="s">
        <v>4098</v>
      </c>
      <c r="B611" s="24" t="s">
        <v>2668</v>
      </c>
      <c r="C611" s="14" t="s">
        <v>2685</v>
      </c>
      <c r="D611" s="14" t="s">
        <v>2911</v>
      </c>
      <c r="E611" s="14" t="s">
        <v>4099</v>
      </c>
      <c r="F611" s="13">
        <v>32.67</v>
      </c>
      <c r="G611" s="14" t="s">
        <v>4082</v>
      </c>
      <c r="H611" s="13">
        <v>18064</v>
      </c>
      <c r="I611" s="655" t="s">
        <v>4105</v>
      </c>
      <c r="J611" s="14" t="s">
        <v>4106</v>
      </c>
      <c r="K611" s="478">
        <f t="shared" si="661"/>
        <v>4.9504950495049507E-2</v>
      </c>
      <c r="L611" s="220">
        <v>1.8</v>
      </c>
      <c r="M611" s="473" t="s">
        <v>4107</v>
      </c>
      <c r="N611" s="473"/>
      <c r="O611" s="565" t="s">
        <v>4085</v>
      </c>
      <c r="P611" s="14" t="s">
        <v>2938</v>
      </c>
      <c r="Q611" s="435" t="s">
        <v>2939</v>
      </c>
      <c r="R611" s="14">
        <v>30</v>
      </c>
      <c r="S611" s="14">
        <f t="shared" si="556"/>
        <v>0.54</v>
      </c>
      <c r="T611" s="487">
        <f>SUM(R609:R620)</f>
        <v>97.5</v>
      </c>
      <c r="U611">
        <f t="shared" si="554"/>
        <v>30.76923076923077</v>
      </c>
      <c r="V611" s="481">
        <f>U611</f>
        <v>30.76923076923077</v>
      </c>
      <c r="W611" s="482" t="s">
        <v>72</v>
      </c>
      <c r="X611" s="482">
        <f t="shared" si="615"/>
        <v>1.5232292460015233</v>
      </c>
      <c r="Y611" s="220" t="s">
        <v>1666</v>
      </c>
      <c r="Z611" s="220" t="str">
        <f t="shared" ref="Z611:AA611" si="666">Y611</f>
        <v>*</v>
      </c>
      <c r="AA611" s="792" t="str">
        <f t="shared" si="666"/>
        <v>*</v>
      </c>
      <c r="AB611" s="18" t="s">
        <v>1666</v>
      </c>
      <c r="AC611" s="13" t="str">
        <f t="shared" ref="AC611:AH611" si="667">AB611</f>
        <v>*</v>
      </c>
      <c r="AD611" s="13" t="str">
        <f t="shared" si="667"/>
        <v>*</v>
      </c>
      <c r="AE611" s="454" t="str">
        <f t="shared" si="667"/>
        <v>*</v>
      </c>
      <c r="AF611" s="454" t="str">
        <f t="shared" si="667"/>
        <v>*</v>
      </c>
      <c r="AG611" s="454" t="str">
        <f t="shared" si="667"/>
        <v>*</v>
      </c>
      <c r="AH611" s="454" t="str">
        <f t="shared" si="667"/>
        <v>*</v>
      </c>
    </row>
    <row r="612" spans="1:34" ht="12.75">
      <c r="A612" s="14" t="s">
        <v>4098</v>
      </c>
      <c r="B612" s="24" t="s">
        <v>2668</v>
      </c>
      <c r="C612" s="14" t="s">
        <v>2685</v>
      </c>
      <c r="D612" s="14" t="s">
        <v>2911</v>
      </c>
      <c r="E612" s="14" t="s">
        <v>4099</v>
      </c>
      <c r="F612" s="13">
        <v>32.67</v>
      </c>
      <c r="G612" s="14" t="s">
        <v>4082</v>
      </c>
      <c r="H612" s="13">
        <v>18064</v>
      </c>
      <c r="I612" s="655" t="s">
        <v>4105</v>
      </c>
      <c r="J612" s="14" t="s">
        <v>4106</v>
      </c>
      <c r="K612" s="478">
        <f t="shared" si="661"/>
        <v>4.9504950495049507E-2</v>
      </c>
      <c r="L612" s="220">
        <v>1.8</v>
      </c>
      <c r="M612" s="473" t="s">
        <v>4107</v>
      </c>
      <c r="N612" s="473"/>
      <c r="O612" s="565" t="s">
        <v>4085</v>
      </c>
      <c r="P612" s="14" t="s">
        <v>2948</v>
      </c>
      <c r="Q612" s="14" t="s">
        <v>2949</v>
      </c>
      <c r="R612" s="14">
        <v>2.5</v>
      </c>
      <c r="S612" s="14">
        <f t="shared" si="556"/>
        <v>4.5000000000000005E-2</v>
      </c>
      <c r="T612" s="487">
        <f>SUM(R609:R620)</f>
        <v>97.5</v>
      </c>
      <c r="U612">
        <f t="shared" si="554"/>
        <v>2.5641025641025643</v>
      </c>
      <c r="V612" s="220">
        <f>U612*100/SUM(U609:U610,U612:U620)</f>
        <v>3.7037037037037037</v>
      </c>
      <c r="W612" s="14" t="s">
        <v>305</v>
      </c>
      <c r="X612">
        <f t="shared" si="615"/>
        <v>0.18335166850018336</v>
      </c>
      <c r="Y612" s="220" t="s">
        <v>1666</v>
      </c>
      <c r="Z612" s="220">
        <f>SUM(X612,X636,X672,X686)</f>
        <v>0.52290205779804222</v>
      </c>
      <c r="AA612" s="792">
        <f>Z612</f>
        <v>0.52290205779804222</v>
      </c>
      <c r="AB612" s="18" t="s">
        <v>305</v>
      </c>
      <c r="AC612" s="13" t="s">
        <v>3485</v>
      </c>
      <c r="AD612" s="13" t="s">
        <v>2944</v>
      </c>
      <c r="AE612" s="12">
        <v>4.7062756261925113E-3</v>
      </c>
      <c r="AF612" s="12">
        <v>3.8210906557435767E-2</v>
      </c>
      <c r="AG612" s="12">
        <v>8.2999999999999998E-5</v>
      </c>
      <c r="AH612" s="12">
        <v>5.9908272287602653E-4</v>
      </c>
    </row>
    <row r="613" spans="1:34" ht="12.75">
      <c r="A613" s="14" t="s">
        <v>4098</v>
      </c>
      <c r="B613" s="24" t="s">
        <v>2668</v>
      </c>
      <c r="C613" s="14" t="s">
        <v>2685</v>
      </c>
      <c r="D613" s="14" t="s">
        <v>2911</v>
      </c>
      <c r="E613" s="14" t="s">
        <v>4099</v>
      </c>
      <c r="F613" s="13">
        <v>32.67</v>
      </c>
      <c r="G613" s="14" t="s">
        <v>4082</v>
      </c>
      <c r="H613" s="13">
        <v>18064</v>
      </c>
      <c r="I613" s="655" t="s">
        <v>4105</v>
      </c>
      <c r="J613" s="14" t="s">
        <v>4106</v>
      </c>
      <c r="K613" s="478">
        <f t="shared" si="661"/>
        <v>4.9504950495049507E-2</v>
      </c>
      <c r="L613" s="220">
        <v>1.8</v>
      </c>
      <c r="M613" s="473" t="s">
        <v>4107</v>
      </c>
      <c r="N613" s="473"/>
      <c r="O613" s="565" t="s">
        <v>4085</v>
      </c>
      <c r="P613" s="14" t="s">
        <v>214</v>
      </c>
      <c r="Q613" s="14" t="s">
        <v>3980</v>
      </c>
      <c r="R613" s="14">
        <v>2.5</v>
      </c>
      <c r="S613" s="14">
        <f t="shared" si="556"/>
        <v>4.5000000000000005E-2</v>
      </c>
      <c r="T613" s="487">
        <f>SUM(R609:R620)</f>
        <v>97.5</v>
      </c>
      <c r="U613">
        <f t="shared" si="554"/>
        <v>2.5641025641025643</v>
      </c>
      <c r="V613" s="220">
        <f>U613*100/SUM(U609:U610,U612:U620)</f>
        <v>3.7037037037037037</v>
      </c>
      <c r="W613" s="14" t="s">
        <v>214</v>
      </c>
      <c r="X613">
        <f t="shared" si="615"/>
        <v>0.18335166850018336</v>
      </c>
      <c r="Y613" s="220" t="s">
        <v>1666</v>
      </c>
      <c r="Z613" s="220" t="str">
        <f t="shared" ref="Z613:AA613" si="668">Y613</f>
        <v>*</v>
      </c>
      <c r="AA613" s="792" t="str">
        <f t="shared" si="668"/>
        <v>*</v>
      </c>
      <c r="AB613" s="18" t="s">
        <v>1666</v>
      </c>
      <c r="AC613" s="13" t="str">
        <f t="shared" ref="AC613:AH613" si="669">AB613</f>
        <v>*</v>
      </c>
      <c r="AD613" s="13" t="str">
        <f t="shared" si="669"/>
        <v>*</v>
      </c>
      <c r="AE613" s="454" t="str">
        <f t="shared" si="669"/>
        <v>*</v>
      </c>
      <c r="AF613" s="454" t="str">
        <f t="shared" si="669"/>
        <v>*</v>
      </c>
      <c r="AG613" s="454" t="str">
        <f t="shared" si="669"/>
        <v>*</v>
      </c>
      <c r="AH613" s="454" t="str">
        <f t="shared" si="669"/>
        <v>*</v>
      </c>
    </row>
    <row r="614" spans="1:34" ht="12.75">
      <c r="A614" s="14" t="s">
        <v>4098</v>
      </c>
      <c r="B614" s="24" t="s">
        <v>2668</v>
      </c>
      <c r="C614" s="14" t="s">
        <v>2685</v>
      </c>
      <c r="D614" s="14" t="s">
        <v>2911</v>
      </c>
      <c r="E614" s="14" t="s">
        <v>4099</v>
      </c>
      <c r="F614" s="13">
        <v>32.67</v>
      </c>
      <c r="G614" s="14" t="s">
        <v>4082</v>
      </c>
      <c r="H614" s="13">
        <v>18064</v>
      </c>
      <c r="I614" s="655" t="s">
        <v>4105</v>
      </c>
      <c r="J614" s="14" t="s">
        <v>4106</v>
      </c>
      <c r="K614" s="478">
        <f t="shared" si="661"/>
        <v>4.9504950495049507E-2</v>
      </c>
      <c r="L614" s="220">
        <v>1.8</v>
      </c>
      <c r="M614" s="473" t="s">
        <v>4107</v>
      </c>
      <c r="N614" s="473"/>
      <c r="O614" s="565" t="s">
        <v>4085</v>
      </c>
      <c r="P614" s="14" t="s">
        <v>2962</v>
      </c>
      <c r="Q614" s="14" t="s">
        <v>2963</v>
      </c>
      <c r="R614" s="14">
        <v>2.5</v>
      </c>
      <c r="S614" s="14">
        <f t="shared" si="556"/>
        <v>4.5000000000000005E-2</v>
      </c>
      <c r="T614" s="487">
        <f>SUM(R609:R620)</f>
        <v>97.5</v>
      </c>
      <c r="U614">
        <f t="shared" si="554"/>
        <v>2.5641025641025643</v>
      </c>
      <c r="V614" s="220">
        <f>U614*100/SUM(U609:U610,U612:U620)</f>
        <v>3.7037037037037037</v>
      </c>
      <c r="W614" s="14" t="s">
        <v>425</v>
      </c>
      <c r="X614">
        <f t="shared" si="615"/>
        <v>0.18335166850018336</v>
      </c>
      <c r="Y614" s="220" t="s">
        <v>1666</v>
      </c>
      <c r="Z614" s="220" t="str">
        <f t="shared" ref="Z614:AA614" si="670">Y614</f>
        <v>*</v>
      </c>
      <c r="AA614" s="792" t="str">
        <f t="shared" si="670"/>
        <v>*</v>
      </c>
      <c r="AB614" s="18" t="s">
        <v>1666</v>
      </c>
      <c r="AC614" s="13" t="str">
        <f t="shared" ref="AC614:AH614" si="671">AB614</f>
        <v>*</v>
      </c>
      <c r="AD614" s="13" t="str">
        <f t="shared" si="671"/>
        <v>*</v>
      </c>
      <c r="AE614" s="454" t="str">
        <f t="shared" si="671"/>
        <v>*</v>
      </c>
      <c r="AF614" s="454" t="str">
        <f t="shared" si="671"/>
        <v>*</v>
      </c>
      <c r="AG614" s="454" t="str">
        <f t="shared" si="671"/>
        <v>*</v>
      </c>
      <c r="AH614" s="454" t="str">
        <f t="shared" si="671"/>
        <v>*</v>
      </c>
    </row>
    <row r="615" spans="1:34" ht="12.75">
      <c r="A615" s="14" t="s">
        <v>4098</v>
      </c>
      <c r="B615" s="24" t="s">
        <v>2668</v>
      </c>
      <c r="C615" s="14" t="s">
        <v>2685</v>
      </c>
      <c r="D615" s="14" t="s">
        <v>2911</v>
      </c>
      <c r="E615" s="14" t="s">
        <v>4099</v>
      </c>
      <c r="F615" s="13">
        <v>32.67</v>
      </c>
      <c r="G615" s="14" t="s">
        <v>4082</v>
      </c>
      <c r="H615" s="13">
        <v>18064</v>
      </c>
      <c r="I615" s="655" t="s">
        <v>4105</v>
      </c>
      <c r="J615" s="14" t="s">
        <v>4106</v>
      </c>
      <c r="K615" s="478">
        <f t="shared" si="661"/>
        <v>4.9504950495049507E-2</v>
      </c>
      <c r="L615" s="220">
        <v>1.8</v>
      </c>
      <c r="M615" s="473" t="s">
        <v>4107</v>
      </c>
      <c r="N615" s="473"/>
      <c r="O615" s="565" t="s">
        <v>4085</v>
      </c>
      <c r="P615" s="14" t="s">
        <v>3865</v>
      </c>
      <c r="Q615" s="553" t="s">
        <v>4094</v>
      </c>
      <c r="R615" s="14">
        <v>1.5</v>
      </c>
      <c r="S615" s="14">
        <f t="shared" si="556"/>
        <v>2.7E-2</v>
      </c>
      <c r="T615" s="487">
        <f>SUM(R609:R620)</f>
        <v>97.5</v>
      </c>
      <c r="U615">
        <f t="shared" si="554"/>
        <v>1.5384615384615385</v>
      </c>
      <c r="V615" s="220">
        <f>U615*100/SUM(U609:U610,U612:U620)</f>
        <v>2.2222222222222228</v>
      </c>
      <c r="W615" s="14" t="s">
        <v>1165</v>
      </c>
      <c r="X615">
        <f t="shared" si="615"/>
        <v>0.11001100110011004</v>
      </c>
      <c r="Y615" s="220" t="s">
        <v>1666</v>
      </c>
      <c r="Z615" s="220" t="str">
        <f t="shared" ref="Z615:AA615" si="672">Y615</f>
        <v>*</v>
      </c>
      <c r="AA615" s="792" t="str">
        <f t="shared" si="672"/>
        <v>*</v>
      </c>
      <c r="AB615" s="18" t="s">
        <v>1666</v>
      </c>
      <c r="AC615" s="13" t="str">
        <f t="shared" ref="AC615:AH615" si="673">AB615</f>
        <v>*</v>
      </c>
      <c r="AD615" s="13" t="str">
        <f t="shared" si="673"/>
        <v>*</v>
      </c>
      <c r="AE615" s="454" t="str">
        <f t="shared" si="673"/>
        <v>*</v>
      </c>
      <c r="AF615" s="454" t="str">
        <f t="shared" si="673"/>
        <v>*</v>
      </c>
      <c r="AG615" s="454" t="str">
        <f t="shared" si="673"/>
        <v>*</v>
      </c>
      <c r="AH615" s="454" t="str">
        <f t="shared" si="673"/>
        <v>*</v>
      </c>
    </row>
    <row r="616" spans="1:34" ht="12.75">
      <c r="A616" s="14" t="s">
        <v>4098</v>
      </c>
      <c r="B616" s="24" t="s">
        <v>2668</v>
      </c>
      <c r="C616" s="14" t="s">
        <v>2685</v>
      </c>
      <c r="D616" s="14" t="s">
        <v>2911</v>
      </c>
      <c r="E616" s="14" t="s">
        <v>4099</v>
      </c>
      <c r="F616" s="13">
        <v>32.67</v>
      </c>
      <c r="G616" s="14" t="s">
        <v>4082</v>
      </c>
      <c r="H616" s="13">
        <v>18064</v>
      </c>
      <c r="I616" s="655" t="s">
        <v>4105</v>
      </c>
      <c r="J616" s="14" t="s">
        <v>4106</v>
      </c>
      <c r="K616" s="478">
        <f t="shared" si="661"/>
        <v>4.9504950495049507E-2</v>
      </c>
      <c r="L616" s="220">
        <v>1.8</v>
      </c>
      <c r="M616" s="473" t="s">
        <v>4107</v>
      </c>
      <c r="N616" s="473"/>
      <c r="O616" s="565" t="s">
        <v>4085</v>
      </c>
      <c r="P616" s="14" t="s">
        <v>86</v>
      </c>
      <c r="Q616" s="14" t="s">
        <v>3442</v>
      </c>
      <c r="R616" s="14">
        <v>1.5</v>
      </c>
      <c r="S616" s="14">
        <f t="shared" si="556"/>
        <v>2.7E-2</v>
      </c>
      <c r="T616" s="487">
        <f>SUM(R609:R620)</f>
        <v>97.5</v>
      </c>
      <c r="U616">
        <f t="shared" si="554"/>
        <v>1.5384615384615385</v>
      </c>
      <c r="V616" s="220">
        <f>U616*100/SUM(U609:U610,U612:U620)</f>
        <v>2.2222222222222228</v>
      </c>
      <c r="W616" s="14" t="s">
        <v>86</v>
      </c>
      <c r="X616">
        <f t="shared" si="615"/>
        <v>0.11001100110011004</v>
      </c>
      <c r="Y616" s="220" t="s">
        <v>1624</v>
      </c>
      <c r="Z616" s="220" t="s">
        <v>1666</v>
      </c>
      <c r="AA616" s="792" t="s">
        <v>1666</v>
      </c>
      <c r="AB616" s="18" t="s">
        <v>1666</v>
      </c>
      <c r="AC616" s="13" t="str">
        <f t="shared" ref="AC616:AH616" si="674">AB616</f>
        <v>*</v>
      </c>
      <c r="AD616" s="13" t="str">
        <f t="shared" si="674"/>
        <v>*</v>
      </c>
      <c r="AE616" s="454" t="str">
        <f t="shared" si="674"/>
        <v>*</v>
      </c>
      <c r="AF616" s="454" t="str">
        <f t="shared" si="674"/>
        <v>*</v>
      </c>
      <c r="AG616" s="454" t="str">
        <f t="shared" si="674"/>
        <v>*</v>
      </c>
      <c r="AH616" s="454" t="str">
        <f t="shared" si="674"/>
        <v>*</v>
      </c>
    </row>
    <row r="617" spans="1:34" ht="12.75">
      <c r="A617" s="14" t="s">
        <v>4098</v>
      </c>
      <c r="B617" s="24" t="s">
        <v>2668</v>
      </c>
      <c r="C617" s="14" t="s">
        <v>2685</v>
      </c>
      <c r="D617" s="14" t="s">
        <v>2911</v>
      </c>
      <c r="E617" s="14" t="s">
        <v>4099</v>
      </c>
      <c r="F617" s="13">
        <v>32.67</v>
      </c>
      <c r="G617" s="14" t="s">
        <v>4082</v>
      </c>
      <c r="H617" s="13">
        <v>18064</v>
      </c>
      <c r="I617" s="655" t="s">
        <v>4105</v>
      </c>
      <c r="J617" s="14" t="s">
        <v>4106</v>
      </c>
      <c r="K617" s="478">
        <f t="shared" si="661"/>
        <v>4.9504950495049507E-2</v>
      </c>
      <c r="L617" s="220">
        <v>1.8</v>
      </c>
      <c r="M617" s="473" t="s">
        <v>4107</v>
      </c>
      <c r="N617" s="473"/>
      <c r="O617" s="565" t="s">
        <v>4085</v>
      </c>
      <c r="P617" s="655" t="s">
        <v>3978</v>
      </c>
      <c r="Q617" s="486" t="s">
        <v>3979</v>
      </c>
      <c r="R617" s="14">
        <v>1</v>
      </c>
      <c r="S617" s="14">
        <f t="shared" si="556"/>
        <v>1.8000000000000002E-2</v>
      </c>
      <c r="T617" s="487">
        <f>SUM(R609:R620)</f>
        <v>97.5</v>
      </c>
      <c r="U617">
        <f t="shared" si="554"/>
        <v>1.0256410256410255</v>
      </c>
      <c r="V617" s="220">
        <f>U617*100/SUM(U609:U610,U612:U620)</f>
        <v>1.4814814814814814</v>
      </c>
      <c r="W617" s="14" t="s">
        <v>1164</v>
      </c>
      <c r="X617">
        <f t="shared" si="615"/>
        <v>7.3340667400073334E-2</v>
      </c>
      <c r="Y617" s="220" t="s">
        <v>1666</v>
      </c>
      <c r="Z617" s="220" t="str">
        <f t="shared" ref="Z617:AA617" si="675">Y617</f>
        <v>*</v>
      </c>
      <c r="AA617" s="792" t="str">
        <f t="shared" si="675"/>
        <v>*</v>
      </c>
      <c r="AB617" s="18" t="s">
        <v>1666</v>
      </c>
      <c r="AC617" s="13" t="str">
        <f t="shared" ref="AC617:AH617" si="676">AB617</f>
        <v>*</v>
      </c>
      <c r="AD617" s="13" t="str">
        <f t="shared" si="676"/>
        <v>*</v>
      </c>
      <c r="AE617" s="454" t="str">
        <f t="shared" si="676"/>
        <v>*</v>
      </c>
      <c r="AF617" s="454" t="str">
        <f t="shared" si="676"/>
        <v>*</v>
      </c>
      <c r="AG617" s="454" t="str">
        <f t="shared" si="676"/>
        <v>*</v>
      </c>
      <c r="AH617" s="454" t="str">
        <f t="shared" si="676"/>
        <v>*</v>
      </c>
    </row>
    <row r="618" spans="1:34" ht="12.75">
      <c r="A618" s="14" t="s">
        <v>4098</v>
      </c>
      <c r="B618" s="24" t="s">
        <v>2668</v>
      </c>
      <c r="C618" s="14" t="s">
        <v>2685</v>
      </c>
      <c r="D618" s="14" t="s">
        <v>2911</v>
      </c>
      <c r="E618" s="14" t="s">
        <v>4099</v>
      </c>
      <c r="F618" s="13">
        <v>32.67</v>
      </c>
      <c r="G618" s="14" t="s">
        <v>4082</v>
      </c>
      <c r="H618" s="13">
        <v>18064</v>
      </c>
      <c r="I618" s="655" t="s">
        <v>4105</v>
      </c>
      <c r="J618" s="14" t="s">
        <v>4106</v>
      </c>
      <c r="K618" s="478">
        <f t="shared" si="661"/>
        <v>4.9504950495049507E-2</v>
      </c>
      <c r="L618" s="220">
        <v>1.8</v>
      </c>
      <c r="M618" s="473" t="s">
        <v>4107</v>
      </c>
      <c r="N618" s="473"/>
      <c r="O618" s="565" t="s">
        <v>4085</v>
      </c>
      <c r="P618" s="655" t="s">
        <v>2977</v>
      </c>
      <c r="Q618" s="486" t="s">
        <v>2978</v>
      </c>
      <c r="R618" s="14">
        <v>1</v>
      </c>
      <c r="S618" s="14">
        <f t="shared" si="556"/>
        <v>1.8000000000000002E-2</v>
      </c>
      <c r="T618" s="487">
        <f>SUM(R609:R620)</f>
        <v>97.5</v>
      </c>
      <c r="U618">
        <f t="shared" si="554"/>
        <v>1.0256410256410255</v>
      </c>
      <c r="V618" s="220">
        <f>U618*100/SUM(U609:U610,U612:U620)</f>
        <v>1.4814814814814814</v>
      </c>
      <c r="W618" s="14" t="s">
        <v>227</v>
      </c>
      <c r="X618">
        <f t="shared" si="615"/>
        <v>7.3340667400073334E-2</v>
      </c>
      <c r="Y618" s="220" t="s">
        <v>1666</v>
      </c>
      <c r="Z618" s="220">
        <f>SUM(X618,X631,X690)</f>
        <v>0.38801920910133025</v>
      </c>
      <c r="AA618" s="792">
        <f>Z618</f>
        <v>0.38801920910133025</v>
      </c>
      <c r="AB618" s="18" t="s">
        <v>227</v>
      </c>
      <c r="AC618" s="13" t="s">
        <v>55</v>
      </c>
      <c r="AD618" s="13" t="s">
        <v>2979</v>
      </c>
      <c r="AE618" s="12">
        <v>2.5055367220000002E-3</v>
      </c>
      <c r="AF618" s="12">
        <v>3.8459841414181101E-2</v>
      </c>
      <c r="AG618" s="12">
        <v>1.1035422343324251E-4</v>
      </c>
      <c r="AH618" s="12">
        <v>8.109653861711444E-4</v>
      </c>
    </row>
    <row r="619" spans="1:34" ht="12.75">
      <c r="A619" s="14" t="s">
        <v>4098</v>
      </c>
      <c r="B619" s="24" t="s">
        <v>2668</v>
      </c>
      <c r="C619" s="14" t="s">
        <v>2685</v>
      </c>
      <c r="D619" s="14" t="s">
        <v>2911</v>
      </c>
      <c r="E619" s="14" t="s">
        <v>4099</v>
      </c>
      <c r="F619" s="13">
        <v>32.67</v>
      </c>
      <c r="G619" s="14" t="s">
        <v>4082</v>
      </c>
      <c r="H619" s="13">
        <v>18064</v>
      </c>
      <c r="I619" s="655" t="s">
        <v>4105</v>
      </c>
      <c r="J619" s="14" t="s">
        <v>4106</v>
      </c>
      <c r="K619" s="478">
        <f t="shared" si="661"/>
        <v>4.9504950495049507E-2</v>
      </c>
      <c r="L619" s="220">
        <v>1.8</v>
      </c>
      <c r="M619" s="473" t="s">
        <v>4107</v>
      </c>
      <c r="N619" s="473"/>
      <c r="O619" s="565" t="s">
        <v>4085</v>
      </c>
      <c r="P619" s="14" t="s">
        <v>3041</v>
      </c>
      <c r="Q619" s="486" t="s">
        <v>3089</v>
      </c>
      <c r="R619" s="14">
        <v>0.5</v>
      </c>
      <c r="S619" s="14">
        <f t="shared" si="556"/>
        <v>9.0000000000000011E-3</v>
      </c>
      <c r="T619" s="487">
        <f>SUM(R609:R620)</f>
        <v>97.5</v>
      </c>
      <c r="U619">
        <f t="shared" si="554"/>
        <v>0.51282051282051277</v>
      </c>
      <c r="V619" s="220">
        <f>U619*100/SUM(U609:U610,U612:U620)</f>
        <v>0.7407407407407407</v>
      </c>
      <c r="W619" s="14" t="s">
        <v>81</v>
      </c>
      <c r="X619">
        <f t="shared" si="615"/>
        <v>3.6670333700036667E-2</v>
      </c>
      <c r="Y619" s="499">
        <f>SUM(X619,X691)</f>
        <v>0.19362129960243923</v>
      </c>
      <c r="Z619" s="220">
        <f t="shared" ref="Z619:AA619" si="677">Y619</f>
        <v>0.19362129960243923</v>
      </c>
      <c r="AA619" s="792">
        <f t="shared" si="677"/>
        <v>0.19362129960243923</v>
      </c>
      <c r="AB619" s="18" t="s">
        <v>81</v>
      </c>
      <c r="AC619" s="13" t="s">
        <v>18</v>
      </c>
      <c r="AD619" s="13" t="s">
        <v>18</v>
      </c>
      <c r="AE619" s="12">
        <v>1.9912385503783353E-2</v>
      </c>
      <c r="AF619" s="12">
        <v>5.6949422540820388E-2</v>
      </c>
      <c r="AG619" s="12">
        <v>3.8829151732377542E-3</v>
      </c>
      <c r="AH619" s="12">
        <v>5.6321186778176026E-3</v>
      </c>
    </row>
    <row r="620" spans="1:34" ht="12.75">
      <c r="A620" s="14" t="s">
        <v>4098</v>
      </c>
      <c r="B620" s="24" t="s">
        <v>2668</v>
      </c>
      <c r="C620" s="14" t="s">
        <v>2685</v>
      </c>
      <c r="D620" s="14" t="s">
        <v>2911</v>
      </c>
      <c r="E620" s="14" t="s">
        <v>4099</v>
      </c>
      <c r="F620" s="13">
        <v>32.67</v>
      </c>
      <c r="G620" s="14" t="s">
        <v>4082</v>
      </c>
      <c r="H620" s="13">
        <v>18064</v>
      </c>
      <c r="I620" s="848" t="s">
        <v>4105</v>
      </c>
      <c r="J620" s="135" t="s">
        <v>4106</v>
      </c>
      <c r="K620" s="475">
        <f t="shared" si="661"/>
        <v>4.9504950495049507E-2</v>
      </c>
      <c r="L620" s="476">
        <v>1.8</v>
      </c>
      <c r="M620" s="492" t="s">
        <v>4107</v>
      </c>
      <c r="N620" s="492"/>
      <c r="O620" s="494" t="s">
        <v>4085</v>
      </c>
      <c r="P620" s="135" t="s">
        <v>3021</v>
      </c>
      <c r="Q620" s="495" t="s">
        <v>3022</v>
      </c>
      <c r="R620" s="135">
        <v>2.5</v>
      </c>
      <c r="S620" s="135">
        <f t="shared" si="556"/>
        <v>4.5000000000000005E-2</v>
      </c>
      <c r="T620" s="854">
        <f>SUM(R609:R620)</f>
        <v>97.5</v>
      </c>
      <c r="U620" s="135">
        <f t="shared" si="554"/>
        <v>2.5641025641025643</v>
      </c>
      <c r="V620" s="476">
        <f>U620*100/SUM(U609:U610,U612:U620)</f>
        <v>3.7037037037037037</v>
      </c>
      <c r="W620" s="135" t="s">
        <v>346</v>
      </c>
      <c r="X620">
        <f t="shared" si="615"/>
        <v>0.18335166850018336</v>
      </c>
      <c r="Y620" s="220" t="s">
        <v>1666</v>
      </c>
      <c r="Z620" s="220" t="str">
        <f t="shared" ref="Z620:AA620" si="678">Y620</f>
        <v>*</v>
      </c>
      <c r="AA620" s="792" t="str">
        <f t="shared" si="678"/>
        <v>*</v>
      </c>
      <c r="AB620" s="18" t="s">
        <v>1666</v>
      </c>
      <c r="AC620" s="13" t="str">
        <f t="shared" ref="AC620:AH620" si="679">AB620</f>
        <v>*</v>
      </c>
      <c r="AD620" s="13" t="str">
        <f t="shared" si="679"/>
        <v>*</v>
      </c>
      <c r="AE620" s="454" t="str">
        <f t="shared" si="679"/>
        <v>*</v>
      </c>
      <c r="AF620" s="454" t="str">
        <f t="shared" si="679"/>
        <v>*</v>
      </c>
      <c r="AG620" s="454" t="str">
        <f t="shared" si="679"/>
        <v>*</v>
      </c>
      <c r="AH620" s="454" t="str">
        <f t="shared" si="679"/>
        <v>*</v>
      </c>
    </row>
    <row r="621" spans="1:34" ht="14.25">
      <c r="A621" s="14" t="s">
        <v>4098</v>
      </c>
      <c r="B621" s="24" t="s">
        <v>2668</v>
      </c>
      <c r="C621" s="14" t="s">
        <v>2685</v>
      </c>
      <c r="D621" s="14" t="s">
        <v>2911</v>
      </c>
      <c r="E621" s="14" t="s">
        <v>4099</v>
      </c>
      <c r="F621" s="13">
        <v>32.67</v>
      </c>
      <c r="G621" s="14" t="s">
        <v>4082</v>
      </c>
      <c r="H621" s="13">
        <v>18064</v>
      </c>
      <c r="I621" s="655" t="s">
        <v>4108</v>
      </c>
      <c r="J621" s="14" t="s">
        <v>4109</v>
      </c>
      <c r="K621" s="478">
        <f t="shared" ref="K621:K638" si="680">11/101</f>
        <v>0.10891089108910891</v>
      </c>
      <c r="L621" s="220">
        <v>4.4000000000000004</v>
      </c>
      <c r="M621" s="473" t="s">
        <v>4110</v>
      </c>
      <c r="N621" s="479" t="s">
        <v>2937</v>
      </c>
      <c r="O621" s="480" t="s">
        <v>2976</v>
      </c>
      <c r="P621" s="655" t="s">
        <v>3005</v>
      </c>
      <c r="Q621" s="486" t="s">
        <v>3006</v>
      </c>
      <c r="R621" s="14">
        <v>42</v>
      </c>
      <c r="S621" s="14">
        <f t="shared" si="556"/>
        <v>1.8480000000000001</v>
      </c>
      <c r="T621" s="487">
        <f>SUM(R621:R638)</f>
        <v>99.05</v>
      </c>
      <c r="U621">
        <f t="shared" si="554"/>
        <v>42.402826855123678</v>
      </c>
      <c r="V621" s="220">
        <f>U621*100/SUM(U621:U622,U624:U638)</f>
        <v>60.825488776249109</v>
      </c>
      <c r="W621" s="14" t="s">
        <v>2526</v>
      </c>
      <c r="X621">
        <f t="shared" si="615"/>
        <v>6.6245581835518834</v>
      </c>
      <c r="Y621" s="220" t="s">
        <v>1666</v>
      </c>
      <c r="Z621" s="220" t="str">
        <f t="shared" ref="Z621:AA621" si="681">Y621</f>
        <v>*</v>
      </c>
      <c r="AA621" s="792" t="str">
        <f t="shared" si="681"/>
        <v>*</v>
      </c>
      <c r="AB621" s="18" t="s">
        <v>1666</v>
      </c>
      <c r="AC621" s="13" t="str">
        <f t="shared" ref="AC621:AH621" si="682">AB621</f>
        <v>*</v>
      </c>
      <c r="AD621" s="13" t="str">
        <f t="shared" si="682"/>
        <v>*</v>
      </c>
      <c r="AE621" s="454" t="str">
        <f t="shared" si="682"/>
        <v>*</v>
      </c>
      <c r="AF621" s="454" t="str">
        <f t="shared" si="682"/>
        <v>*</v>
      </c>
      <c r="AG621" s="454" t="str">
        <f t="shared" si="682"/>
        <v>*</v>
      </c>
      <c r="AH621" s="454" t="str">
        <f t="shared" si="682"/>
        <v>*</v>
      </c>
    </row>
    <row r="622" spans="1:34" ht="14.25">
      <c r="A622" s="14" t="s">
        <v>4098</v>
      </c>
      <c r="B622" s="24" t="s">
        <v>2668</v>
      </c>
      <c r="C622" s="14" t="s">
        <v>2685</v>
      </c>
      <c r="D622" s="14" t="s">
        <v>2911</v>
      </c>
      <c r="E622" s="14" t="s">
        <v>4099</v>
      </c>
      <c r="F622" s="13">
        <v>32.67</v>
      </c>
      <c r="G622" s="14" t="s">
        <v>4082</v>
      </c>
      <c r="H622" s="13">
        <v>18064</v>
      </c>
      <c r="I622" s="655" t="s">
        <v>4108</v>
      </c>
      <c r="J622" s="14" t="s">
        <v>4109</v>
      </c>
      <c r="K622" s="478">
        <f t="shared" si="680"/>
        <v>0.10891089108910891</v>
      </c>
      <c r="L622" s="220">
        <v>4.4000000000000004</v>
      </c>
      <c r="M622" s="473" t="s">
        <v>4110</v>
      </c>
      <c r="N622" s="479" t="s">
        <v>2937</v>
      </c>
      <c r="O622" s="480" t="s">
        <v>2976</v>
      </c>
      <c r="P622" s="14" t="s">
        <v>3862</v>
      </c>
      <c r="Q622" s="486" t="s">
        <v>3863</v>
      </c>
      <c r="R622" s="14">
        <v>3</v>
      </c>
      <c r="S622" s="14">
        <f t="shared" si="556"/>
        <v>0.13200000000000001</v>
      </c>
      <c r="T622" s="487">
        <f>SUM(R621:R638)</f>
        <v>99.05</v>
      </c>
      <c r="U622">
        <f t="shared" si="554"/>
        <v>3.0287733467945483</v>
      </c>
      <c r="V622" s="220">
        <f>U622*100/SUM(U621:U622,U624:U638)</f>
        <v>4.3446777697320798</v>
      </c>
      <c r="W622" s="14" t="s">
        <v>2662</v>
      </c>
      <c r="X622">
        <f t="shared" si="615"/>
        <v>0.47318272739656314</v>
      </c>
      <c r="Y622" s="220" t="s">
        <v>1666</v>
      </c>
      <c r="Z622" s="220" t="str">
        <f t="shared" ref="Z622:AA622" si="683">Y622</f>
        <v>*</v>
      </c>
      <c r="AA622" s="792" t="str">
        <f t="shared" si="683"/>
        <v>*</v>
      </c>
      <c r="AB622" s="18" t="s">
        <v>1666</v>
      </c>
      <c r="AC622" s="13" t="str">
        <f t="shared" ref="AC622:AH622" si="684">AB622</f>
        <v>*</v>
      </c>
      <c r="AD622" s="13" t="str">
        <f t="shared" si="684"/>
        <v>*</v>
      </c>
      <c r="AE622" s="454" t="str">
        <f t="shared" si="684"/>
        <v>*</v>
      </c>
      <c r="AF622" s="454" t="str">
        <f t="shared" si="684"/>
        <v>*</v>
      </c>
      <c r="AG622" s="454" t="str">
        <f t="shared" si="684"/>
        <v>*</v>
      </c>
      <c r="AH622" s="454" t="str">
        <f t="shared" si="684"/>
        <v>*</v>
      </c>
    </row>
    <row r="623" spans="1:34" ht="14.25">
      <c r="A623" s="14" t="s">
        <v>4098</v>
      </c>
      <c r="B623" s="24" t="s">
        <v>2668</v>
      </c>
      <c r="C623" s="14" t="s">
        <v>2685</v>
      </c>
      <c r="D623" s="14" t="s">
        <v>2911</v>
      </c>
      <c r="E623" s="14" t="s">
        <v>4099</v>
      </c>
      <c r="F623" s="13">
        <v>32.67</v>
      </c>
      <c r="G623" s="14" t="s">
        <v>4082</v>
      </c>
      <c r="H623" s="13">
        <v>18064</v>
      </c>
      <c r="I623" s="655" t="s">
        <v>4108</v>
      </c>
      <c r="J623" s="14" t="s">
        <v>4109</v>
      </c>
      <c r="K623" s="478">
        <f t="shared" si="680"/>
        <v>0.10891089108910891</v>
      </c>
      <c r="L623" s="220">
        <v>4.4000000000000004</v>
      </c>
      <c r="M623" s="473" t="s">
        <v>4110</v>
      </c>
      <c r="N623" s="479" t="s">
        <v>2937</v>
      </c>
      <c r="O623" s="480" t="s">
        <v>2976</v>
      </c>
      <c r="P623" s="14" t="s">
        <v>2938</v>
      </c>
      <c r="Q623" s="435" t="s">
        <v>2939</v>
      </c>
      <c r="R623" s="14">
        <v>30</v>
      </c>
      <c r="S623" s="14">
        <f t="shared" si="556"/>
        <v>1.32</v>
      </c>
      <c r="T623" s="487">
        <f>SUM(R621:R638)</f>
        <v>99.05</v>
      </c>
      <c r="U623">
        <f t="shared" si="554"/>
        <v>30.287733467945483</v>
      </c>
      <c r="V623" s="481">
        <f>U623</f>
        <v>30.287733467945483</v>
      </c>
      <c r="W623" s="482" t="s">
        <v>72</v>
      </c>
      <c r="X623" s="482">
        <f t="shared" si="615"/>
        <v>3.2986640410633692</v>
      </c>
      <c r="Y623" s="220" t="s">
        <v>1666</v>
      </c>
      <c r="Z623" s="220" t="str">
        <f t="shared" ref="Z623:AA623" si="685">Y623</f>
        <v>*</v>
      </c>
      <c r="AA623" s="792" t="str">
        <f t="shared" si="685"/>
        <v>*</v>
      </c>
      <c r="AB623" s="18" t="s">
        <v>1666</v>
      </c>
      <c r="AC623" s="13" t="str">
        <f t="shared" ref="AC623:AH623" si="686">AB623</f>
        <v>*</v>
      </c>
      <c r="AD623" s="13" t="str">
        <f t="shared" si="686"/>
        <v>*</v>
      </c>
      <c r="AE623" s="454" t="str">
        <f t="shared" si="686"/>
        <v>*</v>
      </c>
      <c r="AF623" s="454" t="str">
        <f t="shared" si="686"/>
        <v>*</v>
      </c>
      <c r="AG623" s="454" t="str">
        <f t="shared" si="686"/>
        <v>*</v>
      </c>
      <c r="AH623" s="454" t="str">
        <f t="shared" si="686"/>
        <v>*</v>
      </c>
    </row>
    <row r="624" spans="1:34" ht="14.25">
      <c r="A624" s="14" t="s">
        <v>4098</v>
      </c>
      <c r="B624" s="24" t="s">
        <v>2668</v>
      </c>
      <c r="C624" s="14" t="s">
        <v>2685</v>
      </c>
      <c r="D624" s="14" t="s">
        <v>2911</v>
      </c>
      <c r="E624" s="14" t="s">
        <v>4099</v>
      </c>
      <c r="F624" s="13">
        <v>32.67</v>
      </c>
      <c r="G624" s="14" t="s">
        <v>4082</v>
      </c>
      <c r="H624" s="13">
        <v>18064</v>
      </c>
      <c r="I624" s="655" t="s">
        <v>4108</v>
      </c>
      <c r="J624" s="14" t="s">
        <v>4109</v>
      </c>
      <c r="K624" s="478">
        <f t="shared" si="680"/>
        <v>0.10891089108910891</v>
      </c>
      <c r="L624" s="220">
        <v>4.4000000000000004</v>
      </c>
      <c r="M624" s="473" t="s">
        <v>4110</v>
      </c>
      <c r="N624" s="479" t="s">
        <v>2937</v>
      </c>
      <c r="O624" s="480" t="s">
        <v>2976</v>
      </c>
      <c r="P624" s="14" t="s">
        <v>2945</v>
      </c>
      <c r="Q624" s="10" t="s">
        <v>2946</v>
      </c>
      <c r="R624" s="14">
        <v>5</v>
      </c>
      <c r="S624" s="14">
        <f t="shared" si="556"/>
        <v>0.22000000000000003</v>
      </c>
      <c r="T624" s="487">
        <f>SUM(R621:R638)</f>
        <v>99.05</v>
      </c>
      <c r="U624">
        <f t="shared" si="554"/>
        <v>5.0479555779909138</v>
      </c>
      <c r="V624" s="220">
        <f>U624*100/SUM(U621:U622,U624:U638)</f>
        <v>7.2411296162201326</v>
      </c>
      <c r="W624" s="14" t="s">
        <v>433</v>
      </c>
      <c r="X624">
        <f t="shared" si="615"/>
        <v>0.78863787899427185</v>
      </c>
      <c r="Y624" s="220" t="s">
        <v>1666</v>
      </c>
      <c r="Z624" s="220" t="str">
        <f t="shared" ref="Z624:AA624" si="687">Y624</f>
        <v>*</v>
      </c>
      <c r="AA624" s="792" t="str">
        <f t="shared" si="687"/>
        <v>*</v>
      </c>
      <c r="AB624" s="18" t="s">
        <v>1624</v>
      </c>
      <c r="AC624" s="13" t="str">
        <f t="shared" ref="AC624:AH624" si="688">AB624</f>
        <v>-</v>
      </c>
      <c r="AD624" s="13" t="str">
        <f t="shared" si="688"/>
        <v>-</v>
      </c>
      <c r="AE624" s="454" t="str">
        <f t="shared" si="688"/>
        <v>-</v>
      </c>
      <c r="AF624" s="454" t="str">
        <f t="shared" si="688"/>
        <v>-</v>
      </c>
      <c r="AG624" s="454" t="str">
        <f t="shared" si="688"/>
        <v>-</v>
      </c>
      <c r="AH624" s="454" t="str">
        <f t="shared" si="688"/>
        <v>-</v>
      </c>
    </row>
    <row r="625" spans="1:34" ht="14.25">
      <c r="A625" s="14" t="s">
        <v>4098</v>
      </c>
      <c r="B625" s="24" t="s">
        <v>2668</v>
      </c>
      <c r="C625" s="14" t="s">
        <v>2685</v>
      </c>
      <c r="D625" s="14" t="s">
        <v>2911</v>
      </c>
      <c r="E625" s="14" t="s">
        <v>4099</v>
      </c>
      <c r="F625" s="13">
        <v>32.67</v>
      </c>
      <c r="G625" s="14" t="s">
        <v>4082</v>
      </c>
      <c r="H625" s="13">
        <v>18064</v>
      </c>
      <c r="I625" s="655" t="s">
        <v>4108</v>
      </c>
      <c r="J625" s="14" t="s">
        <v>4109</v>
      </c>
      <c r="K625" s="478">
        <f t="shared" si="680"/>
        <v>0.10891089108910891</v>
      </c>
      <c r="L625" s="220">
        <v>4.4000000000000004</v>
      </c>
      <c r="M625" s="473" t="s">
        <v>4110</v>
      </c>
      <c r="N625" s="479" t="s">
        <v>2937</v>
      </c>
      <c r="O625" s="480" t="s">
        <v>2976</v>
      </c>
      <c r="P625" s="14" t="s">
        <v>4039</v>
      </c>
      <c r="Q625" s="14" t="s">
        <v>4111</v>
      </c>
      <c r="R625" s="14">
        <v>3</v>
      </c>
      <c r="S625" s="14">
        <f t="shared" si="556"/>
        <v>0.13200000000000001</v>
      </c>
      <c r="T625" s="487">
        <f>SUM(R621:R638)</f>
        <v>99.05</v>
      </c>
      <c r="U625">
        <f t="shared" si="554"/>
        <v>3.0287733467945483</v>
      </c>
      <c r="V625" s="220">
        <f>U625*100/SUM(U621:U622,U624:U638)</f>
        <v>4.3446777697320798</v>
      </c>
      <c r="W625" s="14" t="s">
        <v>1112</v>
      </c>
      <c r="X625">
        <f t="shared" si="615"/>
        <v>0.47318272739656314</v>
      </c>
      <c r="Y625" s="220">
        <f>SUM(X625,X626,X666,X669,X681,X682,X683)</f>
        <v>5.0979834376038253</v>
      </c>
      <c r="Z625" s="220">
        <f>SUM(X625:X626,X669,X681)</f>
        <v>2.2497984617852849</v>
      </c>
      <c r="AA625" s="792">
        <f>Z625</f>
        <v>2.2497984617852849</v>
      </c>
      <c r="AB625" s="18" t="s">
        <v>2677</v>
      </c>
      <c r="AC625" s="13" t="s">
        <v>244</v>
      </c>
      <c r="AD625" s="13" t="s">
        <v>3975</v>
      </c>
      <c r="AE625" s="12">
        <v>7.6594132480302998E-3</v>
      </c>
      <c r="AF625" s="12">
        <v>0.25452159072024799</v>
      </c>
      <c r="AG625" s="12">
        <v>2.4499999999999999E-4</v>
      </c>
      <c r="AH625" s="12">
        <v>3.0864741882572887E-4</v>
      </c>
    </row>
    <row r="626" spans="1:34" ht="14.25">
      <c r="A626" s="14" t="s">
        <v>4098</v>
      </c>
      <c r="B626" s="24" t="s">
        <v>2668</v>
      </c>
      <c r="C626" s="14" t="s">
        <v>2685</v>
      </c>
      <c r="D626" s="14" t="s">
        <v>2911</v>
      </c>
      <c r="E626" s="14" t="s">
        <v>4099</v>
      </c>
      <c r="F626" s="13">
        <v>32.67</v>
      </c>
      <c r="G626" s="14" t="s">
        <v>4082</v>
      </c>
      <c r="H626" s="13">
        <v>18064</v>
      </c>
      <c r="I626" s="655" t="s">
        <v>4108</v>
      </c>
      <c r="J626" s="14" t="s">
        <v>4109</v>
      </c>
      <c r="K626" s="478">
        <f t="shared" si="680"/>
        <v>0.10891089108910891</v>
      </c>
      <c r="L626" s="220">
        <v>4.4000000000000004</v>
      </c>
      <c r="M626" s="473" t="s">
        <v>4110</v>
      </c>
      <c r="N626" s="479" t="s">
        <v>2937</v>
      </c>
      <c r="O626" s="480" t="s">
        <v>2976</v>
      </c>
      <c r="P626" s="14" t="s">
        <v>3973</v>
      </c>
      <c r="Q626" s="486" t="s">
        <v>3998</v>
      </c>
      <c r="R626" s="14">
        <v>3</v>
      </c>
      <c r="S626" s="14">
        <f t="shared" si="556"/>
        <v>0.13200000000000001</v>
      </c>
      <c r="T626" s="487">
        <f>SUM(R621:R638)</f>
        <v>99.05</v>
      </c>
      <c r="U626">
        <f t="shared" si="554"/>
        <v>3.0287733467945483</v>
      </c>
      <c r="V626" s="220">
        <f>U626*100/SUM(U621:U622,U624:U638)</f>
        <v>4.3446777697320798</v>
      </c>
      <c r="W626" s="14" t="s">
        <v>1112</v>
      </c>
      <c r="X626">
        <f t="shared" si="615"/>
        <v>0.47318272739656314</v>
      </c>
      <c r="Y626" s="220" t="s">
        <v>1666</v>
      </c>
      <c r="Z626" s="220" t="str">
        <f t="shared" ref="Z626:AA626" si="689">Y626</f>
        <v>*</v>
      </c>
      <c r="AA626" s="792" t="str">
        <f t="shared" si="689"/>
        <v>*</v>
      </c>
      <c r="AB626" s="18" t="s">
        <v>1624</v>
      </c>
      <c r="AC626" s="13" t="str">
        <f t="shared" ref="AC626:AH626" si="690">AB626</f>
        <v>-</v>
      </c>
      <c r="AD626" s="13" t="str">
        <f t="shared" si="690"/>
        <v>-</v>
      </c>
      <c r="AE626" s="454" t="str">
        <f t="shared" si="690"/>
        <v>-</v>
      </c>
      <c r="AF626" s="454" t="str">
        <f t="shared" si="690"/>
        <v>-</v>
      </c>
      <c r="AG626" s="454" t="str">
        <f t="shared" si="690"/>
        <v>-</v>
      </c>
      <c r="AH626" s="454" t="str">
        <f t="shared" si="690"/>
        <v>-</v>
      </c>
    </row>
    <row r="627" spans="1:34" ht="14.25">
      <c r="A627" s="14" t="s">
        <v>4098</v>
      </c>
      <c r="B627" s="24" t="s">
        <v>2668</v>
      </c>
      <c r="C627" s="14" t="s">
        <v>2685</v>
      </c>
      <c r="D627" s="14" t="s">
        <v>2911</v>
      </c>
      <c r="E627" s="14" t="s">
        <v>4099</v>
      </c>
      <c r="F627" s="13">
        <v>32.67</v>
      </c>
      <c r="G627" s="14" t="s">
        <v>4082</v>
      </c>
      <c r="H627" s="13">
        <v>18064</v>
      </c>
      <c r="I627" s="655" t="s">
        <v>4108</v>
      </c>
      <c r="J627" s="14" t="s">
        <v>4109</v>
      </c>
      <c r="K627" s="478">
        <f t="shared" si="680"/>
        <v>0.10891089108910891</v>
      </c>
      <c r="L627" s="220">
        <v>4.4000000000000004</v>
      </c>
      <c r="M627" s="473" t="s">
        <v>4110</v>
      </c>
      <c r="N627" s="479" t="s">
        <v>2937</v>
      </c>
      <c r="O627" s="480" t="s">
        <v>2976</v>
      </c>
      <c r="P627" s="14" t="s">
        <v>3865</v>
      </c>
      <c r="Q627" s="553" t="s">
        <v>4094</v>
      </c>
      <c r="R627" s="14">
        <v>3.5</v>
      </c>
      <c r="S627" s="14">
        <f t="shared" si="556"/>
        <v>0.15400000000000003</v>
      </c>
      <c r="T627" s="487">
        <f>SUM(R621:R638)</f>
        <v>99.05</v>
      </c>
      <c r="U627">
        <f t="shared" si="554"/>
        <v>3.5335689045936398</v>
      </c>
      <c r="V627" s="220">
        <f>U627*100/SUM(U621:U622,U624:U638)</f>
        <v>5.0687907313540927</v>
      </c>
      <c r="W627" s="14" t="s">
        <v>1165</v>
      </c>
      <c r="X627">
        <f t="shared" si="615"/>
        <v>0.55204651529599025</v>
      </c>
      <c r="Y627" s="220" t="s">
        <v>1666</v>
      </c>
      <c r="Z627" s="220" t="str">
        <f t="shared" ref="Z627:AA627" si="691">Y627</f>
        <v>*</v>
      </c>
      <c r="AA627" s="792" t="str">
        <f t="shared" si="691"/>
        <v>*</v>
      </c>
      <c r="AB627" s="18" t="s">
        <v>1666</v>
      </c>
      <c r="AC627" s="13" t="str">
        <f t="shared" ref="AC627:AH627" si="692">AB627</f>
        <v>*</v>
      </c>
      <c r="AD627" s="13" t="str">
        <f t="shared" si="692"/>
        <v>*</v>
      </c>
      <c r="AE627" s="454" t="str">
        <f t="shared" si="692"/>
        <v>*</v>
      </c>
      <c r="AF627" s="454" t="str">
        <f t="shared" si="692"/>
        <v>*</v>
      </c>
      <c r="AG627" s="454" t="str">
        <f t="shared" si="692"/>
        <v>*</v>
      </c>
      <c r="AH627" s="454" t="str">
        <f t="shared" si="692"/>
        <v>*</v>
      </c>
    </row>
    <row r="628" spans="1:34" ht="14.25">
      <c r="A628" s="14" t="s">
        <v>4098</v>
      </c>
      <c r="B628" s="24" t="s">
        <v>2668</v>
      </c>
      <c r="C628" s="14" t="s">
        <v>2685</v>
      </c>
      <c r="D628" s="14" t="s">
        <v>2911</v>
      </c>
      <c r="E628" s="14" t="s">
        <v>4099</v>
      </c>
      <c r="F628" s="13">
        <v>32.67</v>
      </c>
      <c r="G628" s="14" t="s">
        <v>4082</v>
      </c>
      <c r="H628" s="13">
        <v>18064</v>
      </c>
      <c r="I628" s="655" t="s">
        <v>4108</v>
      </c>
      <c r="J628" s="14" t="s">
        <v>4109</v>
      </c>
      <c r="K628" s="478">
        <f t="shared" si="680"/>
        <v>0.10891089108910891</v>
      </c>
      <c r="L628" s="220">
        <v>4.4000000000000004</v>
      </c>
      <c r="M628" s="473" t="s">
        <v>4110</v>
      </c>
      <c r="N628" s="479" t="s">
        <v>2937</v>
      </c>
      <c r="O628" s="480" t="s">
        <v>2976</v>
      </c>
      <c r="P628" s="14" t="s">
        <v>2962</v>
      </c>
      <c r="Q628" s="14" t="s">
        <v>4112</v>
      </c>
      <c r="R628" s="14">
        <v>1.75</v>
      </c>
      <c r="S628" s="14">
        <f t="shared" si="556"/>
        <v>7.7000000000000013E-2</v>
      </c>
      <c r="T628" s="487">
        <f>SUM(R621:R638)</f>
        <v>99.05</v>
      </c>
      <c r="U628">
        <f t="shared" si="554"/>
        <v>1.7667844522968199</v>
      </c>
      <c r="V628" s="220">
        <f>U628*100/SUM(U621:U622,U624:U638)</f>
        <v>2.5343953656770464</v>
      </c>
      <c r="W628" s="14" t="s">
        <v>425</v>
      </c>
      <c r="X628">
        <f t="shared" si="615"/>
        <v>0.27602325764799512</v>
      </c>
      <c r="Y628" s="220" t="s">
        <v>1666</v>
      </c>
      <c r="Z628" s="220" t="s">
        <v>1666</v>
      </c>
      <c r="AA628" s="792" t="str">
        <f>Z628</f>
        <v>*</v>
      </c>
      <c r="AB628" s="18" t="s">
        <v>1666</v>
      </c>
      <c r="AC628" s="13" t="str">
        <f t="shared" ref="AC628:AH628" si="693">AB628</f>
        <v>*</v>
      </c>
      <c r="AD628" s="13" t="str">
        <f t="shared" si="693"/>
        <v>*</v>
      </c>
      <c r="AE628" s="454" t="str">
        <f t="shared" si="693"/>
        <v>*</v>
      </c>
      <c r="AF628" s="454" t="str">
        <f t="shared" si="693"/>
        <v>*</v>
      </c>
      <c r="AG628" s="454" t="str">
        <f t="shared" si="693"/>
        <v>*</v>
      </c>
      <c r="AH628" s="454" t="str">
        <f t="shared" si="693"/>
        <v>*</v>
      </c>
    </row>
    <row r="629" spans="1:34" ht="14.25">
      <c r="A629" s="14" t="s">
        <v>4098</v>
      </c>
      <c r="B629" s="24" t="s">
        <v>2668</v>
      </c>
      <c r="C629" s="14" t="s">
        <v>2685</v>
      </c>
      <c r="D629" s="14" t="s">
        <v>2911</v>
      </c>
      <c r="E629" s="14" t="s">
        <v>4099</v>
      </c>
      <c r="F629" s="13">
        <v>32.67</v>
      </c>
      <c r="G629" s="14" t="s">
        <v>4082</v>
      </c>
      <c r="H629" s="13">
        <v>18064</v>
      </c>
      <c r="I629" s="655" t="s">
        <v>4108</v>
      </c>
      <c r="J629" s="14" t="s">
        <v>4109</v>
      </c>
      <c r="K629" s="478">
        <f t="shared" si="680"/>
        <v>0.10891089108910891</v>
      </c>
      <c r="L629" s="220">
        <v>4.4000000000000004</v>
      </c>
      <c r="M629" s="473" t="s">
        <v>4110</v>
      </c>
      <c r="N629" s="479" t="s">
        <v>2937</v>
      </c>
      <c r="O629" s="480" t="s">
        <v>2976</v>
      </c>
      <c r="P629" s="14" t="s">
        <v>3021</v>
      </c>
      <c r="Q629" s="486" t="s">
        <v>3022</v>
      </c>
      <c r="R629" s="14">
        <v>1.3</v>
      </c>
      <c r="S629" s="14">
        <f t="shared" si="556"/>
        <v>5.7200000000000008E-2</v>
      </c>
      <c r="T629" s="487">
        <f>SUM(R621:R638)</f>
        <v>99.05</v>
      </c>
      <c r="U629">
        <f t="shared" si="554"/>
        <v>1.3124684502776376</v>
      </c>
      <c r="V629" s="220">
        <f>U629*100/SUM(U621:U622,U624:U638)</f>
        <v>1.8826937002172344</v>
      </c>
      <c r="W629" s="14" t="s">
        <v>346</v>
      </c>
      <c r="X629">
        <f t="shared" si="615"/>
        <v>0.20504584853851068</v>
      </c>
      <c r="Y629" s="220" t="s">
        <v>1666</v>
      </c>
      <c r="Z629" s="220" t="str">
        <f t="shared" ref="Z629:AA629" si="694">Y629</f>
        <v>*</v>
      </c>
      <c r="AA629" s="792" t="str">
        <f t="shared" si="694"/>
        <v>*</v>
      </c>
      <c r="AB629" s="18" t="s">
        <v>1666</v>
      </c>
      <c r="AC629" s="13" t="str">
        <f t="shared" ref="AC629:AH629" si="695">AB629</f>
        <v>*</v>
      </c>
      <c r="AD629" s="13" t="str">
        <f t="shared" si="695"/>
        <v>*</v>
      </c>
      <c r="AE629" s="454" t="str">
        <f t="shared" si="695"/>
        <v>*</v>
      </c>
      <c r="AF629" s="454" t="str">
        <f t="shared" si="695"/>
        <v>*</v>
      </c>
      <c r="AG629" s="454" t="str">
        <f t="shared" si="695"/>
        <v>*</v>
      </c>
      <c r="AH629" s="454" t="str">
        <f t="shared" si="695"/>
        <v>*</v>
      </c>
    </row>
    <row r="630" spans="1:34" ht="14.25">
      <c r="A630" s="14" t="s">
        <v>4098</v>
      </c>
      <c r="B630" s="24" t="s">
        <v>2668</v>
      </c>
      <c r="C630" s="14" t="s">
        <v>2685</v>
      </c>
      <c r="D630" s="14" t="s">
        <v>2911</v>
      </c>
      <c r="E630" s="14" t="s">
        <v>4099</v>
      </c>
      <c r="F630" s="13">
        <v>32.67</v>
      </c>
      <c r="G630" s="14" t="s">
        <v>4082</v>
      </c>
      <c r="H630" s="13">
        <v>18064</v>
      </c>
      <c r="I630" s="655" t="s">
        <v>4108</v>
      </c>
      <c r="J630" s="14" t="s">
        <v>4109</v>
      </c>
      <c r="K630" s="478">
        <f t="shared" si="680"/>
        <v>0.10891089108910891</v>
      </c>
      <c r="L630" s="220">
        <v>4.4000000000000004</v>
      </c>
      <c r="M630" s="473" t="s">
        <v>4110</v>
      </c>
      <c r="N630" s="479" t="s">
        <v>2937</v>
      </c>
      <c r="O630" s="480" t="s">
        <v>2976</v>
      </c>
      <c r="P630" s="14" t="s">
        <v>86</v>
      </c>
      <c r="Q630" s="14" t="s">
        <v>3442</v>
      </c>
      <c r="R630" s="14">
        <v>1</v>
      </c>
      <c r="S630" s="14">
        <f t="shared" si="556"/>
        <v>4.4000000000000004E-2</v>
      </c>
      <c r="T630" s="487">
        <f>SUM(R621:R638)</f>
        <v>99.05</v>
      </c>
      <c r="U630">
        <f t="shared" si="554"/>
        <v>1.0095911155981827</v>
      </c>
      <c r="V630" s="220">
        <f>U630*100/SUM(U621:U622,U624:U638)</f>
        <v>1.4482259232440264</v>
      </c>
      <c r="W630" s="14" t="s">
        <v>86</v>
      </c>
      <c r="X630">
        <f t="shared" si="615"/>
        <v>0.15772757579885435</v>
      </c>
      <c r="Y630" s="220" t="s">
        <v>1624</v>
      </c>
      <c r="Z630" s="220" t="s">
        <v>1666</v>
      </c>
      <c r="AA630" s="792" t="s">
        <v>1666</v>
      </c>
      <c r="AB630" s="18" t="s">
        <v>1666</v>
      </c>
      <c r="AC630" s="13" t="str">
        <f t="shared" ref="AC630:AH630" si="696">AB630</f>
        <v>*</v>
      </c>
      <c r="AD630" s="13" t="str">
        <f t="shared" si="696"/>
        <v>*</v>
      </c>
      <c r="AE630" s="454" t="str">
        <f t="shared" si="696"/>
        <v>*</v>
      </c>
      <c r="AF630" s="454" t="str">
        <f t="shared" si="696"/>
        <v>*</v>
      </c>
      <c r="AG630" s="454" t="str">
        <f t="shared" si="696"/>
        <v>*</v>
      </c>
      <c r="AH630" s="454" t="str">
        <f t="shared" si="696"/>
        <v>*</v>
      </c>
    </row>
    <row r="631" spans="1:34" ht="14.25">
      <c r="A631" s="14" t="s">
        <v>4098</v>
      </c>
      <c r="B631" s="24" t="s">
        <v>2668</v>
      </c>
      <c r="C631" s="14" t="s">
        <v>2685</v>
      </c>
      <c r="D631" s="14" t="s">
        <v>2911</v>
      </c>
      <c r="E631" s="14" t="s">
        <v>4099</v>
      </c>
      <c r="F631" s="13">
        <v>32.67</v>
      </c>
      <c r="G631" s="14" t="s">
        <v>4082</v>
      </c>
      <c r="H631" s="13">
        <v>18064</v>
      </c>
      <c r="I631" s="655" t="s">
        <v>4108</v>
      </c>
      <c r="J631" s="14" t="s">
        <v>4109</v>
      </c>
      <c r="K631" s="478">
        <f t="shared" si="680"/>
        <v>0.10891089108910891</v>
      </c>
      <c r="L631" s="220">
        <v>4.4000000000000004</v>
      </c>
      <c r="M631" s="473" t="s">
        <v>4110</v>
      </c>
      <c r="N631" s="479" t="s">
        <v>2937</v>
      </c>
      <c r="O631" s="480" t="s">
        <v>2976</v>
      </c>
      <c r="P631" s="655" t="s">
        <v>2977</v>
      </c>
      <c r="Q631" s="486" t="s">
        <v>4113</v>
      </c>
      <c r="R631" s="14">
        <v>1</v>
      </c>
      <c r="S631" s="14">
        <f t="shared" si="556"/>
        <v>4.4000000000000004E-2</v>
      </c>
      <c r="T631" s="487">
        <f>SUM(R621:R638)</f>
        <v>99.05</v>
      </c>
      <c r="U631">
        <f t="shared" si="554"/>
        <v>1.0095911155981827</v>
      </c>
      <c r="V631" s="220">
        <f>U631*100/SUM(U621:U622,U624:U638)</f>
        <v>1.4482259232440264</v>
      </c>
      <c r="W631" s="14" t="s">
        <v>227</v>
      </c>
      <c r="X631">
        <f t="shared" si="615"/>
        <v>0.15772757579885435</v>
      </c>
      <c r="Y631" s="220" t="s">
        <v>1666</v>
      </c>
      <c r="Z631" s="220" t="s">
        <v>1666</v>
      </c>
      <c r="AA631" s="792" t="str">
        <f>Z631</f>
        <v>*</v>
      </c>
      <c r="AB631" s="18" t="s">
        <v>1666</v>
      </c>
      <c r="AC631" s="13" t="str">
        <f t="shared" ref="AC631:AH631" si="697">AB631</f>
        <v>*</v>
      </c>
      <c r="AD631" s="13" t="str">
        <f t="shared" si="697"/>
        <v>*</v>
      </c>
      <c r="AE631" s="454" t="str">
        <f t="shared" si="697"/>
        <v>*</v>
      </c>
      <c r="AF631" s="454" t="str">
        <f t="shared" si="697"/>
        <v>*</v>
      </c>
      <c r="AG631" s="454" t="str">
        <f t="shared" si="697"/>
        <v>*</v>
      </c>
      <c r="AH631" s="454" t="str">
        <f t="shared" si="697"/>
        <v>*</v>
      </c>
    </row>
    <row r="632" spans="1:34" ht="14.25">
      <c r="A632" s="14" t="s">
        <v>4098</v>
      </c>
      <c r="B632" s="24" t="s">
        <v>2668</v>
      </c>
      <c r="C632" s="14" t="s">
        <v>2685</v>
      </c>
      <c r="D632" s="14" t="s">
        <v>2911</v>
      </c>
      <c r="E632" s="14" t="s">
        <v>4099</v>
      </c>
      <c r="F632" s="13">
        <v>32.67</v>
      </c>
      <c r="G632" s="14" t="s">
        <v>4082</v>
      </c>
      <c r="H632" s="13">
        <v>18064</v>
      </c>
      <c r="I632" s="655" t="s">
        <v>4108</v>
      </c>
      <c r="J632" s="14" t="s">
        <v>4109</v>
      </c>
      <c r="K632" s="478">
        <f t="shared" si="680"/>
        <v>0.10891089108910891</v>
      </c>
      <c r="L632" s="220">
        <v>4.4000000000000004</v>
      </c>
      <c r="M632" s="473" t="s">
        <v>4110</v>
      </c>
      <c r="N632" s="479" t="s">
        <v>2937</v>
      </c>
      <c r="O632" s="480" t="s">
        <v>2976</v>
      </c>
      <c r="P632" s="14" t="s">
        <v>432</v>
      </c>
      <c r="Q632" s="486" t="s">
        <v>3028</v>
      </c>
      <c r="R632" s="14">
        <v>1</v>
      </c>
      <c r="S632" s="14">
        <f t="shared" si="556"/>
        <v>4.4000000000000004E-2</v>
      </c>
      <c r="T632" s="487">
        <f>SUM(R621:R638)</f>
        <v>99.05</v>
      </c>
      <c r="U632">
        <f t="shared" si="554"/>
        <v>1.0095911155981827</v>
      </c>
      <c r="V632" s="220">
        <f>U632*100/SUM(U621:U622,U624:U638)</f>
        <v>1.4482259232440264</v>
      </c>
      <c r="W632" s="14" t="s">
        <v>432</v>
      </c>
      <c r="X632">
        <f t="shared" si="615"/>
        <v>0.15772757579885435</v>
      </c>
      <c r="Y632" s="220" t="s">
        <v>1666</v>
      </c>
      <c r="Z632" s="220" t="str">
        <f t="shared" ref="Z632:AA632" si="698">Y632</f>
        <v>*</v>
      </c>
      <c r="AA632" s="792" t="str">
        <f t="shared" si="698"/>
        <v>*</v>
      </c>
      <c r="AB632" s="18" t="s">
        <v>1666</v>
      </c>
      <c r="AC632" s="13" t="str">
        <f t="shared" ref="AC632:AH632" si="699">AB632</f>
        <v>*</v>
      </c>
      <c r="AD632" s="13" t="str">
        <f t="shared" si="699"/>
        <v>*</v>
      </c>
      <c r="AE632" s="454" t="str">
        <f t="shared" si="699"/>
        <v>*</v>
      </c>
      <c r="AF632" s="454" t="str">
        <f t="shared" si="699"/>
        <v>*</v>
      </c>
      <c r="AG632" s="454" t="str">
        <f t="shared" si="699"/>
        <v>*</v>
      </c>
      <c r="AH632" s="454" t="str">
        <f t="shared" si="699"/>
        <v>*</v>
      </c>
    </row>
    <row r="633" spans="1:34" ht="14.25">
      <c r="A633" s="14" t="s">
        <v>4098</v>
      </c>
      <c r="B633" s="24" t="s">
        <v>2668</v>
      </c>
      <c r="C633" s="14" t="s">
        <v>2685</v>
      </c>
      <c r="D633" s="14" t="s">
        <v>2911</v>
      </c>
      <c r="E633" s="14" t="s">
        <v>4099</v>
      </c>
      <c r="F633" s="13">
        <v>32.67</v>
      </c>
      <c r="G633" s="14" t="s">
        <v>4082</v>
      </c>
      <c r="H633" s="13">
        <v>18064</v>
      </c>
      <c r="I633" s="655" t="s">
        <v>4108</v>
      </c>
      <c r="J633" s="14" t="s">
        <v>4109</v>
      </c>
      <c r="K633" s="478">
        <f t="shared" si="680"/>
        <v>0.10891089108910891</v>
      </c>
      <c r="L633" s="220">
        <v>4.4000000000000004</v>
      </c>
      <c r="M633" s="473" t="s">
        <v>4110</v>
      </c>
      <c r="N633" s="479" t="s">
        <v>2937</v>
      </c>
      <c r="O633" s="480" t="s">
        <v>2976</v>
      </c>
      <c r="P633" s="14" t="s">
        <v>85</v>
      </c>
      <c r="Q633" s="10" t="s">
        <v>3171</v>
      </c>
      <c r="R633" s="14">
        <v>1</v>
      </c>
      <c r="S633" s="14">
        <f t="shared" si="556"/>
        <v>4.4000000000000004E-2</v>
      </c>
      <c r="T633" s="487">
        <f>SUM(R621:R638)</f>
        <v>99.05</v>
      </c>
      <c r="U633">
        <f t="shared" si="554"/>
        <v>1.0095911155981827</v>
      </c>
      <c r="V633" s="220">
        <f>U633*100/SUM(U621:U622,U624:U638)</f>
        <v>1.4482259232440264</v>
      </c>
      <c r="W633" s="14" t="s">
        <v>85</v>
      </c>
      <c r="X633">
        <f t="shared" si="615"/>
        <v>0.15772757579885435</v>
      </c>
      <c r="Y633" s="499">
        <f>SUM(X633,X657)</f>
        <v>0.3197069639217156</v>
      </c>
      <c r="Z633" s="220">
        <f t="shared" ref="Z633:AA633" si="700">Y633</f>
        <v>0.3197069639217156</v>
      </c>
      <c r="AA633" s="792">
        <f t="shared" si="700"/>
        <v>0.3197069639217156</v>
      </c>
      <c r="AB633" s="18" t="s">
        <v>85</v>
      </c>
      <c r="AC633" s="14" t="s">
        <v>18</v>
      </c>
      <c r="AD633" s="14" t="s">
        <v>3144</v>
      </c>
      <c r="AE633" s="12">
        <v>2.0262392565709405E-4</v>
      </c>
      <c r="AF633" s="12">
        <v>1.0885928720785719E-2</v>
      </c>
      <c r="AG633" s="12">
        <v>6.2837933649623454E-6</v>
      </c>
      <c r="AH633" s="12">
        <v>4.6142098112569087E-5</v>
      </c>
    </row>
    <row r="634" spans="1:34" ht="14.25">
      <c r="A634" s="14" t="s">
        <v>4098</v>
      </c>
      <c r="B634" s="24" t="s">
        <v>2668</v>
      </c>
      <c r="C634" s="14" t="s">
        <v>2685</v>
      </c>
      <c r="D634" s="14" t="s">
        <v>2911</v>
      </c>
      <c r="E634" s="14" t="s">
        <v>4099</v>
      </c>
      <c r="F634" s="13">
        <v>32.67</v>
      </c>
      <c r="G634" s="14" t="s">
        <v>4082</v>
      </c>
      <c r="H634" s="13">
        <v>18064</v>
      </c>
      <c r="I634" s="655" t="s">
        <v>4108</v>
      </c>
      <c r="J634" s="14" t="s">
        <v>4109</v>
      </c>
      <c r="K634" s="478">
        <f t="shared" si="680"/>
        <v>0.10891089108910891</v>
      </c>
      <c r="L634" s="220">
        <v>4.4000000000000004</v>
      </c>
      <c r="M634" s="473" t="s">
        <v>4110</v>
      </c>
      <c r="N634" s="479" t="s">
        <v>2937</v>
      </c>
      <c r="O634" s="480" t="s">
        <v>2976</v>
      </c>
      <c r="P634" s="14" t="s">
        <v>3072</v>
      </c>
      <c r="Q634" s="14" t="s">
        <v>3073</v>
      </c>
      <c r="R634" s="14">
        <v>0.5</v>
      </c>
      <c r="S634" s="14">
        <f t="shared" si="556"/>
        <v>2.2000000000000002E-2</v>
      </c>
      <c r="T634" s="487">
        <f>SUM(R621:R638)</f>
        <v>99.05</v>
      </c>
      <c r="U634">
        <f t="shared" si="554"/>
        <v>0.50479555779909135</v>
      </c>
      <c r="V634" s="220">
        <f>U634*100/SUM(U621:U622,U624:U638)</f>
        <v>0.72411296162201322</v>
      </c>
      <c r="W634" s="14" t="s">
        <v>343</v>
      </c>
      <c r="X634">
        <f t="shared" si="615"/>
        <v>7.8863787899427176E-2</v>
      </c>
      <c r="Y634" s="220" t="s">
        <v>1666</v>
      </c>
      <c r="Z634" s="220" t="str">
        <f t="shared" ref="Z634:AA634" si="701">Y634</f>
        <v>*</v>
      </c>
      <c r="AA634" s="792" t="str">
        <f t="shared" si="701"/>
        <v>*</v>
      </c>
      <c r="AB634" s="18" t="s">
        <v>1666</v>
      </c>
      <c r="AC634" s="13" t="str">
        <f t="shared" ref="AC634:AH634" si="702">AB634</f>
        <v>*</v>
      </c>
      <c r="AD634" s="13" t="str">
        <f t="shared" si="702"/>
        <v>*</v>
      </c>
      <c r="AE634" s="454" t="str">
        <f t="shared" si="702"/>
        <v>*</v>
      </c>
      <c r="AF634" s="454" t="str">
        <f t="shared" si="702"/>
        <v>*</v>
      </c>
      <c r="AG634" s="454" t="str">
        <f t="shared" si="702"/>
        <v>*</v>
      </c>
      <c r="AH634" s="454" t="str">
        <f t="shared" si="702"/>
        <v>*</v>
      </c>
    </row>
    <row r="635" spans="1:34" ht="14.25">
      <c r="A635" s="14" t="s">
        <v>4098</v>
      </c>
      <c r="B635" s="24" t="s">
        <v>2668</v>
      </c>
      <c r="C635" s="14" t="s">
        <v>2685</v>
      </c>
      <c r="D635" s="14" t="s">
        <v>2911</v>
      </c>
      <c r="E635" s="14" t="s">
        <v>4099</v>
      </c>
      <c r="F635" s="13">
        <v>32.67</v>
      </c>
      <c r="G635" s="14" t="s">
        <v>4082</v>
      </c>
      <c r="H635" s="13">
        <v>18064</v>
      </c>
      <c r="I635" s="655" t="s">
        <v>4108</v>
      </c>
      <c r="J635" s="14" t="s">
        <v>4109</v>
      </c>
      <c r="K635" s="478">
        <f t="shared" si="680"/>
        <v>0.10891089108910891</v>
      </c>
      <c r="L635" s="220">
        <v>4.4000000000000004</v>
      </c>
      <c r="M635" s="473" t="s">
        <v>4110</v>
      </c>
      <c r="N635" s="479" t="s">
        <v>2937</v>
      </c>
      <c r="O635" s="480" t="s">
        <v>2976</v>
      </c>
      <c r="P635" s="14" t="s">
        <v>2688</v>
      </c>
      <c r="Q635" s="14" t="s">
        <v>4114</v>
      </c>
      <c r="R635" s="14">
        <v>0.5</v>
      </c>
      <c r="S635" s="14">
        <f t="shared" si="556"/>
        <v>2.2000000000000002E-2</v>
      </c>
      <c r="T635" s="487">
        <f>SUM(R621:R638)</f>
        <v>99.05</v>
      </c>
      <c r="U635">
        <f t="shared" si="554"/>
        <v>0.50479555779909135</v>
      </c>
      <c r="V635" s="220">
        <f>U635*100/SUM(U621:U622,U624:U638)</f>
        <v>0.72411296162201322</v>
      </c>
      <c r="W635" s="14" t="s">
        <v>2688</v>
      </c>
      <c r="X635">
        <f t="shared" si="615"/>
        <v>7.8863787899427176E-2</v>
      </c>
      <c r="Y635" s="499">
        <f t="shared" ref="Y635:AA635" si="703">X635</f>
        <v>7.8863787899427176E-2</v>
      </c>
      <c r="Z635" s="220">
        <f t="shared" si="703"/>
        <v>7.8863787899427176E-2</v>
      </c>
      <c r="AA635" s="792">
        <f t="shared" si="703"/>
        <v>7.8863787899427176E-2</v>
      </c>
      <c r="AB635" s="18" t="s">
        <v>2688</v>
      </c>
      <c r="AC635" s="13" t="s">
        <v>4115</v>
      </c>
      <c r="AD635" s="13" t="s">
        <v>4116</v>
      </c>
      <c r="AE635" s="12">
        <v>3.2210986719999998E-3</v>
      </c>
      <c r="AF635" s="12">
        <v>3.9434345900000001E-2</v>
      </c>
      <c r="AG635" s="12">
        <v>2.4510000000000001E-3</v>
      </c>
      <c r="AH635" s="12">
        <v>9.0389601229999995E-4</v>
      </c>
    </row>
    <row r="636" spans="1:34" ht="14.25">
      <c r="A636" s="14" t="s">
        <v>4098</v>
      </c>
      <c r="B636" s="24" t="s">
        <v>2668</v>
      </c>
      <c r="C636" s="14" t="s">
        <v>2685</v>
      </c>
      <c r="D636" s="14" t="s">
        <v>2911</v>
      </c>
      <c r="E636" s="14" t="s">
        <v>4099</v>
      </c>
      <c r="F636" s="13">
        <v>32.67</v>
      </c>
      <c r="G636" s="14" t="s">
        <v>4082</v>
      </c>
      <c r="H636" s="13">
        <v>18064</v>
      </c>
      <c r="I636" s="655" t="s">
        <v>4108</v>
      </c>
      <c r="J636" s="14" t="s">
        <v>4109</v>
      </c>
      <c r="K636" s="478">
        <f t="shared" si="680"/>
        <v>0.10891089108910891</v>
      </c>
      <c r="L636" s="220">
        <v>4.4000000000000004</v>
      </c>
      <c r="M636" s="473" t="s">
        <v>4110</v>
      </c>
      <c r="N636" s="479" t="s">
        <v>2937</v>
      </c>
      <c r="O636" s="480" t="s">
        <v>2976</v>
      </c>
      <c r="P636" s="14" t="s">
        <v>2948</v>
      </c>
      <c r="Q636" s="14" t="s">
        <v>2949</v>
      </c>
      <c r="R636" s="14">
        <v>0.5</v>
      </c>
      <c r="S636" s="14">
        <f t="shared" si="556"/>
        <v>2.2000000000000002E-2</v>
      </c>
      <c r="T636" s="487">
        <f>SUM(R621:R638)</f>
        <v>99.05</v>
      </c>
      <c r="U636">
        <f t="shared" si="554"/>
        <v>0.50479555779909135</v>
      </c>
      <c r="V636" s="220">
        <f>U636*100/SUM(U621:U622,U624:U638)</f>
        <v>0.72411296162201322</v>
      </c>
      <c r="W636" s="14" t="s">
        <v>305</v>
      </c>
      <c r="X636">
        <f t="shared" si="615"/>
        <v>7.8863787899427176E-2</v>
      </c>
      <c r="Y636" s="220" t="s">
        <v>1666</v>
      </c>
      <c r="Z636" s="220" t="str">
        <f t="shared" ref="Z636:AA636" si="704">Y636</f>
        <v>*</v>
      </c>
      <c r="AA636" s="792" t="str">
        <f t="shared" si="704"/>
        <v>*</v>
      </c>
      <c r="AB636" s="18" t="s">
        <v>1666</v>
      </c>
      <c r="AC636" s="13" t="str">
        <f t="shared" ref="AC636:AH636" si="705">AB636</f>
        <v>*</v>
      </c>
      <c r="AD636" s="13" t="str">
        <f t="shared" si="705"/>
        <v>*</v>
      </c>
      <c r="AE636" s="454" t="str">
        <f t="shared" si="705"/>
        <v>*</v>
      </c>
      <c r="AF636" s="454" t="str">
        <f t="shared" si="705"/>
        <v>*</v>
      </c>
      <c r="AG636" s="454" t="str">
        <f t="shared" si="705"/>
        <v>*</v>
      </c>
      <c r="AH636" s="454" t="str">
        <f t="shared" si="705"/>
        <v>*</v>
      </c>
    </row>
    <row r="637" spans="1:34" ht="14.25">
      <c r="A637" s="14" t="s">
        <v>4098</v>
      </c>
      <c r="B637" s="24" t="s">
        <v>2668</v>
      </c>
      <c r="C637" s="14" t="s">
        <v>2685</v>
      </c>
      <c r="D637" s="14" t="s">
        <v>2911</v>
      </c>
      <c r="E637" s="14" t="s">
        <v>4099</v>
      </c>
      <c r="F637" s="13">
        <v>32.67</v>
      </c>
      <c r="G637" s="14" t="s">
        <v>4082</v>
      </c>
      <c r="H637" s="13">
        <v>18064</v>
      </c>
      <c r="I637" s="655" t="s">
        <v>4108</v>
      </c>
      <c r="J637" s="14" t="s">
        <v>4109</v>
      </c>
      <c r="K637" s="478">
        <f t="shared" si="680"/>
        <v>0.10891089108910891</v>
      </c>
      <c r="L637" s="220">
        <v>4.4000000000000004</v>
      </c>
      <c r="M637" s="473" t="s">
        <v>4110</v>
      </c>
      <c r="N637" s="479" t="s">
        <v>2937</v>
      </c>
      <c r="O637" s="480" t="s">
        <v>2976</v>
      </c>
      <c r="P637" s="14" t="s">
        <v>3051</v>
      </c>
      <c r="Q637" s="527" t="s">
        <v>4117</v>
      </c>
      <c r="R637" s="14">
        <v>0.5</v>
      </c>
      <c r="S637" s="14">
        <f t="shared" si="556"/>
        <v>2.2000000000000002E-2</v>
      </c>
      <c r="T637" s="487">
        <f>SUM(R621:R638)</f>
        <v>99.05</v>
      </c>
      <c r="U637">
        <f t="shared" si="554"/>
        <v>0.50479555779909135</v>
      </c>
      <c r="V637" s="220">
        <f>U637*100/SUM(U621:U622,U624:U638)</f>
        <v>0.72411296162201322</v>
      </c>
      <c r="W637" s="14" t="s">
        <v>2661</v>
      </c>
      <c r="X637">
        <f t="shared" si="615"/>
        <v>7.8863787899427176E-2</v>
      </c>
      <c r="Y637" s="499">
        <f>SUM(X637,X659,X638,X674,X695,X694)</f>
        <v>0.40473044949522935</v>
      </c>
      <c r="Z637" s="220">
        <f>SUM(X637,X659)</f>
        <v>0.14365554314857168</v>
      </c>
      <c r="AA637" s="792">
        <f t="shared" ref="AA637:AA638" si="706">Z637</f>
        <v>0.14365554314857168</v>
      </c>
      <c r="AB637" s="18" t="s">
        <v>2661</v>
      </c>
      <c r="AC637" s="13" t="s">
        <v>134</v>
      </c>
      <c r="AD637" s="13" t="s">
        <v>3053</v>
      </c>
      <c r="AE637" s="12">
        <v>3.0177940758293843E-3</v>
      </c>
      <c r="AF637" s="12">
        <v>8.8728561611374421E-3</v>
      </c>
      <c r="AG637" s="12">
        <v>5.9155383175355464E-5</v>
      </c>
      <c r="AH637" s="12">
        <v>5.56622037914692E-4</v>
      </c>
    </row>
    <row r="638" spans="1:34" ht="14.25">
      <c r="A638" s="14" t="s">
        <v>4098</v>
      </c>
      <c r="B638" s="24" t="s">
        <v>2668</v>
      </c>
      <c r="C638" s="14" t="s">
        <v>2685</v>
      </c>
      <c r="D638" s="14" t="s">
        <v>2911</v>
      </c>
      <c r="E638" s="14" t="s">
        <v>4099</v>
      </c>
      <c r="F638" s="13">
        <v>32.67</v>
      </c>
      <c r="G638" s="14" t="s">
        <v>4082</v>
      </c>
      <c r="H638" s="13">
        <v>18064</v>
      </c>
      <c r="I638" s="848" t="s">
        <v>4108</v>
      </c>
      <c r="J638" s="135" t="s">
        <v>4109</v>
      </c>
      <c r="K638" s="475">
        <f t="shared" si="680"/>
        <v>0.10891089108910891</v>
      </c>
      <c r="L638" s="476">
        <v>4.4000000000000004</v>
      </c>
      <c r="M638" s="492" t="s">
        <v>4110</v>
      </c>
      <c r="N638" s="493" t="s">
        <v>2937</v>
      </c>
      <c r="O638" s="494" t="s">
        <v>2976</v>
      </c>
      <c r="P638" s="135" t="s">
        <v>2994</v>
      </c>
      <c r="Q638" s="135" t="s">
        <v>2995</v>
      </c>
      <c r="R638" s="135">
        <v>0.5</v>
      </c>
      <c r="S638" s="135">
        <f t="shared" si="556"/>
        <v>2.2000000000000002E-2</v>
      </c>
      <c r="T638" s="854">
        <f>SUM(R621:R638)</f>
        <v>99.05</v>
      </c>
      <c r="U638" s="135">
        <f t="shared" si="554"/>
        <v>0.50479555779909135</v>
      </c>
      <c r="V638" s="476">
        <f>U638*100/SUM(U621:U622,U624:U638)</f>
        <v>0.72411296162201322</v>
      </c>
      <c r="W638" s="135" t="s">
        <v>121</v>
      </c>
      <c r="X638">
        <f t="shared" si="615"/>
        <v>7.8863787899427176E-2</v>
      </c>
      <c r="Y638" s="220" t="s">
        <v>1624</v>
      </c>
      <c r="Z638" s="220">
        <f>SUM(X638,X674,X695)</f>
        <v>0.22183716487105698</v>
      </c>
      <c r="AA638" s="792">
        <f t="shared" si="706"/>
        <v>0.22183716487105698</v>
      </c>
      <c r="AB638" s="18" t="s">
        <v>121</v>
      </c>
      <c r="AC638" s="13" t="s">
        <v>121</v>
      </c>
      <c r="AD638" s="13" t="s">
        <v>3016</v>
      </c>
      <c r="AE638" s="12">
        <v>4.1127278199052132E-2</v>
      </c>
      <c r="AF638" s="12">
        <v>0.12092157867298578</v>
      </c>
      <c r="AG638" s="12">
        <v>8.0618486208530824E-4</v>
      </c>
      <c r="AH638" s="12">
        <v>7.5857890995260661E-3</v>
      </c>
    </row>
    <row r="639" spans="1:34" ht="12.75">
      <c r="A639" s="14" t="s">
        <v>4098</v>
      </c>
      <c r="B639" s="24" t="s">
        <v>2668</v>
      </c>
      <c r="C639" s="14" t="s">
        <v>2685</v>
      </c>
      <c r="D639" s="14" t="s">
        <v>2911</v>
      </c>
      <c r="E639" s="14" t="s">
        <v>4099</v>
      </c>
      <c r="F639" s="13">
        <v>32.67</v>
      </c>
      <c r="G639" s="14" t="s">
        <v>4082</v>
      </c>
      <c r="H639" s="13">
        <v>18064</v>
      </c>
      <c r="I639" s="655" t="s">
        <v>4118</v>
      </c>
      <c r="J639" s="14" t="s">
        <v>4119</v>
      </c>
      <c r="K639" s="478">
        <f t="shared" ref="K639:K663" si="707">48/101</f>
        <v>0.47524752475247523</v>
      </c>
      <c r="L639" s="220">
        <v>15.36</v>
      </c>
      <c r="M639" s="473" t="s">
        <v>4120</v>
      </c>
      <c r="N639" s="473"/>
      <c r="O639" s="480"/>
      <c r="P639" s="655" t="s">
        <v>3978</v>
      </c>
      <c r="Q639" s="486" t="s">
        <v>3979</v>
      </c>
      <c r="R639" s="14">
        <v>58</v>
      </c>
      <c r="S639" s="14">
        <f t="shared" si="556"/>
        <v>8.9087999999999994</v>
      </c>
      <c r="T639" s="487">
        <f>SUM(R639:R663)</f>
        <v>103.34999999999997</v>
      </c>
      <c r="U639">
        <f t="shared" si="554"/>
        <v>56.119980648282557</v>
      </c>
      <c r="V639" s="220">
        <f>U639*100/SUM(U639,U641:U663)</f>
        <v>79.07293796864343</v>
      </c>
      <c r="W639" s="14" t="s">
        <v>1164</v>
      </c>
      <c r="X639">
        <f t="shared" si="615"/>
        <v>37.579218044503804</v>
      </c>
      <c r="Y639" s="220" t="s">
        <v>1666</v>
      </c>
      <c r="Z639" s="220" t="str">
        <f t="shared" ref="Z639:AA639" si="708">Y639</f>
        <v>*</v>
      </c>
      <c r="AA639" s="792" t="str">
        <f t="shared" si="708"/>
        <v>*</v>
      </c>
      <c r="AB639" s="18" t="s">
        <v>1666</v>
      </c>
      <c r="AC639" s="13" t="str">
        <f t="shared" ref="AC639:AH639" si="709">AB639</f>
        <v>*</v>
      </c>
      <c r="AD639" s="13" t="str">
        <f t="shared" si="709"/>
        <v>*</v>
      </c>
      <c r="AE639" s="454" t="str">
        <f t="shared" si="709"/>
        <v>*</v>
      </c>
      <c r="AF639" s="454" t="str">
        <f t="shared" si="709"/>
        <v>*</v>
      </c>
      <c r="AG639" s="454" t="str">
        <f t="shared" si="709"/>
        <v>*</v>
      </c>
      <c r="AH639" s="454" t="str">
        <f t="shared" si="709"/>
        <v>*</v>
      </c>
    </row>
    <row r="640" spans="1:34" ht="12.75">
      <c r="A640" s="14" t="s">
        <v>4098</v>
      </c>
      <c r="B640" s="24" t="s">
        <v>2668</v>
      </c>
      <c r="C640" s="14" t="s">
        <v>2685</v>
      </c>
      <c r="D640" s="14" t="s">
        <v>2911</v>
      </c>
      <c r="E640" s="14" t="s">
        <v>4099</v>
      </c>
      <c r="F640" s="13">
        <v>32.67</v>
      </c>
      <c r="G640" s="14" t="s">
        <v>4082</v>
      </c>
      <c r="H640" s="13">
        <v>18064</v>
      </c>
      <c r="I640" s="655" t="s">
        <v>4118</v>
      </c>
      <c r="J640" s="14" t="s">
        <v>4119</v>
      </c>
      <c r="K640" s="478">
        <f t="shared" si="707"/>
        <v>0.47524752475247523</v>
      </c>
      <c r="L640" s="220">
        <v>15.36</v>
      </c>
      <c r="M640" s="473" t="s">
        <v>4120</v>
      </c>
      <c r="N640" s="473"/>
      <c r="O640" s="480"/>
      <c r="P640" s="14" t="s">
        <v>2938</v>
      </c>
      <c r="Q640" s="435" t="s">
        <v>2939</v>
      </c>
      <c r="R640" s="14">
        <v>30</v>
      </c>
      <c r="S640" s="14">
        <f t="shared" si="556"/>
        <v>4.6079999999999997</v>
      </c>
      <c r="T640" s="487">
        <f>SUM(R639:R663)</f>
        <v>103.34999999999997</v>
      </c>
      <c r="U640">
        <f t="shared" si="554"/>
        <v>29.027576197387528</v>
      </c>
      <c r="V640" s="481">
        <f>U640</f>
        <v>29.027576197387528</v>
      </c>
      <c r="W640" s="482" t="s">
        <v>72</v>
      </c>
      <c r="X640" s="482">
        <f t="shared" si="615"/>
        <v>13.795283737372291</v>
      </c>
      <c r="Y640" s="220" t="s">
        <v>1666</v>
      </c>
      <c r="Z640" s="220" t="str">
        <f t="shared" ref="Z640:AA640" si="710">Y640</f>
        <v>*</v>
      </c>
      <c r="AA640" s="792" t="str">
        <f t="shared" si="710"/>
        <v>*</v>
      </c>
      <c r="AB640" s="18" t="s">
        <v>1666</v>
      </c>
      <c r="AC640" s="13" t="str">
        <f t="shared" ref="AC640:AH640" si="711">AB640</f>
        <v>*</v>
      </c>
      <c r="AD640" s="13" t="str">
        <f t="shared" si="711"/>
        <v>*</v>
      </c>
      <c r="AE640" s="454" t="str">
        <f t="shared" si="711"/>
        <v>*</v>
      </c>
      <c r="AF640" s="454" t="str">
        <f t="shared" si="711"/>
        <v>*</v>
      </c>
      <c r="AG640" s="454" t="str">
        <f t="shared" si="711"/>
        <v>*</v>
      </c>
      <c r="AH640" s="454" t="str">
        <f t="shared" si="711"/>
        <v>*</v>
      </c>
    </row>
    <row r="641" spans="1:34" ht="12.75">
      <c r="A641" s="14" t="s">
        <v>4098</v>
      </c>
      <c r="B641" s="24" t="s">
        <v>2668</v>
      </c>
      <c r="C641" s="14" t="s">
        <v>2685</v>
      </c>
      <c r="D641" s="14" t="s">
        <v>2911</v>
      </c>
      <c r="E641" s="14" t="s">
        <v>4099</v>
      </c>
      <c r="F641" s="13">
        <v>32.67</v>
      </c>
      <c r="G641" s="14" t="s">
        <v>4082</v>
      </c>
      <c r="H641" s="13">
        <v>18064</v>
      </c>
      <c r="I641" s="655" t="s">
        <v>4118</v>
      </c>
      <c r="J641" s="14" t="s">
        <v>4119</v>
      </c>
      <c r="K641" s="478">
        <f t="shared" si="707"/>
        <v>0.47524752475247523</v>
      </c>
      <c r="L641" s="220">
        <v>15.36</v>
      </c>
      <c r="M641" s="473" t="s">
        <v>4120</v>
      </c>
      <c r="N641" s="473"/>
      <c r="O641" s="480"/>
      <c r="P641" s="14" t="s">
        <v>3865</v>
      </c>
      <c r="Q641" s="553" t="s">
        <v>4094</v>
      </c>
      <c r="R641" s="14">
        <v>6</v>
      </c>
      <c r="S641" s="14">
        <f t="shared" si="556"/>
        <v>0.92159999999999997</v>
      </c>
      <c r="T641" s="487">
        <f>SUM(R639:R663)</f>
        <v>103.34999999999997</v>
      </c>
      <c r="U641">
        <f t="shared" si="554"/>
        <v>5.8055152394775051</v>
      </c>
      <c r="V641" s="220">
        <f>U641*100/SUM(U639,U641:U663)</f>
        <v>8.1799591002044938</v>
      </c>
      <c r="W641" s="14" t="s">
        <v>1165</v>
      </c>
      <c r="X641">
        <f t="shared" si="615"/>
        <v>3.8875053149486702</v>
      </c>
      <c r="Y641" s="220" t="s">
        <v>1666</v>
      </c>
      <c r="Z641" s="220" t="str">
        <f t="shared" ref="Z641:AA641" si="712">Y641</f>
        <v>*</v>
      </c>
      <c r="AA641" s="792" t="str">
        <f t="shared" si="712"/>
        <v>*</v>
      </c>
      <c r="AB641" s="18" t="s">
        <v>1666</v>
      </c>
      <c r="AC641" s="13" t="str">
        <f t="shared" ref="AC641:AH641" si="713">AB641</f>
        <v>*</v>
      </c>
      <c r="AD641" s="13" t="str">
        <f t="shared" si="713"/>
        <v>*</v>
      </c>
      <c r="AE641" s="454" t="str">
        <f t="shared" si="713"/>
        <v>*</v>
      </c>
      <c r="AF641" s="454" t="str">
        <f t="shared" si="713"/>
        <v>*</v>
      </c>
      <c r="AG641" s="454" t="str">
        <f t="shared" si="713"/>
        <v>*</v>
      </c>
      <c r="AH641" s="454" t="str">
        <f t="shared" si="713"/>
        <v>*</v>
      </c>
    </row>
    <row r="642" spans="1:34" ht="12.75">
      <c r="A642" s="14" t="s">
        <v>4098</v>
      </c>
      <c r="B642" s="24" t="s">
        <v>2668</v>
      </c>
      <c r="C642" s="14" t="s">
        <v>2685</v>
      </c>
      <c r="D642" s="14" t="s">
        <v>2911</v>
      </c>
      <c r="E642" s="14" t="s">
        <v>4099</v>
      </c>
      <c r="F642" s="13">
        <v>32.67</v>
      </c>
      <c r="G642" s="14" t="s">
        <v>4082</v>
      </c>
      <c r="H642" s="13">
        <v>18064</v>
      </c>
      <c r="I642" s="655" t="s">
        <v>4118</v>
      </c>
      <c r="J642" s="14" t="s">
        <v>4119</v>
      </c>
      <c r="K642" s="478">
        <f t="shared" si="707"/>
        <v>0.47524752475247523</v>
      </c>
      <c r="L642" s="220">
        <v>15.36</v>
      </c>
      <c r="M642" s="473" t="s">
        <v>4120</v>
      </c>
      <c r="N642" s="473"/>
      <c r="O642" s="480"/>
      <c r="P642" s="14" t="s">
        <v>2962</v>
      </c>
      <c r="Q642" s="435" t="s">
        <v>2963</v>
      </c>
      <c r="R642" s="14">
        <v>3</v>
      </c>
      <c r="S642" s="14">
        <f t="shared" si="556"/>
        <v>0.46079999999999999</v>
      </c>
      <c r="T642" s="487">
        <f>SUM(R639:R663)</f>
        <v>103.34999999999997</v>
      </c>
      <c r="U642">
        <f t="shared" si="554"/>
        <v>2.9027576197387526</v>
      </c>
      <c r="V642" s="220">
        <f>U642*100/SUM(U639,U641:U663)</f>
        <v>4.0899795501022469</v>
      </c>
      <c r="W642" s="14" t="s">
        <v>425</v>
      </c>
      <c r="X642">
        <f t="shared" si="615"/>
        <v>1.9437526574743351</v>
      </c>
      <c r="Y642" s="220" t="s">
        <v>1666</v>
      </c>
      <c r="Z642" s="220" t="str">
        <f t="shared" ref="Z642:AA642" si="714">Y642</f>
        <v>*</v>
      </c>
      <c r="AA642" s="792" t="str">
        <f t="shared" si="714"/>
        <v>*</v>
      </c>
      <c r="AB642" s="18" t="s">
        <v>1666</v>
      </c>
      <c r="AC642" s="13" t="str">
        <f t="shared" ref="AC642:AH642" si="715">AB642</f>
        <v>*</v>
      </c>
      <c r="AD642" s="13" t="str">
        <f t="shared" si="715"/>
        <v>*</v>
      </c>
      <c r="AE642" s="454" t="str">
        <f t="shared" si="715"/>
        <v>*</v>
      </c>
      <c r="AF642" s="454" t="str">
        <f t="shared" si="715"/>
        <v>*</v>
      </c>
      <c r="AG642" s="454" t="str">
        <f t="shared" si="715"/>
        <v>*</v>
      </c>
      <c r="AH642" s="454" t="str">
        <f t="shared" si="715"/>
        <v>*</v>
      </c>
    </row>
    <row r="643" spans="1:34" ht="12.75">
      <c r="A643" s="14" t="s">
        <v>4098</v>
      </c>
      <c r="B643" s="24" t="s">
        <v>2668</v>
      </c>
      <c r="C643" s="14" t="s">
        <v>2685</v>
      </c>
      <c r="D643" s="14" t="s">
        <v>2911</v>
      </c>
      <c r="E643" s="14" t="s">
        <v>4099</v>
      </c>
      <c r="F643" s="13">
        <v>32.67</v>
      </c>
      <c r="G643" s="14" t="s">
        <v>4082</v>
      </c>
      <c r="H643" s="13">
        <v>18064</v>
      </c>
      <c r="I643" s="655" t="s">
        <v>4118</v>
      </c>
      <c r="J643" s="14" t="s">
        <v>4119</v>
      </c>
      <c r="K643" s="478">
        <f t="shared" si="707"/>
        <v>0.47524752475247523</v>
      </c>
      <c r="L643" s="220">
        <v>15.36</v>
      </c>
      <c r="M643" s="473" t="s">
        <v>4120</v>
      </c>
      <c r="N643" s="473"/>
      <c r="O643" s="480"/>
      <c r="P643" s="14" t="s">
        <v>2945</v>
      </c>
      <c r="Q643" s="10" t="s">
        <v>2946</v>
      </c>
      <c r="R643" s="14">
        <v>2.25</v>
      </c>
      <c r="S643" s="14">
        <f t="shared" si="556"/>
        <v>0.34559999999999996</v>
      </c>
      <c r="T643" s="487">
        <f>SUM(R639:R663)</f>
        <v>103.34999999999997</v>
      </c>
      <c r="U643">
        <f t="shared" si="554"/>
        <v>2.1770682148040645</v>
      </c>
      <c r="V643" s="220">
        <f>U643*100/SUM(U639,U641:U663)</f>
        <v>3.067484662576685</v>
      </c>
      <c r="W643" s="14" t="s">
        <v>433</v>
      </c>
      <c r="X643">
        <f t="shared" si="615"/>
        <v>1.4578144931057513</v>
      </c>
      <c r="Y643" s="220" t="s">
        <v>1666</v>
      </c>
      <c r="Z643" s="220" t="str">
        <f t="shared" ref="Z643:AA643" si="716">Y643</f>
        <v>*</v>
      </c>
      <c r="AA643" s="792" t="str">
        <f t="shared" si="716"/>
        <v>*</v>
      </c>
      <c r="AB643" s="18" t="s">
        <v>1666</v>
      </c>
      <c r="AC643" s="13" t="str">
        <f t="shared" ref="AC643:AH643" si="717">AB643</f>
        <v>*</v>
      </c>
      <c r="AD643" s="13" t="str">
        <f t="shared" si="717"/>
        <v>*</v>
      </c>
      <c r="AE643" s="454" t="str">
        <f t="shared" si="717"/>
        <v>*</v>
      </c>
      <c r="AF643" s="454" t="str">
        <f t="shared" si="717"/>
        <v>*</v>
      </c>
      <c r="AG643" s="454" t="str">
        <f t="shared" si="717"/>
        <v>*</v>
      </c>
      <c r="AH643" s="454" t="str">
        <f t="shared" si="717"/>
        <v>*</v>
      </c>
    </row>
    <row r="644" spans="1:34" ht="12.75">
      <c r="A644" s="14" t="s">
        <v>4098</v>
      </c>
      <c r="B644" s="24" t="s">
        <v>2668</v>
      </c>
      <c r="C644" s="14" t="s">
        <v>2685</v>
      </c>
      <c r="D644" s="14" t="s">
        <v>2911</v>
      </c>
      <c r="E644" s="14" t="s">
        <v>4099</v>
      </c>
      <c r="F644" s="13">
        <v>32.67</v>
      </c>
      <c r="G644" s="14" t="s">
        <v>4082</v>
      </c>
      <c r="H644" s="13">
        <v>18064</v>
      </c>
      <c r="I644" s="655" t="s">
        <v>4118</v>
      </c>
      <c r="J644" s="14" t="s">
        <v>4119</v>
      </c>
      <c r="K644" s="478">
        <f t="shared" si="707"/>
        <v>0.47524752475247523</v>
      </c>
      <c r="L644" s="220">
        <v>15.36</v>
      </c>
      <c r="M644" s="473" t="s">
        <v>4120</v>
      </c>
      <c r="N644" s="473"/>
      <c r="O644" s="480"/>
      <c r="P644" s="14" t="s">
        <v>86</v>
      </c>
      <c r="Q644" s="14" t="s">
        <v>3442</v>
      </c>
      <c r="R644" s="14">
        <v>1</v>
      </c>
      <c r="S644" s="14">
        <f t="shared" si="556"/>
        <v>0.15359999999999999</v>
      </c>
      <c r="T644" s="487">
        <f>SUM(R639:R663)</f>
        <v>103.34999999999997</v>
      </c>
      <c r="U644">
        <f t="shared" si="554"/>
        <v>0.96758587324625089</v>
      </c>
      <c r="V644" s="220">
        <f>U644*100/SUM(U639,U641:U663)</f>
        <v>1.3633265167007487</v>
      </c>
      <c r="W644" s="14" t="s">
        <v>86</v>
      </c>
      <c r="X644">
        <f t="shared" si="615"/>
        <v>0.64791755249144489</v>
      </c>
      <c r="Y644" s="220" t="s">
        <v>1624</v>
      </c>
      <c r="Z644" s="220" t="s">
        <v>1666</v>
      </c>
      <c r="AA644" s="792" t="str">
        <f>Z644</f>
        <v>*</v>
      </c>
      <c r="AB644" s="18" t="s">
        <v>1666</v>
      </c>
      <c r="AC644" s="13" t="str">
        <f t="shared" ref="AC644:AH644" si="718">AB644</f>
        <v>*</v>
      </c>
      <c r="AD644" s="13" t="str">
        <f t="shared" si="718"/>
        <v>*</v>
      </c>
      <c r="AE644" s="454" t="str">
        <f t="shared" si="718"/>
        <v>*</v>
      </c>
      <c r="AF644" s="454" t="str">
        <f t="shared" si="718"/>
        <v>*</v>
      </c>
      <c r="AG644" s="454" t="str">
        <f t="shared" si="718"/>
        <v>*</v>
      </c>
      <c r="AH644" s="454" t="str">
        <f t="shared" si="718"/>
        <v>*</v>
      </c>
    </row>
    <row r="645" spans="1:34" ht="12.75">
      <c r="A645" s="14" t="s">
        <v>4098</v>
      </c>
      <c r="B645" s="24" t="s">
        <v>2668</v>
      </c>
      <c r="C645" s="14" t="s">
        <v>2685</v>
      </c>
      <c r="D645" s="14" t="s">
        <v>2911</v>
      </c>
      <c r="E645" s="14" t="s">
        <v>4099</v>
      </c>
      <c r="F645" s="13">
        <v>32.67</v>
      </c>
      <c r="G645" s="14" t="s">
        <v>4082</v>
      </c>
      <c r="H645" s="13">
        <v>18064</v>
      </c>
      <c r="I645" s="655" t="s">
        <v>4118</v>
      </c>
      <c r="J645" s="14" t="s">
        <v>4119</v>
      </c>
      <c r="K645" s="478">
        <f t="shared" si="707"/>
        <v>0.47524752475247523</v>
      </c>
      <c r="L645" s="220">
        <v>15.36</v>
      </c>
      <c r="M645" s="473" t="s">
        <v>4120</v>
      </c>
      <c r="N645" s="473"/>
      <c r="O645" s="480"/>
      <c r="P645" s="489" t="s">
        <v>4121</v>
      </c>
      <c r="Q645" s="563" t="s">
        <v>4122</v>
      </c>
      <c r="R645" s="14">
        <f>0.35*0.72</f>
        <v>0.252</v>
      </c>
      <c r="S645" s="14">
        <f t="shared" si="556"/>
        <v>3.8707199999999997E-2</v>
      </c>
      <c r="T645" s="487">
        <f>SUM(R639:R663)</f>
        <v>103.34999999999997</v>
      </c>
      <c r="U645">
        <f t="shared" si="554"/>
        <v>0.24383164005805522</v>
      </c>
      <c r="V645" s="220">
        <f>U645*100/SUM(U639,U641:U663)</f>
        <v>0.34355828220858869</v>
      </c>
      <c r="W645" s="14" t="s">
        <v>346</v>
      </c>
      <c r="X645">
        <f t="shared" si="615"/>
        <v>0.16327522322784413</v>
      </c>
      <c r="Y645" s="220" t="s">
        <v>1666</v>
      </c>
      <c r="Z645" s="220" t="str">
        <f t="shared" ref="Z645:AA645" si="719">Y645</f>
        <v>*</v>
      </c>
      <c r="AA645" s="792" t="str">
        <f t="shared" si="719"/>
        <v>*</v>
      </c>
      <c r="AB645" s="18" t="s">
        <v>1666</v>
      </c>
      <c r="AC645" s="13" t="str">
        <f t="shared" ref="AC645:AH645" si="720">AB645</f>
        <v>*</v>
      </c>
      <c r="AD645" s="13" t="str">
        <f t="shared" si="720"/>
        <v>*</v>
      </c>
      <c r="AE645" s="454" t="str">
        <f t="shared" si="720"/>
        <v>*</v>
      </c>
      <c r="AF645" s="454" t="str">
        <f t="shared" si="720"/>
        <v>*</v>
      </c>
      <c r="AG645" s="454" t="str">
        <f t="shared" si="720"/>
        <v>*</v>
      </c>
      <c r="AH645" s="454" t="str">
        <f t="shared" si="720"/>
        <v>*</v>
      </c>
    </row>
    <row r="646" spans="1:34" ht="12.75">
      <c r="A646" s="14" t="s">
        <v>4098</v>
      </c>
      <c r="B646" s="24" t="s">
        <v>2668</v>
      </c>
      <c r="C646" s="14" t="s">
        <v>2685</v>
      </c>
      <c r="D646" s="14" t="s">
        <v>2911</v>
      </c>
      <c r="E646" s="14" t="s">
        <v>4099</v>
      </c>
      <c r="F646" s="13">
        <v>32.67</v>
      </c>
      <c r="G646" s="14" t="s">
        <v>4082</v>
      </c>
      <c r="H646" s="13">
        <v>18064</v>
      </c>
      <c r="I646" s="655" t="s">
        <v>4118</v>
      </c>
      <c r="J646" s="14" t="s">
        <v>4119</v>
      </c>
      <c r="K646" s="478">
        <f t="shared" si="707"/>
        <v>0.47524752475247523</v>
      </c>
      <c r="L646" s="220">
        <v>15.36</v>
      </c>
      <c r="M646" s="473" t="s">
        <v>4120</v>
      </c>
      <c r="N646" s="473"/>
      <c r="O646" s="480"/>
      <c r="P646" s="14" t="s">
        <v>4121</v>
      </c>
      <c r="Q646" s="486" t="s">
        <v>4123</v>
      </c>
      <c r="R646" s="14">
        <f>0.35*0.105</f>
        <v>3.6749999999999998E-2</v>
      </c>
      <c r="S646" s="14">
        <f t="shared" si="556"/>
        <v>5.6447999999999993E-3</v>
      </c>
      <c r="T646" s="487">
        <f>SUM(R639:R663)</f>
        <v>103.34999999999997</v>
      </c>
      <c r="U646">
        <f t="shared" si="554"/>
        <v>3.5558780841799718E-2</v>
      </c>
      <c r="V646" s="220">
        <f>U646*100/SUM(U639,U641:U663)</f>
        <v>5.0102249488752519E-2</v>
      </c>
      <c r="W646" s="14" t="s">
        <v>349</v>
      </c>
      <c r="X646">
        <f t="shared" si="615"/>
        <v>2.38109700540606E-2</v>
      </c>
      <c r="Y646" s="220" t="s">
        <v>1666</v>
      </c>
      <c r="Z646" s="220" t="str">
        <f t="shared" ref="Z646:AA646" si="721">Y646</f>
        <v>*</v>
      </c>
      <c r="AA646" s="792" t="str">
        <f t="shared" si="721"/>
        <v>*</v>
      </c>
      <c r="AB646" s="18" t="s">
        <v>1666</v>
      </c>
      <c r="AC646" s="13" t="str">
        <f t="shared" ref="AC646:AH646" si="722">AB646</f>
        <v>*</v>
      </c>
      <c r="AD646" s="13" t="str">
        <f t="shared" si="722"/>
        <v>*</v>
      </c>
      <c r="AE646" s="454" t="str">
        <f t="shared" si="722"/>
        <v>*</v>
      </c>
      <c r="AF646" s="454" t="str">
        <f t="shared" si="722"/>
        <v>*</v>
      </c>
      <c r="AG646" s="454" t="str">
        <f t="shared" si="722"/>
        <v>*</v>
      </c>
      <c r="AH646" s="454" t="str">
        <f t="shared" si="722"/>
        <v>*</v>
      </c>
    </row>
    <row r="647" spans="1:34" ht="12.75">
      <c r="A647" s="14" t="s">
        <v>4098</v>
      </c>
      <c r="B647" s="24" t="s">
        <v>2668</v>
      </c>
      <c r="C647" s="14" t="s">
        <v>2685</v>
      </c>
      <c r="D647" s="14" t="s">
        <v>2911</v>
      </c>
      <c r="E647" s="14" t="s">
        <v>4099</v>
      </c>
      <c r="F647" s="13">
        <v>32.67</v>
      </c>
      <c r="G647" s="14" t="s">
        <v>4082</v>
      </c>
      <c r="H647" s="13">
        <v>18064</v>
      </c>
      <c r="I647" s="655" t="s">
        <v>4118</v>
      </c>
      <c r="J647" s="14" t="s">
        <v>4119</v>
      </c>
      <c r="K647" s="478">
        <f t="shared" si="707"/>
        <v>0.47524752475247523</v>
      </c>
      <c r="L647" s="220">
        <v>15.36</v>
      </c>
      <c r="M647" s="473" t="s">
        <v>4120</v>
      </c>
      <c r="N647" s="473"/>
      <c r="O647" s="480"/>
      <c r="P647" s="14" t="s">
        <v>4121</v>
      </c>
      <c r="Q647" s="486" t="s">
        <v>4124</v>
      </c>
      <c r="R647" s="14">
        <f>0.35*0.09</f>
        <v>3.15E-2</v>
      </c>
      <c r="S647" s="14">
        <f t="shared" si="556"/>
        <v>4.8383999999999996E-3</v>
      </c>
      <c r="T647" s="487">
        <f>SUM(R639:R663)</f>
        <v>103.34999999999997</v>
      </c>
      <c r="U647">
        <f t="shared" si="554"/>
        <v>3.0478955007256902E-2</v>
      </c>
      <c r="V647" s="220">
        <f>U647*100/SUM(U639,U641:U663)</f>
        <v>4.2944785276073587E-2</v>
      </c>
      <c r="W647" s="14" t="s">
        <v>4125</v>
      </c>
      <c r="X647">
        <f t="shared" si="615"/>
        <v>2.0409402903480516E-2</v>
      </c>
      <c r="Y647" s="499">
        <f t="shared" ref="Y647:AA647" si="723">X647</f>
        <v>2.0409402903480516E-2</v>
      </c>
      <c r="Z647" s="220">
        <f t="shared" si="723"/>
        <v>2.0409402903480516E-2</v>
      </c>
      <c r="AA647" s="792">
        <f t="shared" si="723"/>
        <v>2.0409402903480516E-2</v>
      </c>
      <c r="AB647" s="18" t="s">
        <v>332</v>
      </c>
      <c r="AC647" s="13" t="s">
        <v>18</v>
      </c>
      <c r="AD647" s="13" t="s">
        <v>3144</v>
      </c>
      <c r="AE647" s="12">
        <v>2.3E-3</v>
      </c>
      <c r="AF647" s="12">
        <v>4.7879999999999999E-2</v>
      </c>
      <c r="AG647" s="12">
        <v>9.9999999999999995E-7</v>
      </c>
      <c r="AH647" s="12">
        <v>4.4092488403675551E-4</v>
      </c>
    </row>
    <row r="648" spans="1:34" ht="12.75">
      <c r="A648" s="14" t="s">
        <v>4098</v>
      </c>
      <c r="B648" s="24" t="s">
        <v>2668</v>
      </c>
      <c r="C648" s="14" t="s">
        <v>2685</v>
      </c>
      <c r="D648" s="14" t="s">
        <v>2911</v>
      </c>
      <c r="E648" s="14" t="s">
        <v>4099</v>
      </c>
      <c r="F648" s="13">
        <v>32.67</v>
      </c>
      <c r="G648" s="14" t="s">
        <v>4082</v>
      </c>
      <c r="H648" s="13">
        <v>18064</v>
      </c>
      <c r="I648" s="655" t="s">
        <v>4118</v>
      </c>
      <c r="J648" s="14" t="s">
        <v>4119</v>
      </c>
      <c r="K648" s="478">
        <f t="shared" si="707"/>
        <v>0.47524752475247523</v>
      </c>
      <c r="L648" s="220">
        <v>15.36</v>
      </c>
      <c r="M648" s="473" t="s">
        <v>4120</v>
      </c>
      <c r="N648" s="473"/>
      <c r="O648" s="480"/>
      <c r="P648" s="490" t="s">
        <v>4121</v>
      </c>
      <c r="Q648" s="491" t="s">
        <v>4126</v>
      </c>
      <c r="R648" s="14">
        <f>0.35*0.085</f>
        <v>2.9749999999999999E-2</v>
      </c>
      <c r="S648" s="14">
        <f t="shared" si="556"/>
        <v>4.5695999999999992E-3</v>
      </c>
      <c r="T648" s="487">
        <f>SUM(R639:R663)</f>
        <v>103.34999999999997</v>
      </c>
      <c r="U648">
        <f t="shared" si="554"/>
        <v>2.8785679729075961E-2</v>
      </c>
      <c r="V648" s="220">
        <f>U648*100/SUM(U639,U641:U663)</f>
        <v>4.0558963871847278E-2</v>
      </c>
      <c r="W648" s="14" t="s">
        <v>2521</v>
      </c>
      <c r="X648">
        <f t="shared" si="615"/>
        <v>1.9275547186620487E-2</v>
      </c>
      <c r="Y648" s="499">
        <f>SUM(X648,X650)</f>
        <v>0.1002652412480511</v>
      </c>
      <c r="Z648" s="220">
        <f t="shared" ref="Z648:AA648" si="724">Y648</f>
        <v>0.1002652412480511</v>
      </c>
      <c r="AA648" s="792">
        <f t="shared" si="724"/>
        <v>0.1002652412480511</v>
      </c>
      <c r="AB648" s="18" t="s">
        <v>324</v>
      </c>
      <c r="AC648" s="13" t="s">
        <v>18</v>
      </c>
      <c r="AD648" s="13" t="s">
        <v>3144</v>
      </c>
      <c r="AE648" s="12">
        <v>1.0652903141570055E-3</v>
      </c>
      <c r="AF648" s="12">
        <v>1.7273631840796021E-2</v>
      </c>
      <c r="AG648" s="12">
        <v>1.3582399999999999E-4</v>
      </c>
      <c r="AH648" s="12">
        <v>2.14E-3</v>
      </c>
    </row>
    <row r="649" spans="1:34" ht="12.75">
      <c r="A649" s="14" t="s">
        <v>4098</v>
      </c>
      <c r="B649" s="24" t="s">
        <v>2668</v>
      </c>
      <c r="C649" s="14" t="s">
        <v>2685</v>
      </c>
      <c r="D649" s="14" t="s">
        <v>2911</v>
      </c>
      <c r="E649" s="14" t="s">
        <v>4099</v>
      </c>
      <c r="F649" s="13">
        <v>32.67</v>
      </c>
      <c r="G649" s="14" t="s">
        <v>4082</v>
      </c>
      <c r="H649" s="13">
        <v>18064</v>
      </c>
      <c r="I649" s="655" t="s">
        <v>4118</v>
      </c>
      <c r="J649" s="14" t="s">
        <v>4119</v>
      </c>
      <c r="K649" s="478">
        <f t="shared" si="707"/>
        <v>0.47524752475247523</v>
      </c>
      <c r="L649" s="220">
        <v>15.36</v>
      </c>
      <c r="M649" s="473" t="s">
        <v>4120</v>
      </c>
      <c r="N649" s="473"/>
      <c r="O649" s="480"/>
      <c r="P649" s="14" t="s">
        <v>2980</v>
      </c>
      <c r="Q649" s="486" t="s">
        <v>4127</v>
      </c>
      <c r="R649" s="14">
        <f t="shared" ref="R649:R650" si="725">0.25/2</f>
        <v>0.125</v>
      </c>
      <c r="S649" s="14">
        <f t="shared" si="556"/>
        <v>1.9199999999999998E-2</v>
      </c>
      <c r="T649" s="487">
        <f>SUM(R639:R663)</f>
        <v>103.34999999999997</v>
      </c>
      <c r="U649">
        <f t="shared" si="554"/>
        <v>0.12094823415578136</v>
      </c>
      <c r="V649" s="220">
        <f>U649*100/SUM(U639,U641:U663)</f>
        <v>0.17041581458759358</v>
      </c>
      <c r="W649" s="14" t="s">
        <v>349</v>
      </c>
      <c r="X649">
        <f t="shared" si="615"/>
        <v>8.0989694061430612E-2</v>
      </c>
      <c r="Y649" s="220" t="s">
        <v>1666</v>
      </c>
      <c r="Z649" s="220" t="str">
        <f t="shared" ref="Z649:AA649" si="726">Y649</f>
        <v>*</v>
      </c>
      <c r="AA649" s="792" t="str">
        <f t="shared" si="726"/>
        <v>*</v>
      </c>
      <c r="AB649" s="18" t="s">
        <v>1666</v>
      </c>
      <c r="AC649" s="13" t="str">
        <f t="shared" ref="AC649:AH649" si="727">AB649</f>
        <v>*</v>
      </c>
      <c r="AD649" s="13" t="str">
        <f t="shared" si="727"/>
        <v>*</v>
      </c>
      <c r="AE649" s="454" t="str">
        <f t="shared" si="727"/>
        <v>*</v>
      </c>
      <c r="AF649" s="454" t="str">
        <f t="shared" si="727"/>
        <v>*</v>
      </c>
      <c r="AG649" s="454" t="str">
        <f t="shared" si="727"/>
        <v>*</v>
      </c>
      <c r="AH649" s="454" t="str">
        <f t="shared" si="727"/>
        <v>*</v>
      </c>
    </row>
    <row r="650" spans="1:34" ht="12.75">
      <c r="A650" s="14" t="s">
        <v>4098</v>
      </c>
      <c r="B650" s="24" t="s">
        <v>2668</v>
      </c>
      <c r="C650" s="14" t="s">
        <v>2685</v>
      </c>
      <c r="D650" s="14" t="s">
        <v>2911</v>
      </c>
      <c r="E650" s="14" t="s">
        <v>4099</v>
      </c>
      <c r="F650" s="13">
        <v>32.67</v>
      </c>
      <c r="G650" s="14" t="s">
        <v>4082</v>
      </c>
      <c r="H650" s="13">
        <v>18064</v>
      </c>
      <c r="I650" s="655" t="s">
        <v>4118</v>
      </c>
      <c r="J650" s="14" t="s">
        <v>4119</v>
      </c>
      <c r="K650" s="478">
        <f t="shared" si="707"/>
        <v>0.47524752475247523</v>
      </c>
      <c r="L650" s="220">
        <v>15.36</v>
      </c>
      <c r="M650" s="473" t="s">
        <v>4120</v>
      </c>
      <c r="N650" s="473"/>
      <c r="O650" s="480"/>
      <c r="P650" s="490" t="s">
        <v>2980</v>
      </c>
      <c r="Q650" s="491" t="s">
        <v>4128</v>
      </c>
      <c r="R650" s="14">
        <f t="shared" si="725"/>
        <v>0.125</v>
      </c>
      <c r="S650" s="14">
        <f t="shared" si="556"/>
        <v>1.9199999999999998E-2</v>
      </c>
      <c r="T650" s="487">
        <f>SUM(R639:R663)</f>
        <v>103.34999999999997</v>
      </c>
      <c r="U650">
        <f t="shared" si="554"/>
        <v>0.12094823415578136</v>
      </c>
      <c r="V650" s="220">
        <f>U650*100/SUM(U639,U641:U663)</f>
        <v>0.17041581458759358</v>
      </c>
      <c r="W650" s="14" t="s">
        <v>2521</v>
      </c>
      <c r="X650">
        <f t="shared" si="615"/>
        <v>8.0989694061430612E-2</v>
      </c>
      <c r="Y650" s="220" t="s">
        <v>1624</v>
      </c>
      <c r="Z650" s="220" t="s">
        <v>1666</v>
      </c>
      <c r="AA650" s="792" t="str">
        <f>Z650</f>
        <v>*</v>
      </c>
      <c r="AB650" s="18" t="s">
        <v>1666</v>
      </c>
      <c r="AC650" s="13" t="str">
        <f t="shared" ref="AC650:AH650" si="728">AB650</f>
        <v>*</v>
      </c>
      <c r="AD650" s="13" t="str">
        <f t="shared" si="728"/>
        <v>*</v>
      </c>
      <c r="AE650" s="454" t="str">
        <f t="shared" si="728"/>
        <v>*</v>
      </c>
      <c r="AF650" s="454" t="str">
        <f t="shared" si="728"/>
        <v>*</v>
      </c>
      <c r="AG650" s="454" t="str">
        <f t="shared" si="728"/>
        <v>*</v>
      </c>
      <c r="AH650" s="454" t="str">
        <f t="shared" si="728"/>
        <v>*</v>
      </c>
    </row>
    <row r="651" spans="1:34" ht="12.75">
      <c r="A651" s="14" t="s">
        <v>4098</v>
      </c>
      <c r="B651" s="24" t="s">
        <v>2668</v>
      </c>
      <c r="C651" s="14" t="s">
        <v>2685</v>
      </c>
      <c r="D651" s="14" t="s">
        <v>2911</v>
      </c>
      <c r="E651" s="14" t="s">
        <v>4099</v>
      </c>
      <c r="F651" s="13">
        <v>32.67</v>
      </c>
      <c r="G651" s="14" t="s">
        <v>4082</v>
      </c>
      <c r="H651" s="13">
        <v>18064</v>
      </c>
      <c r="I651" s="655" t="s">
        <v>4118</v>
      </c>
      <c r="J651" s="14" t="s">
        <v>4119</v>
      </c>
      <c r="K651" s="478">
        <f t="shared" si="707"/>
        <v>0.47524752475247523</v>
      </c>
      <c r="L651" s="220">
        <v>15.36</v>
      </c>
      <c r="M651" s="473" t="s">
        <v>4120</v>
      </c>
      <c r="N651" s="473"/>
      <c r="O651" s="480"/>
      <c r="P651" s="14" t="s">
        <v>3021</v>
      </c>
      <c r="Q651" s="486" t="s">
        <v>3022</v>
      </c>
      <c r="R651" s="14">
        <v>0.25</v>
      </c>
      <c r="S651" s="14">
        <f t="shared" si="556"/>
        <v>3.8399999999999997E-2</v>
      </c>
      <c r="T651" s="487">
        <f>SUM(R639:R663)</f>
        <v>103.34999999999997</v>
      </c>
      <c r="U651">
        <f t="shared" si="554"/>
        <v>0.24189646831156272</v>
      </c>
      <c r="V651" s="220">
        <f>U651*100/SUM(U639,U641:U663)</f>
        <v>0.34083162917518717</v>
      </c>
      <c r="W651" s="14" t="s">
        <v>346</v>
      </c>
      <c r="X651">
        <f t="shared" si="615"/>
        <v>0.16197938812286122</v>
      </c>
      <c r="Y651" s="220" t="s">
        <v>1666</v>
      </c>
      <c r="Z651" s="220" t="str">
        <f t="shared" ref="Z651:AA651" si="729">Y651</f>
        <v>*</v>
      </c>
      <c r="AA651" s="792" t="str">
        <f t="shared" si="729"/>
        <v>*</v>
      </c>
      <c r="AB651" s="18" t="s">
        <v>1666</v>
      </c>
      <c r="AC651" s="13" t="str">
        <f t="shared" ref="AC651:AH651" si="730">AB651</f>
        <v>*</v>
      </c>
      <c r="AD651" s="13" t="str">
        <f t="shared" si="730"/>
        <v>*</v>
      </c>
      <c r="AE651" s="454" t="str">
        <f t="shared" si="730"/>
        <v>*</v>
      </c>
      <c r="AF651" s="454" t="str">
        <f t="shared" si="730"/>
        <v>*</v>
      </c>
      <c r="AG651" s="454" t="str">
        <f t="shared" si="730"/>
        <v>*</v>
      </c>
      <c r="AH651" s="454" t="str">
        <f t="shared" si="730"/>
        <v>*</v>
      </c>
    </row>
    <row r="652" spans="1:34" ht="12.75">
      <c r="A652" s="14" t="s">
        <v>4098</v>
      </c>
      <c r="B652" s="24" t="s">
        <v>2668</v>
      </c>
      <c r="C652" s="14" t="s">
        <v>2685</v>
      </c>
      <c r="D652" s="14" t="s">
        <v>2911</v>
      </c>
      <c r="E652" s="14" t="s">
        <v>4099</v>
      </c>
      <c r="F652" s="13">
        <v>32.67</v>
      </c>
      <c r="G652" s="14" t="s">
        <v>4082</v>
      </c>
      <c r="H652" s="13">
        <v>18064</v>
      </c>
      <c r="I652" s="655" t="s">
        <v>4118</v>
      </c>
      <c r="J652" s="14" t="s">
        <v>4119</v>
      </c>
      <c r="K652" s="478">
        <f t="shared" si="707"/>
        <v>0.47524752475247523</v>
      </c>
      <c r="L652" s="220">
        <v>15.36</v>
      </c>
      <c r="M652" s="473" t="s">
        <v>4120</v>
      </c>
      <c r="N652" s="473"/>
      <c r="O652" s="480"/>
      <c r="P652" s="14" t="s">
        <v>1376</v>
      </c>
      <c r="Q652" s="486" t="s">
        <v>3114</v>
      </c>
      <c r="R652" s="14">
        <v>0.25</v>
      </c>
      <c r="S652" s="14">
        <f t="shared" si="556"/>
        <v>3.8399999999999997E-2</v>
      </c>
      <c r="T652" s="487">
        <f>SUM(R639:R663)</f>
        <v>103.34999999999997</v>
      </c>
      <c r="U652">
        <f t="shared" si="554"/>
        <v>0.24189646831156272</v>
      </c>
      <c r="V652" s="220">
        <f>U652*100/SUM(U639,U641:U663)</f>
        <v>0.34083162917518717</v>
      </c>
      <c r="W652" s="14" t="s">
        <v>1376</v>
      </c>
      <c r="X652">
        <f t="shared" si="615"/>
        <v>0.16197938812286122</v>
      </c>
      <c r="Y652" s="499">
        <f t="shared" ref="Y652:AA652" si="731">X652</f>
        <v>0.16197938812286122</v>
      </c>
      <c r="Z652" s="220">
        <f t="shared" si="731"/>
        <v>0.16197938812286122</v>
      </c>
      <c r="AA652" s="792">
        <f t="shared" si="731"/>
        <v>0.16197938812286122</v>
      </c>
      <c r="AB652" s="18" t="s">
        <v>340</v>
      </c>
      <c r="AC652" s="13" t="s">
        <v>3115</v>
      </c>
      <c r="AD652" s="13" t="s">
        <v>3116</v>
      </c>
      <c r="AE652" s="12">
        <v>2.1708241661196198E-2</v>
      </c>
      <c r="AF652" s="12">
        <v>0.36572952458380198</v>
      </c>
      <c r="AG652" s="12">
        <v>4.6350652173913045E-4</v>
      </c>
      <c r="AH652" s="12">
        <v>1.6975608035415088E-3</v>
      </c>
    </row>
    <row r="653" spans="1:34" ht="12.75">
      <c r="A653" s="14" t="s">
        <v>4098</v>
      </c>
      <c r="B653" s="24" t="s">
        <v>2668</v>
      </c>
      <c r="C653" s="14" t="s">
        <v>2685</v>
      </c>
      <c r="D653" s="14" t="s">
        <v>2911</v>
      </c>
      <c r="E653" s="14" t="s">
        <v>4099</v>
      </c>
      <c r="F653" s="13">
        <v>32.67</v>
      </c>
      <c r="G653" s="14" t="s">
        <v>4082</v>
      </c>
      <c r="H653" s="13">
        <v>18064</v>
      </c>
      <c r="I653" s="655" t="s">
        <v>4118</v>
      </c>
      <c r="J653" s="14" t="s">
        <v>4119</v>
      </c>
      <c r="K653" s="478">
        <f t="shared" si="707"/>
        <v>0.47524752475247523</v>
      </c>
      <c r="L653" s="220">
        <v>15.36</v>
      </c>
      <c r="M653" s="473" t="s">
        <v>4120</v>
      </c>
      <c r="N653" s="473"/>
      <c r="O653" s="480"/>
      <c r="P653" s="14" t="s">
        <v>3508</v>
      </c>
      <c r="Q653" s="486" t="s">
        <v>3509</v>
      </c>
      <c r="R653" s="14">
        <v>0.25</v>
      </c>
      <c r="S653" s="14">
        <f t="shared" si="556"/>
        <v>3.8399999999999997E-2</v>
      </c>
      <c r="T653" s="487">
        <f>SUM(R639:R663)</f>
        <v>103.34999999999997</v>
      </c>
      <c r="U653">
        <f t="shared" si="554"/>
        <v>0.24189646831156272</v>
      </c>
      <c r="V653" s="220">
        <f>U653*100/SUM(U639,U641:U663)</f>
        <v>0.34083162917518717</v>
      </c>
      <c r="W653" s="14" t="s">
        <v>321</v>
      </c>
      <c r="X653">
        <f t="shared" si="615"/>
        <v>0.16197938812286122</v>
      </c>
      <c r="Y653" s="220" t="s">
        <v>1666</v>
      </c>
      <c r="Z653" s="220">
        <f>X653</f>
        <v>0.16197938812286122</v>
      </c>
      <c r="AA653" s="792">
        <f>Z653</f>
        <v>0.16197938812286122</v>
      </c>
      <c r="AB653" s="18" t="s">
        <v>2689</v>
      </c>
      <c r="AC653" s="13" t="s">
        <v>3510</v>
      </c>
      <c r="AD653" s="13" t="s">
        <v>18</v>
      </c>
      <c r="AE653" s="12">
        <v>5.2419900086202897E-2</v>
      </c>
      <c r="AF653" s="12">
        <v>2.8162483479607547</v>
      </c>
      <c r="AG653" s="12">
        <v>1.6256511627906977E-3</v>
      </c>
      <c r="AH653" s="12">
        <v>1.194650084062842E-2</v>
      </c>
    </row>
    <row r="654" spans="1:34" ht="12.75">
      <c r="A654" s="14" t="s">
        <v>4098</v>
      </c>
      <c r="B654" s="24" t="s">
        <v>2668</v>
      </c>
      <c r="C654" s="14" t="s">
        <v>2685</v>
      </c>
      <c r="D654" s="14" t="s">
        <v>2911</v>
      </c>
      <c r="E654" s="14" t="s">
        <v>4099</v>
      </c>
      <c r="F654" s="13">
        <v>32.67</v>
      </c>
      <c r="G654" s="14" t="s">
        <v>4082</v>
      </c>
      <c r="H654" s="13">
        <v>18064</v>
      </c>
      <c r="I654" s="655" t="s">
        <v>4118</v>
      </c>
      <c r="J654" s="14" t="s">
        <v>4119</v>
      </c>
      <c r="K654" s="478">
        <f t="shared" si="707"/>
        <v>0.47524752475247523</v>
      </c>
      <c r="L654" s="220">
        <v>15.36</v>
      </c>
      <c r="M654" s="473" t="s">
        <v>4120</v>
      </c>
      <c r="N654" s="473"/>
      <c r="O654" s="480"/>
      <c r="P654" s="655" t="s">
        <v>3005</v>
      </c>
      <c r="Q654" s="486" t="s">
        <v>4129</v>
      </c>
      <c r="R654" s="14">
        <v>0.25</v>
      </c>
      <c r="S654" s="14">
        <f t="shared" si="556"/>
        <v>3.8399999999999997E-2</v>
      </c>
      <c r="T654" s="487">
        <f>SUM(R639:R663)</f>
        <v>103.34999999999997</v>
      </c>
      <c r="U654">
        <f t="shared" si="554"/>
        <v>0.24189646831156272</v>
      </c>
      <c r="V654" s="220">
        <f>U654*100/SUM(U639,U641:U663)</f>
        <v>0.34083162917518717</v>
      </c>
      <c r="W654" s="14" t="s">
        <v>2526</v>
      </c>
      <c r="X654">
        <f t="shared" si="615"/>
        <v>0.16197938812286122</v>
      </c>
      <c r="Y654" s="220" t="s">
        <v>1624</v>
      </c>
      <c r="Z654" s="220" t="s">
        <v>1666</v>
      </c>
      <c r="AA654" s="792" t="s">
        <v>1666</v>
      </c>
      <c r="AB654" s="18" t="s">
        <v>1666</v>
      </c>
      <c r="AC654" s="13" t="str">
        <f t="shared" ref="AC654:AH654" si="732">AB654</f>
        <v>*</v>
      </c>
      <c r="AD654" s="13" t="str">
        <f t="shared" si="732"/>
        <v>*</v>
      </c>
      <c r="AE654" s="454" t="str">
        <f t="shared" si="732"/>
        <v>*</v>
      </c>
      <c r="AF654" s="454" t="str">
        <f t="shared" si="732"/>
        <v>*</v>
      </c>
      <c r="AG654" s="454" t="str">
        <f t="shared" si="732"/>
        <v>*</v>
      </c>
      <c r="AH654" s="454" t="str">
        <f t="shared" si="732"/>
        <v>*</v>
      </c>
    </row>
    <row r="655" spans="1:34" ht="12.75">
      <c r="A655" s="14" t="s">
        <v>4098</v>
      </c>
      <c r="B655" s="24" t="s">
        <v>2668</v>
      </c>
      <c r="C655" s="14" t="s">
        <v>2685</v>
      </c>
      <c r="D655" s="14" t="s">
        <v>2911</v>
      </c>
      <c r="E655" s="14" t="s">
        <v>4099</v>
      </c>
      <c r="F655" s="13">
        <v>32.67</v>
      </c>
      <c r="G655" s="14" t="s">
        <v>4082</v>
      </c>
      <c r="H655" s="13">
        <v>18064</v>
      </c>
      <c r="I655" s="655" t="s">
        <v>4118</v>
      </c>
      <c r="J655" s="14" t="s">
        <v>4119</v>
      </c>
      <c r="K655" s="478">
        <f t="shared" si="707"/>
        <v>0.47524752475247523</v>
      </c>
      <c r="L655" s="220">
        <v>15.36</v>
      </c>
      <c r="M655" s="473" t="s">
        <v>4120</v>
      </c>
      <c r="N655" s="473"/>
      <c r="O655" s="480"/>
      <c r="P655" s="14" t="s">
        <v>3072</v>
      </c>
      <c r="Q655" s="14" t="s">
        <v>3073</v>
      </c>
      <c r="R655" s="14">
        <v>0.25</v>
      </c>
      <c r="S655" s="14">
        <f t="shared" si="556"/>
        <v>3.8399999999999997E-2</v>
      </c>
      <c r="T655" s="487">
        <f>SUM(R639:R663)</f>
        <v>103.34999999999997</v>
      </c>
      <c r="U655">
        <f t="shared" si="554"/>
        <v>0.24189646831156272</v>
      </c>
      <c r="V655" s="220">
        <f>U655*100/SUM(U639,U641:U663)</f>
        <v>0.34083162917518717</v>
      </c>
      <c r="W655" s="14" t="s">
        <v>343</v>
      </c>
      <c r="X655">
        <f t="shared" si="615"/>
        <v>0.16197938812286122</v>
      </c>
      <c r="Y655" s="220" t="s">
        <v>1666</v>
      </c>
      <c r="Z655" s="220" t="str">
        <f t="shared" ref="Z655:AA655" si="733">Y655</f>
        <v>*</v>
      </c>
      <c r="AA655" s="792" t="str">
        <f t="shared" si="733"/>
        <v>*</v>
      </c>
      <c r="AB655" s="18" t="s">
        <v>1666</v>
      </c>
      <c r="AC655" s="13" t="str">
        <f t="shared" ref="AC655:AH655" si="734">AB655</f>
        <v>*</v>
      </c>
      <c r="AD655" s="13" t="str">
        <f t="shared" si="734"/>
        <v>*</v>
      </c>
      <c r="AE655" s="454" t="str">
        <f t="shared" si="734"/>
        <v>*</v>
      </c>
      <c r="AF655" s="454" t="str">
        <f t="shared" si="734"/>
        <v>*</v>
      </c>
      <c r="AG655" s="454" t="str">
        <f t="shared" si="734"/>
        <v>*</v>
      </c>
      <c r="AH655" s="454" t="str">
        <f t="shared" si="734"/>
        <v>*</v>
      </c>
    </row>
    <row r="656" spans="1:34" ht="12.75">
      <c r="A656" s="14" t="s">
        <v>4098</v>
      </c>
      <c r="B656" s="24" t="s">
        <v>2668</v>
      </c>
      <c r="C656" s="14" t="s">
        <v>2685</v>
      </c>
      <c r="D656" s="14" t="s">
        <v>2911</v>
      </c>
      <c r="E656" s="14" t="s">
        <v>4099</v>
      </c>
      <c r="F656" s="13">
        <v>32.67</v>
      </c>
      <c r="G656" s="14" t="s">
        <v>4082</v>
      </c>
      <c r="H656" s="13">
        <v>18064</v>
      </c>
      <c r="I656" s="655" t="s">
        <v>4118</v>
      </c>
      <c r="J656" s="14" t="s">
        <v>4119</v>
      </c>
      <c r="K656" s="478">
        <f t="shared" si="707"/>
        <v>0.47524752475247523</v>
      </c>
      <c r="L656" s="220">
        <v>15.36</v>
      </c>
      <c r="M656" s="473" t="s">
        <v>4120</v>
      </c>
      <c r="N656" s="473"/>
      <c r="O656" s="480"/>
      <c r="P656" s="14" t="s">
        <v>430</v>
      </c>
      <c r="Q656" s="527" t="s">
        <v>4086</v>
      </c>
      <c r="R656" s="14">
        <v>0.25</v>
      </c>
      <c r="S656" s="14">
        <f t="shared" si="556"/>
        <v>3.8399999999999997E-2</v>
      </c>
      <c r="T656" s="487">
        <f>SUM(R639:R663)</f>
        <v>103.34999999999997</v>
      </c>
      <c r="U656">
        <f t="shared" si="554"/>
        <v>0.24189646831156272</v>
      </c>
      <c r="V656" s="220">
        <f>U656*100/SUM(U639,U641:U663)</f>
        <v>0.34083162917518717</v>
      </c>
      <c r="W656" s="14" t="s">
        <v>430</v>
      </c>
      <c r="X656">
        <f t="shared" si="615"/>
        <v>0.16197938812286122</v>
      </c>
      <c r="Y656" s="220" t="s">
        <v>1624</v>
      </c>
      <c r="Z656" s="220" t="s">
        <v>1666</v>
      </c>
      <c r="AA656" s="792" t="s">
        <v>1666</v>
      </c>
      <c r="AB656" s="18" t="s">
        <v>1666</v>
      </c>
      <c r="AC656" s="13" t="str">
        <f t="shared" ref="AC656:AH656" si="735">AB656</f>
        <v>*</v>
      </c>
      <c r="AD656" s="13" t="str">
        <f t="shared" si="735"/>
        <v>*</v>
      </c>
      <c r="AE656" s="454" t="str">
        <f t="shared" si="735"/>
        <v>*</v>
      </c>
      <c r="AF656" s="454" t="str">
        <f t="shared" si="735"/>
        <v>*</v>
      </c>
      <c r="AG656" s="454" t="str">
        <f t="shared" si="735"/>
        <v>*</v>
      </c>
      <c r="AH656" s="454" t="str">
        <f t="shared" si="735"/>
        <v>*</v>
      </c>
    </row>
    <row r="657" spans="1:34" ht="12.75">
      <c r="A657" s="14" t="s">
        <v>4098</v>
      </c>
      <c r="B657" s="24" t="s">
        <v>2668</v>
      </c>
      <c r="C657" s="14" t="s">
        <v>2685</v>
      </c>
      <c r="D657" s="14" t="s">
        <v>2911</v>
      </c>
      <c r="E657" s="14" t="s">
        <v>4099</v>
      </c>
      <c r="F657" s="13">
        <v>32.67</v>
      </c>
      <c r="G657" s="14" t="s">
        <v>4082</v>
      </c>
      <c r="H657" s="13">
        <v>18064</v>
      </c>
      <c r="I657" s="655" t="s">
        <v>4118</v>
      </c>
      <c r="J657" s="14" t="s">
        <v>4119</v>
      </c>
      <c r="K657" s="478">
        <f t="shared" si="707"/>
        <v>0.47524752475247523</v>
      </c>
      <c r="L657" s="220">
        <v>15.36</v>
      </c>
      <c r="M657" s="473" t="s">
        <v>4120</v>
      </c>
      <c r="N657" s="473"/>
      <c r="O657" s="480"/>
      <c r="P657" s="14" t="s">
        <v>85</v>
      </c>
      <c r="Q657" s="10" t="s">
        <v>3171</v>
      </c>
      <c r="R657" s="14">
        <v>0.25</v>
      </c>
      <c r="S657" s="14">
        <f t="shared" si="556"/>
        <v>3.8399999999999997E-2</v>
      </c>
      <c r="T657" s="487">
        <f>SUM(R639:R663)</f>
        <v>103.34999999999997</v>
      </c>
      <c r="U657">
        <f t="shared" si="554"/>
        <v>0.24189646831156272</v>
      </c>
      <c r="V657" s="220">
        <f>U657*100/SUM(U639,U641:U663)</f>
        <v>0.34083162917518717</v>
      </c>
      <c r="W657" s="14" t="s">
        <v>85</v>
      </c>
      <c r="X657">
        <f t="shared" si="615"/>
        <v>0.16197938812286122</v>
      </c>
      <c r="Y657" s="220" t="s">
        <v>1624</v>
      </c>
      <c r="Z657" s="220" t="s">
        <v>1666</v>
      </c>
      <c r="AA657" s="792" t="s">
        <v>1666</v>
      </c>
      <c r="AB657" s="18" t="s">
        <v>1666</v>
      </c>
      <c r="AC657" s="13" t="str">
        <f t="shared" ref="AC657:AH657" si="736">AB657</f>
        <v>*</v>
      </c>
      <c r="AD657" s="13" t="str">
        <f t="shared" si="736"/>
        <v>*</v>
      </c>
      <c r="AE657" s="454" t="str">
        <f t="shared" si="736"/>
        <v>*</v>
      </c>
      <c r="AF657" s="454" t="str">
        <f t="shared" si="736"/>
        <v>*</v>
      </c>
      <c r="AG657" s="454" t="str">
        <f t="shared" si="736"/>
        <v>*</v>
      </c>
      <c r="AH657" s="454" t="str">
        <f t="shared" si="736"/>
        <v>*</v>
      </c>
    </row>
    <row r="658" spans="1:34" ht="12.75">
      <c r="A658" s="14" t="s">
        <v>4098</v>
      </c>
      <c r="B658" s="24" t="s">
        <v>2668</v>
      </c>
      <c r="C658" s="14" t="s">
        <v>2685</v>
      </c>
      <c r="D658" s="14" t="s">
        <v>2911</v>
      </c>
      <c r="E658" s="14" t="s">
        <v>4099</v>
      </c>
      <c r="F658" s="13">
        <v>32.67</v>
      </c>
      <c r="G658" s="14" t="s">
        <v>4082</v>
      </c>
      <c r="H658" s="13">
        <v>18064</v>
      </c>
      <c r="I658" s="655" t="s">
        <v>4118</v>
      </c>
      <c r="J658" s="14" t="s">
        <v>4119</v>
      </c>
      <c r="K658" s="478">
        <f t="shared" si="707"/>
        <v>0.47524752475247523</v>
      </c>
      <c r="L658" s="220">
        <v>15.36</v>
      </c>
      <c r="M658" s="473" t="s">
        <v>4120</v>
      </c>
      <c r="N658" s="473"/>
      <c r="O658" s="480"/>
      <c r="P658" s="14" t="s">
        <v>214</v>
      </c>
      <c r="Q658" s="14" t="s">
        <v>3980</v>
      </c>
      <c r="R658" s="14">
        <v>0.25</v>
      </c>
      <c r="S658" s="14">
        <f t="shared" si="556"/>
        <v>3.8399999999999997E-2</v>
      </c>
      <c r="T658" s="487">
        <f>SUM(R639:R663)</f>
        <v>103.34999999999997</v>
      </c>
      <c r="U658">
        <f t="shared" si="554"/>
        <v>0.24189646831156272</v>
      </c>
      <c r="V658" s="220">
        <f>U658*100/SUM(U639,U641:U663)</f>
        <v>0.34083162917518717</v>
      </c>
      <c r="W658" s="14" t="s">
        <v>214</v>
      </c>
      <c r="X658">
        <f t="shared" si="615"/>
        <v>0.16197938812286122</v>
      </c>
      <c r="Y658" s="220" t="s">
        <v>1666</v>
      </c>
      <c r="Z658" s="220" t="str">
        <f>Y658</f>
        <v>*</v>
      </c>
      <c r="AA658" s="792" t="s">
        <v>1666</v>
      </c>
      <c r="AB658" s="18" t="s">
        <v>1666</v>
      </c>
      <c r="AC658" s="13" t="str">
        <f t="shared" ref="AC658:AH658" si="737">AB658</f>
        <v>*</v>
      </c>
      <c r="AD658" s="13" t="str">
        <f t="shared" si="737"/>
        <v>*</v>
      </c>
      <c r="AE658" s="454" t="str">
        <f t="shared" si="737"/>
        <v>*</v>
      </c>
      <c r="AF658" s="454" t="str">
        <f t="shared" si="737"/>
        <v>*</v>
      </c>
      <c r="AG658" s="454" t="str">
        <f t="shared" si="737"/>
        <v>*</v>
      </c>
      <c r="AH658" s="454" t="str">
        <f t="shared" si="737"/>
        <v>*</v>
      </c>
    </row>
    <row r="659" spans="1:34" ht="12.75">
      <c r="A659" s="14" t="s">
        <v>4098</v>
      </c>
      <c r="B659" s="24" t="s">
        <v>2668</v>
      </c>
      <c r="C659" s="14" t="s">
        <v>2685</v>
      </c>
      <c r="D659" s="14" t="s">
        <v>2911</v>
      </c>
      <c r="E659" s="14" t="s">
        <v>4099</v>
      </c>
      <c r="F659" s="13">
        <v>32.67</v>
      </c>
      <c r="G659" s="14" t="s">
        <v>4082</v>
      </c>
      <c r="H659" s="13">
        <v>18064</v>
      </c>
      <c r="I659" s="655" t="s">
        <v>4118</v>
      </c>
      <c r="J659" s="14" t="s">
        <v>4119</v>
      </c>
      <c r="K659" s="478">
        <f t="shared" si="707"/>
        <v>0.47524752475247523</v>
      </c>
      <c r="L659" s="220">
        <v>15.36</v>
      </c>
      <c r="M659" s="473" t="s">
        <v>4120</v>
      </c>
      <c r="N659" s="473"/>
      <c r="O659" s="480"/>
      <c r="P659" s="14" t="s">
        <v>3051</v>
      </c>
      <c r="Q659" s="486" t="s">
        <v>3084</v>
      </c>
      <c r="R659" s="14">
        <v>0.1</v>
      </c>
      <c r="S659" s="14">
        <f t="shared" si="556"/>
        <v>1.536E-2</v>
      </c>
      <c r="T659" s="487">
        <f>SUM(R639:R663)</f>
        <v>103.34999999999997</v>
      </c>
      <c r="U659">
        <f t="shared" si="554"/>
        <v>9.6758587324625098E-2</v>
      </c>
      <c r="V659" s="220">
        <f>U659*100/SUM(U639,U641:U663)</f>
        <v>0.13633265167007491</v>
      </c>
      <c r="W659" s="14" t="s">
        <v>2661</v>
      </c>
      <c r="X659">
        <f t="shared" si="615"/>
        <v>6.4791755249144503E-2</v>
      </c>
      <c r="Y659" s="220" t="s">
        <v>1624</v>
      </c>
      <c r="Z659" s="220" t="s">
        <v>1666</v>
      </c>
      <c r="AA659" s="792" t="s">
        <v>1666</v>
      </c>
      <c r="AB659" s="18" t="s">
        <v>1666</v>
      </c>
      <c r="AC659" s="13" t="str">
        <f t="shared" ref="AC659:AH659" si="738">AB659</f>
        <v>*</v>
      </c>
      <c r="AD659" s="13" t="str">
        <f t="shared" si="738"/>
        <v>*</v>
      </c>
      <c r="AE659" s="454" t="str">
        <f t="shared" si="738"/>
        <v>*</v>
      </c>
      <c r="AF659" s="454" t="str">
        <f t="shared" si="738"/>
        <v>*</v>
      </c>
      <c r="AG659" s="454" t="str">
        <f t="shared" si="738"/>
        <v>*</v>
      </c>
      <c r="AH659" s="454" t="str">
        <f t="shared" si="738"/>
        <v>*</v>
      </c>
    </row>
    <row r="660" spans="1:34" ht="12.75">
      <c r="A660" s="14" t="s">
        <v>4098</v>
      </c>
      <c r="B660" s="24" t="s">
        <v>2668</v>
      </c>
      <c r="C660" s="14" t="s">
        <v>2685</v>
      </c>
      <c r="D660" s="14" t="s">
        <v>2911</v>
      </c>
      <c r="E660" s="14" t="s">
        <v>4099</v>
      </c>
      <c r="F660" s="13">
        <v>32.67</v>
      </c>
      <c r="G660" s="14" t="s">
        <v>4082</v>
      </c>
      <c r="H660" s="13">
        <v>18064</v>
      </c>
      <c r="I660" s="655" t="s">
        <v>4118</v>
      </c>
      <c r="J660" s="14" t="s">
        <v>4119</v>
      </c>
      <c r="K660" s="478">
        <f t="shared" si="707"/>
        <v>0.47524752475247523</v>
      </c>
      <c r="L660" s="220">
        <v>15.36</v>
      </c>
      <c r="M660" s="473" t="s">
        <v>4120</v>
      </c>
      <c r="N660" s="473"/>
      <c r="O660" s="480"/>
      <c r="P660" s="14" t="s">
        <v>4130</v>
      </c>
      <c r="Q660" s="486" t="s">
        <v>4131</v>
      </c>
      <c r="R660" s="14">
        <v>0.1</v>
      </c>
      <c r="S660" s="14">
        <f t="shared" si="556"/>
        <v>1.536E-2</v>
      </c>
      <c r="T660" s="487">
        <f>SUM(R639:R663)</f>
        <v>103.34999999999997</v>
      </c>
      <c r="U660">
        <f t="shared" si="554"/>
        <v>9.6758587324625098E-2</v>
      </c>
      <c r="V660" s="220">
        <f>U660*100/SUM(U639,U641:U663)</f>
        <v>0.13633265167007491</v>
      </c>
      <c r="W660" s="14" t="s">
        <v>282</v>
      </c>
      <c r="X660">
        <f t="shared" si="615"/>
        <v>6.4791755249144503E-2</v>
      </c>
      <c r="Y660" s="220" t="s">
        <v>1666</v>
      </c>
      <c r="Z660" s="220">
        <f>X660</f>
        <v>6.4791755249144503E-2</v>
      </c>
      <c r="AA660" s="792">
        <f>Z660</f>
        <v>6.4791755249144503E-2</v>
      </c>
      <c r="AB660" s="18" t="s">
        <v>282</v>
      </c>
      <c r="AC660" s="13" t="s">
        <v>4132</v>
      </c>
      <c r="AD660" s="13" t="s">
        <v>4133</v>
      </c>
      <c r="AE660" s="12">
        <v>5.0851930036188197E-3</v>
      </c>
      <c r="AF660" s="12">
        <v>5.9995417730640897E-2</v>
      </c>
      <c r="AG660" s="12">
        <v>3.4699999999999998E-4</v>
      </c>
      <c r="AH660" s="12">
        <v>2.9762429672480995E-4</v>
      </c>
    </row>
    <row r="661" spans="1:34" ht="12.75">
      <c r="A661" s="14" t="s">
        <v>4098</v>
      </c>
      <c r="B661" s="24" t="s">
        <v>2668</v>
      </c>
      <c r="C661" s="14" t="s">
        <v>2685</v>
      </c>
      <c r="D661" s="14" t="s">
        <v>2911</v>
      </c>
      <c r="E661" s="14" t="s">
        <v>4099</v>
      </c>
      <c r="F661" s="13">
        <v>32.67</v>
      </c>
      <c r="G661" s="14" t="s">
        <v>4082</v>
      </c>
      <c r="H661" s="13">
        <v>18064</v>
      </c>
      <c r="I661" s="655" t="s">
        <v>4118</v>
      </c>
      <c r="J661" s="14" t="s">
        <v>4119</v>
      </c>
      <c r="K661" s="478">
        <f t="shared" si="707"/>
        <v>0.47524752475247523</v>
      </c>
      <c r="L661" s="220">
        <v>15.36</v>
      </c>
      <c r="M661" s="473" t="s">
        <v>4120</v>
      </c>
      <c r="N661" s="473"/>
      <c r="O661" s="480"/>
      <c r="P661" s="14" t="s">
        <v>432</v>
      </c>
      <c r="Q661" s="486" t="s">
        <v>3028</v>
      </c>
      <c r="R661" s="14">
        <v>0.1</v>
      </c>
      <c r="S661" s="14">
        <f t="shared" si="556"/>
        <v>1.536E-2</v>
      </c>
      <c r="T661" s="487">
        <f>SUM(R639:R663)</f>
        <v>103.34999999999997</v>
      </c>
      <c r="U661">
        <f t="shared" si="554"/>
        <v>9.6758587324625098E-2</v>
      </c>
      <c r="V661" s="220">
        <f>U661*100/SUM(U639,U641:U663)</f>
        <v>0.13633265167007491</v>
      </c>
      <c r="W661" s="14" t="s">
        <v>432</v>
      </c>
      <c r="X661">
        <f t="shared" si="615"/>
        <v>6.4791755249144503E-2</v>
      </c>
      <c r="Y661" s="220" t="s">
        <v>1666</v>
      </c>
      <c r="Z661" s="220" t="s">
        <v>1666</v>
      </c>
      <c r="AA661" s="792" t="s">
        <v>1666</v>
      </c>
      <c r="AB661" s="18" t="s">
        <v>1666</v>
      </c>
      <c r="AC661" s="13" t="str">
        <f t="shared" ref="AC661:AH661" si="739">AB661</f>
        <v>*</v>
      </c>
      <c r="AD661" s="13" t="str">
        <f t="shared" si="739"/>
        <v>*</v>
      </c>
      <c r="AE661" s="454" t="str">
        <f t="shared" si="739"/>
        <v>*</v>
      </c>
      <c r="AF661" s="454" t="str">
        <f t="shared" si="739"/>
        <v>*</v>
      </c>
      <c r="AG661" s="454" t="str">
        <f t="shared" si="739"/>
        <v>*</v>
      </c>
      <c r="AH661" s="454" t="str">
        <f t="shared" si="739"/>
        <v>*</v>
      </c>
    </row>
    <row r="662" spans="1:34" ht="12.75">
      <c r="A662" s="14" t="s">
        <v>4098</v>
      </c>
      <c r="B662" s="24" t="s">
        <v>2668</v>
      </c>
      <c r="C662" s="14" t="s">
        <v>2685</v>
      </c>
      <c r="D662" s="14" t="s">
        <v>2911</v>
      </c>
      <c r="E662" s="14" t="s">
        <v>4099</v>
      </c>
      <c r="F662" s="13">
        <v>32.67</v>
      </c>
      <c r="G662" s="14" t="s">
        <v>4082</v>
      </c>
      <c r="H662" s="13">
        <v>18064</v>
      </c>
      <c r="I662" s="655" t="s">
        <v>4118</v>
      </c>
      <c r="J662" s="14" t="s">
        <v>4119</v>
      </c>
      <c r="K662" s="478">
        <f t="shared" si="707"/>
        <v>0.47524752475247523</v>
      </c>
      <c r="L662" s="220">
        <v>15.36</v>
      </c>
      <c r="M662" s="473" t="s">
        <v>4120</v>
      </c>
      <c r="N662" s="473"/>
      <c r="O662" s="480"/>
      <c r="P662" s="14" t="s">
        <v>3223</v>
      </c>
      <c r="Q662" s="14" t="s">
        <v>4134</v>
      </c>
      <c r="R662" s="14">
        <v>0.1</v>
      </c>
      <c r="S662" s="14">
        <f t="shared" si="556"/>
        <v>1.536E-2</v>
      </c>
      <c r="T662" s="487">
        <f>SUM(R639:R663)</f>
        <v>103.34999999999997</v>
      </c>
      <c r="U662">
        <f t="shared" si="554"/>
        <v>9.6758587324625098E-2</v>
      </c>
      <c r="V662" s="220">
        <f>U662*100/SUM(U639,U641:U663)</f>
        <v>0.13633265167007491</v>
      </c>
      <c r="W662" s="14" t="s">
        <v>990</v>
      </c>
      <c r="X662">
        <f t="shared" si="615"/>
        <v>6.4791755249144503E-2</v>
      </c>
      <c r="Y662" s="499">
        <f t="shared" ref="Y662:AA662" si="740">X662</f>
        <v>6.4791755249144503E-2</v>
      </c>
      <c r="Z662" s="220">
        <f t="shared" si="740"/>
        <v>6.4791755249144503E-2</v>
      </c>
      <c r="AA662" s="792">
        <f t="shared" si="740"/>
        <v>6.4791755249144503E-2</v>
      </c>
      <c r="AB662" s="18" t="s">
        <v>990</v>
      </c>
      <c r="AC662" s="13" t="s">
        <v>3223</v>
      </c>
      <c r="AD662" s="13" t="s">
        <v>3227</v>
      </c>
      <c r="AE662" s="12">
        <v>4.8065157443333336E-3</v>
      </c>
      <c r="AF662" s="12">
        <v>2.3753475394999998E-2</v>
      </c>
      <c r="AG662" s="12">
        <v>4.4716312056737589E-4</v>
      </c>
      <c r="AH662" s="12">
        <v>1.378834501718213E-3</v>
      </c>
    </row>
    <row r="663" spans="1:34" ht="12.75">
      <c r="A663" s="14" t="s">
        <v>4098</v>
      </c>
      <c r="B663" s="24" t="s">
        <v>2668</v>
      </c>
      <c r="C663" s="14" t="s">
        <v>2685</v>
      </c>
      <c r="D663" s="14" t="s">
        <v>2911</v>
      </c>
      <c r="E663" s="14" t="s">
        <v>4099</v>
      </c>
      <c r="F663" s="13">
        <v>32.67</v>
      </c>
      <c r="G663" s="14" t="s">
        <v>4082</v>
      </c>
      <c r="H663" s="13">
        <v>18064</v>
      </c>
      <c r="I663" s="848" t="s">
        <v>4118</v>
      </c>
      <c r="J663" s="135" t="s">
        <v>4119</v>
      </c>
      <c r="K663" s="475">
        <f t="shared" si="707"/>
        <v>0.47524752475247523</v>
      </c>
      <c r="L663" s="476">
        <v>15.36</v>
      </c>
      <c r="M663" s="492" t="s">
        <v>4120</v>
      </c>
      <c r="N663" s="492"/>
      <c r="O663" s="494"/>
      <c r="P663" s="135" t="s">
        <v>3862</v>
      </c>
      <c r="Q663" s="495" t="s">
        <v>3863</v>
      </c>
      <c r="R663" s="135">
        <v>0.1</v>
      </c>
      <c r="S663" s="14">
        <f t="shared" si="556"/>
        <v>1.536E-2</v>
      </c>
      <c r="T663" s="853">
        <f>SUM(R639:R663)</f>
        <v>103.34999999999997</v>
      </c>
      <c r="U663" s="135">
        <f t="shared" si="554"/>
        <v>9.6758587324625098E-2</v>
      </c>
      <c r="V663" s="476">
        <f>U663*100/SUM(U639,U641:U663)</f>
        <v>0.13633265167007491</v>
      </c>
      <c r="W663" s="135" t="s">
        <v>2662</v>
      </c>
      <c r="X663">
        <f t="shared" si="615"/>
        <v>6.4791755249144503E-2</v>
      </c>
      <c r="Y663" s="220" t="s">
        <v>1666</v>
      </c>
      <c r="Z663" s="220" t="str">
        <f t="shared" ref="Z663:Z665" si="741">Y663</f>
        <v>*</v>
      </c>
      <c r="AA663" s="792" t="s">
        <v>1666</v>
      </c>
      <c r="AB663" s="18" t="s">
        <v>1666</v>
      </c>
      <c r="AC663" s="13" t="str">
        <f t="shared" ref="AC663:AH663" si="742">AB663</f>
        <v>*</v>
      </c>
      <c r="AD663" s="13" t="str">
        <f t="shared" si="742"/>
        <v>*</v>
      </c>
      <c r="AE663" s="454" t="str">
        <f t="shared" si="742"/>
        <v>*</v>
      </c>
      <c r="AF663" s="454" t="str">
        <f t="shared" si="742"/>
        <v>*</v>
      </c>
      <c r="AG663" s="454" t="str">
        <f t="shared" si="742"/>
        <v>*</v>
      </c>
      <c r="AH663" s="454" t="str">
        <f t="shared" si="742"/>
        <v>*</v>
      </c>
    </row>
    <row r="664" spans="1:34" ht="14.25">
      <c r="A664" s="14" t="s">
        <v>4098</v>
      </c>
      <c r="B664" s="24" t="s">
        <v>2668</v>
      </c>
      <c r="C664" s="14" t="s">
        <v>2685</v>
      </c>
      <c r="D664" s="14" t="s">
        <v>2911</v>
      </c>
      <c r="E664" s="14" t="s">
        <v>4099</v>
      </c>
      <c r="F664" s="13">
        <v>32.67</v>
      </c>
      <c r="G664" s="14" t="s">
        <v>4082</v>
      </c>
      <c r="H664" s="13">
        <v>18064</v>
      </c>
      <c r="I664" s="655" t="s">
        <v>4135</v>
      </c>
      <c r="J664" s="14" t="s">
        <v>4136</v>
      </c>
      <c r="K664" s="478">
        <f t="shared" ref="K664:K676" si="743">9/101</f>
        <v>8.9108910891089105E-2</v>
      </c>
      <c r="L664" s="220">
        <v>3.87</v>
      </c>
      <c r="M664" s="473" t="s">
        <v>4137</v>
      </c>
      <c r="N664" s="479" t="s">
        <v>2937</v>
      </c>
      <c r="O664" s="480" t="s">
        <v>2976</v>
      </c>
      <c r="P664" s="655" t="s">
        <v>3978</v>
      </c>
      <c r="Q664" s="486" t="s">
        <v>3979</v>
      </c>
      <c r="R664" s="14">
        <v>48</v>
      </c>
      <c r="S664" s="162">
        <f t="shared" si="556"/>
        <v>1.8575999999999999</v>
      </c>
      <c r="T664" s="487">
        <f>SUM(R664:R676)</f>
        <v>105.9</v>
      </c>
      <c r="U664">
        <f t="shared" si="554"/>
        <v>45.325779036827193</v>
      </c>
      <c r="V664" s="220">
        <f>U664*100/SUM(U664,U666:U676)</f>
        <v>55.878928987194385</v>
      </c>
      <c r="W664" s="14" t="s">
        <v>1164</v>
      </c>
      <c r="X664">
        <f t="shared" si="615"/>
        <v>4.9793105038094003</v>
      </c>
      <c r="Y664" s="220" t="s">
        <v>1666</v>
      </c>
      <c r="Z664" s="220" t="str">
        <f t="shared" si="741"/>
        <v>*</v>
      </c>
      <c r="AA664" s="792" t="s">
        <v>1666</v>
      </c>
      <c r="AB664" s="18" t="s">
        <v>1666</v>
      </c>
      <c r="AC664" s="13" t="str">
        <f t="shared" ref="AC664:AH664" si="744">AB664</f>
        <v>*</v>
      </c>
      <c r="AD664" s="13" t="str">
        <f t="shared" si="744"/>
        <v>*</v>
      </c>
      <c r="AE664" s="454" t="str">
        <f t="shared" si="744"/>
        <v>*</v>
      </c>
      <c r="AF664" s="454" t="str">
        <f t="shared" si="744"/>
        <v>*</v>
      </c>
      <c r="AG664" s="454" t="str">
        <f t="shared" si="744"/>
        <v>*</v>
      </c>
      <c r="AH664" s="454" t="str">
        <f t="shared" si="744"/>
        <v>*</v>
      </c>
    </row>
    <row r="665" spans="1:34" ht="14.25">
      <c r="A665" s="14" t="s">
        <v>4098</v>
      </c>
      <c r="B665" s="24" t="s">
        <v>2668</v>
      </c>
      <c r="C665" s="14" t="s">
        <v>2685</v>
      </c>
      <c r="D665" s="14" t="s">
        <v>2911</v>
      </c>
      <c r="E665" s="14" t="s">
        <v>4099</v>
      </c>
      <c r="F665" s="13">
        <v>32.67</v>
      </c>
      <c r="G665" s="14" t="s">
        <v>4082</v>
      </c>
      <c r="H665" s="13">
        <v>18064</v>
      </c>
      <c r="I665" s="655" t="s">
        <v>4135</v>
      </c>
      <c r="J665" s="14" t="s">
        <v>4136</v>
      </c>
      <c r="K665" s="478">
        <f t="shared" si="743"/>
        <v>8.9108910891089105E-2</v>
      </c>
      <c r="L665" s="220">
        <v>3.87</v>
      </c>
      <c r="M665" s="473" t="s">
        <v>4137</v>
      </c>
      <c r="N665" s="479" t="s">
        <v>2937</v>
      </c>
      <c r="O665" s="480" t="s">
        <v>2976</v>
      </c>
      <c r="P665" s="14" t="s">
        <v>2938</v>
      </c>
      <c r="Q665" s="435" t="s">
        <v>2939</v>
      </c>
      <c r="R665" s="14">
        <v>20</v>
      </c>
      <c r="S665" s="14">
        <f t="shared" si="556"/>
        <v>0.77400000000000002</v>
      </c>
      <c r="T665" s="487">
        <f>SUM(R664:R676)</f>
        <v>105.9</v>
      </c>
      <c r="U665">
        <f t="shared" si="554"/>
        <v>18.885741265344663</v>
      </c>
      <c r="V665" s="481">
        <f>U665</f>
        <v>18.885741265344663</v>
      </c>
      <c r="W665" s="482" t="s">
        <v>72</v>
      </c>
      <c r="X665" s="482">
        <f t="shared" si="615"/>
        <v>1.6828878355257619</v>
      </c>
      <c r="Y665" s="220" t="s">
        <v>1666</v>
      </c>
      <c r="Z665" s="220" t="str">
        <f t="shared" si="741"/>
        <v>*</v>
      </c>
      <c r="AA665" s="792" t="s">
        <v>1666</v>
      </c>
      <c r="AB665" s="18" t="s">
        <v>1666</v>
      </c>
      <c r="AC665" s="13" t="str">
        <f t="shared" ref="AC665:AH665" si="745">AB665</f>
        <v>*</v>
      </c>
      <c r="AD665" s="13" t="str">
        <f t="shared" si="745"/>
        <v>*</v>
      </c>
      <c r="AE665" s="454" t="str">
        <f t="shared" si="745"/>
        <v>*</v>
      </c>
      <c r="AF665" s="454" t="str">
        <f t="shared" si="745"/>
        <v>*</v>
      </c>
      <c r="AG665" s="454" t="str">
        <f t="shared" si="745"/>
        <v>*</v>
      </c>
      <c r="AH665" s="454" t="str">
        <f t="shared" si="745"/>
        <v>*</v>
      </c>
    </row>
    <row r="666" spans="1:34" ht="14.25">
      <c r="A666" s="14" t="s">
        <v>4098</v>
      </c>
      <c r="B666" s="24" t="s">
        <v>2668</v>
      </c>
      <c r="C666" s="14" t="s">
        <v>2685</v>
      </c>
      <c r="D666" s="14" t="s">
        <v>2911</v>
      </c>
      <c r="E666" s="14" t="s">
        <v>4099</v>
      </c>
      <c r="F666" s="13">
        <v>32.67</v>
      </c>
      <c r="G666" s="14" t="s">
        <v>4082</v>
      </c>
      <c r="H666" s="13">
        <v>18064</v>
      </c>
      <c r="I666" s="655" t="s">
        <v>4135</v>
      </c>
      <c r="J666" s="14" t="s">
        <v>4136</v>
      </c>
      <c r="K666" s="478">
        <f t="shared" si="743"/>
        <v>8.9108910891089105E-2</v>
      </c>
      <c r="L666" s="220">
        <v>3.87</v>
      </c>
      <c r="M666" s="473" t="s">
        <v>4137</v>
      </c>
      <c r="N666" s="479" t="s">
        <v>2937</v>
      </c>
      <c r="O666" s="480" t="s">
        <v>2976</v>
      </c>
      <c r="P666" s="14" t="s">
        <v>4045</v>
      </c>
      <c r="Q666" s="10" t="s">
        <v>4046</v>
      </c>
      <c r="R666" s="14">
        <v>18</v>
      </c>
      <c r="S666" s="14">
        <f t="shared" si="556"/>
        <v>0.6966</v>
      </c>
      <c r="T666" s="487">
        <f>SUM(R664:R676)</f>
        <v>105.9</v>
      </c>
      <c r="U666">
        <f t="shared" si="554"/>
        <v>16.997167138810198</v>
      </c>
      <c r="V666" s="488">
        <f>U666*100/SUM(U664,U666:U676)</f>
        <v>20.954598370197896</v>
      </c>
      <c r="W666" s="564" t="s">
        <v>4043</v>
      </c>
      <c r="X666">
        <f t="shared" si="615"/>
        <v>1.8672414389285252</v>
      </c>
      <c r="Y666" s="220" t="s">
        <v>1666</v>
      </c>
      <c r="Z666" s="220">
        <f>SUM(X666,X682)</f>
        <v>2.6519962684405378</v>
      </c>
      <c r="AA666" s="792">
        <f>Z666</f>
        <v>2.6519962684405378</v>
      </c>
      <c r="AB666" s="18" t="s">
        <v>2690</v>
      </c>
      <c r="AC666" s="13" t="s">
        <v>4048</v>
      </c>
      <c r="AD666" s="13" t="s">
        <v>175</v>
      </c>
      <c r="AE666" s="12">
        <v>1.4348768881534335E-3</v>
      </c>
      <c r="AF666" s="12">
        <v>4.768082570221005E-2</v>
      </c>
      <c r="AG666" s="12">
        <v>4.5897097625329815E-5</v>
      </c>
      <c r="AH666" s="12">
        <v>5.7820492708777707E-5</v>
      </c>
    </row>
    <row r="667" spans="1:34" ht="14.25">
      <c r="A667" s="14" t="s">
        <v>4098</v>
      </c>
      <c r="B667" s="24" t="s">
        <v>2668</v>
      </c>
      <c r="C667" s="14" t="s">
        <v>2685</v>
      </c>
      <c r="D667" s="14" t="s">
        <v>2911</v>
      </c>
      <c r="E667" s="14" t="s">
        <v>4099</v>
      </c>
      <c r="F667" s="13">
        <v>32.67</v>
      </c>
      <c r="G667" s="14" t="s">
        <v>4082</v>
      </c>
      <c r="H667" s="13">
        <v>18064</v>
      </c>
      <c r="I667" s="655" t="s">
        <v>4135</v>
      </c>
      <c r="J667" s="14" t="s">
        <v>4136</v>
      </c>
      <c r="K667" s="478">
        <f t="shared" si="743"/>
        <v>8.9108910891089105E-2</v>
      </c>
      <c r="L667" s="220">
        <v>3.87</v>
      </c>
      <c r="M667" s="473" t="s">
        <v>4137</v>
      </c>
      <c r="N667" s="479" t="s">
        <v>2937</v>
      </c>
      <c r="O667" s="480" t="s">
        <v>2976</v>
      </c>
      <c r="P667" s="14" t="s">
        <v>2945</v>
      </c>
      <c r="Q667" s="10" t="s">
        <v>2946</v>
      </c>
      <c r="R667" s="14">
        <v>5.25</v>
      </c>
      <c r="S667" s="14">
        <f t="shared" si="556"/>
        <v>0.20317499999999999</v>
      </c>
      <c r="T667" s="487">
        <f>SUM(R664:R676)</f>
        <v>105.9</v>
      </c>
      <c r="U667">
        <f t="shared" si="554"/>
        <v>4.9575070821529739</v>
      </c>
      <c r="V667" s="220">
        <f>U667*100/SUM(U664,U666:U676)</f>
        <v>6.1117578579743856</v>
      </c>
      <c r="W667" s="14" t="s">
        <v>433</v>
      </c>
      <c r="X667">
        <f t="shared" si="615"/>
        <v>0.54461208635415315</v>
      </c>
      <c r="Y667" s="220" t="s">
        <v>1666</v>
      </c>
      <c r="Z667" s="220" t="str">
        <f>Y667</f>
        <v>*</v>
      </c>
      <c r="AA667" s="792" t="s">
        <v>1666</v>
      </c>
      <c r="AB667" s="18" t="s">
        <v>1666</v>
      </c>
      <c r="AC667" s="13" t="str">
        <f t="shared" ref="AC667:AH667" si="746">AB667</f>
        <v>*</v>
      </c>
      <c r="AD667" s="13" t="str">
        <f t="shared" si="746"/>
        <v>*</v>
      </c>
      <c r="AE667" s="454" t="str">
        <f t="shared" si="746"/>
        <v>*</v>
      </c>
      <c r="AF667" s="454" t="str">
        <f t="shared" si="746"/>
        <v>*</v>
      </c>
      <c r="AG667" s="454" t="str">
        <f t="shared" si="746"/>
        <v>*</v>
      </c>
      <c r="AH667" s="454" t="str">
        <f t="shared" si="746"/>
        <v>*</v>
      </c>
    </row>
    <row r="668" spans="1:34" ht="14.25">
      <c r="A668" s="14" t="s">
        <v>4098</v>
      </c>
      <c r="B668" s="24" t="s">
        <v>2668</v>
      </c>
      <c r="C668" s="14" t="s">
        <v>2685</v>
      </c>
      <c r="D668" s="14" t="s">
        <v>2911</v>
      </c>
      <c r="E668" s="14" t="s">
        <v>4099</v>
      </c>
      <c r="F668" s="13">
        <v>32.67</v>
      </c>
      <c r="G668" s="14" t="s">
        <v>4082</v>
      </c>
      <c r="H668" s="13">
        <v>18064</v>
      </c>
      <c r="I668" s="655" t="s">
        <v>4135</v>
      </c>
      <c r="J668" s="14" t="s">
        <v>4136</v>
      </c>
      <c r="K668" s="478">
        <f t="shared" si="743"/>
        <v>8.9108910891089105E-2</v>
      </c>
      <c r="L668" s="220">
        <v>3.87</v>
      </c>
      <c r="M668" s="473" t="s">
        <v>4137</v>
      </c>
      <c r="N668" s="479" t="s">
        <v>2937</v>
      </c>
      <c r="O668" s="480" t="s">
        <v>2976</v>
      </c>
      <c r="P668" s="14" t="s">
        <v>86</v>
      </c>
      <c r="Q668" s="14" t="s">
        <v>3442</v>
      </c>
      <c r="R668" s="14">
        <v>2</v>
      </c>
      <c r="S668" s="14">
        <f t="shared" si="556"/>
        <v>7.740000000000001E-2</v>
      </c>
      <c r="T668" s="487">
        <f>SUM(R664:R676)</f>
        <v>105.9</v>
      </c>
      <c r="U668">
        <f t="shared" si="554"/>
        <v>1.8885741265344664</v>
      </c>
      <c r="V668" s="220">
        <f>U668*100/SUM(U664,U666:U676)</f>
        <v>2.328288707799766</v>
      </c>
      <c r="W668" s="14" t="s">
        <v>86</v>
      </c>
      <c r="X668">
        <f t="shared" si="615"/>
        <v>0.20747127099205834</v>
      </c>
      <c r="Y668" s="220" t="s">
        <v>1624</v>
      </c>
      <c r="Z668" s="220" t="s">
        <v>1666</v>
      </c>
      <c r="AA668" s="792" t="s">
        <v>1666</v>
      </c>
      <c r="AB668" s="18" t="s">
        <v>1666</v>
      </c>
      <c r="AC668" s="13" t="str">
        <f t="shared" ref="AC668:AH668" si="747">AB668</f>
        <v>*</v>
      </c>
      <c r="AD668" s="13" t="str">
        <f t="shared" si="747"/>
        <v>*</v>
      </c>
      <c r="AE668" s="454" t="str">
        <f t="shared" si="747"/>
        <v>*</v>
      </c>
      <c r="AF668" s="454" t="str">
        <f t="shared" si="747"/>
        <v>*</v>
      </c>
      <c r="AG668" s="454" t="str">
        <f t="shared" si="747"/>
        <v>*</v>
      </c>
      <c r="AH668" s="454" t="str">
        <f t="shared" si="747"/>
        <v>*</v>
      </c>
    </row>
    <row r="669" spans="1:34" ht="14.25">
      <c r="A669" s="14" t="s">
        <v>4098</v>
      </c>
      <c r="B669" s="24" t="s">
        <v>2668</v>
      </c>
      <c r="C669" s="14" t="s">
        <v>2685</v>
      </c>
      <c r="D669" s="14" t="s">
        <v>2911</v>
      </c>
      <c r="E669" s="14" t="s">
        <v>4099</v>
      </c>
      <c r="F669" s="13">
        <v>32.67</v>
      </c>
      <c r="G669" s="14" t="s">
        <v>4082</v>
      </c>
      <c r="H669" s="13">
        <v>18064</v>
      </c>
      <c r="I669" s="655" t="s">
        <v>4135</v>
      </c>
      <c r="J669" s="14" t="s">
        <v>4136</v>
      </c>
      <c r="K669" s="478">
        <f t="shared" si="743"/>
        <v>8.9108910891089105E-2</v>
      </c>
      <c r="L669" s="220">
        <v>3.87</v>
      </c>
      <c r="M669" s="473" t="s">
        <v>4137</v>
      </c>
      <c r="N669" s="479" t="s">
        <v>2937</v>
      </c>
      <c r="O669" s="480" t="s">
        <v>2976</v>
      </c>
      <c r="P669" s="14" t="s">
        <v>3973</v>
      </c>
      <c r="Q669" s="486" t="s">
        <v>3998</v>
      </c>
      <c r="R669" s="14">
        <v>5</v>
      </c>
      <c r="S669" s="14">
        <f t="shared" si="556"/>
        <v>0.19350000000000001</v>
      </c>
      <c r="T669" s="487">
        <f>SUM(R664:R676)</f>
        <v>105.9</v>
      </c>
      <c r="U669">
        <f t="shared" si="554"/>
        <v>4.7214353163361658</v>
      </c>
      <c r="V669" s="220">
        <f>U669*100/SUM(U664,U666:U676)</f>
        <v>5.8207217694994151</v>
      </c>
      <c r="W669" s="14" t="s">
        <v>1112</v>
      </c>
      <c r="X669">
        <f t="shared" si="615"/>
        <v>0.51867817748014589</v>
      </c>
      <c r="Y669" s="220" t="s">
        <v>1666</v>
      </c>
      <c r="Z669" s="220" t="str">
        <f t="shared" ref="Z669:Z672" si="748">Y669</f>
        <v>*</v>
      </c>
      <c r="AA669" s="792" t="s">
        <v>1624</v>
      </c>
      <c r="AB669" s="18" t="s">
        <v>1624</v>
      </c>
      <c r="AC669" s="13" t="str">
        <f t="shared" ref="AC669:AH669" si="749">AB669</f>
        <v>-</v>
      </c>
      <c r="AD669" s="13" t="str">
        <f t="shared" si="749"/>
        <v>-</v>
      </c>
      <c r="AE669" s="454" t="str">
        <f t="shared" si="749"/>
        <v>-</v>
      </c>
      <c r="AF669" s="454" t="str">
        <f t="shared" si="749"/>
        <v>-</v>
      </c>
      <c r="AG669" s="454" t="str">
        <f t="shared" si="749"/>
        <v>-</v>
      </c>
      <c r="AH669" s="454" t="str">
        <f t="shared" si="749"/>
        <v>-</v>
      </c>
    </row>
    <row r="670" spans="1:34" ht="14.25">
      <c r="A670" s="14" t="s">
        <v>4098</v>
      </c>
      <c r="B670" s="24" t="s">
        <v>2668</v>
      </c>
      <c r="C670" s="14" t="s">
        <v>2685</v>
      </c>
      <c r="D670" s="14" t="s">
        <v>2911</v>
      </c>
      <c r="E670" s="14" t="s">
        <v>4099</v>
      </c>
      <c r="F670" s="13">
        <v>32.67</v>
      </c>
      <c r="G670" s="14" t="s">
        <v>4082</v>
      </c>
      <c r="H670" s="13">
        <v>18064</v>
      </c>
      <c r="I670" s="655" t="s">
        <v>4135</v>
      </c>
      <c r="J670" s="14" t="s">
        <v>4136</v>
      </c>
      <c r="K670" s="478">
        <f t="shared" si="743"/>
        <v>8.9108910891089105E-2</v>
      </c>
      <c r="L670" s="220">
        <v>3.87</v>
      </c>
      <c r="M670" s="473" t="s">
        <v>4137</v>
      </c>
      <c r="N670" s="479" t="s">
        <v>2937</v>
      </c>
      <c r="O670" s="480" t="s">
        <v>2976</v>
      </c>
      <c r="P670" s="14" t="s">
        <v>3865</v>
      </c>
      <c r="Q670" s="553" t="s">
        <v>4094</v>
      </c>
      <c r="R670" s="14">
        <v>1.25</v>
      </c>
      <c r="S670" s="14">
        <f t="shared" si="556"/>
        <v>4.8375000000000001E-2</v>
      </c>
      <c r="T670" s="487">
        <f>SUM(R664:R676)</f>
        <v>105.9</v>
      </c>
      <c r="U670">
        <f t="shared" si="554"/>
        <v>1.1803588290840414</v>
      </c>
      <c r="V670" s="220">
        <f>U670*100/SUM(U664,U666:U676)</f>
        <v>1.4551804423748538</v>
      </c>
      <c r="W670" s="14" t="s">
        <v>1165</v>
      </c>
      <c r="X670">
        <f t="shared" si="615"/>
        <v>0.12966954437003647</v>
      </c>
      <c r="Y670" s="220" t="s">
        <v>1666</v>
      </c>
      <c r="Z670" s="220" t="str">
        <f t="shared" si="748"/>
        <v>*</v>
      </c>
      <c r="AA670" s="792" t="s">
        <v>1666</v>
      </c>
      <c r="AB670" s="18" t="s">
        <v>1666</v>
      </c>
      <c r="AC670" s="13" t="str">
        <f t="shared" ref="AC670:AH670" si="750">AB670</f>
        <v>*</v>
      </c>
      <c r="AD670" s="13" t="str">
        <f t="shared" si="750"/>
        <v>*</v>
      </c>
      <c r="AE670" s="454" t="str">
        <f t="shared" si="750"/>
        <v>*</v>
      </c>
      <c r="AF670" s="454" t="str">
        <f t="shared" si="750"/>
        <v>*</v>
      </c>
      <c r="AG670" s="454" t="str">
        <f t="shared" si="750"/>
        <v>*</v>
      </c>
      <c r="AH670" s="454" t="str">
        <f t="shared" si="750"/>
        <v>*</v>
      </c>
    </row>
    <row r="671" spans="1:34" ht="14.25">
      <c r="A671" s="14" t="s">
        <v>4098</v>
      </c>
      <c r="B671" s="24" t="s">
        <v>2668</v>
      </c>
      <c r="C671" s="14" t="s">
        <v>2685</v>
      </c>
      <c r="D671" s="14" t="s">
        <v>2911</v>
      </c>
      <c r="E671" s="14" t="s">
        <v>4099</v>
      </c>
      <c r="F671" s="13">
        <v>32.67</v>
      </c>
      <c r="G671" s="14" t="s">
        <v>4082</v>
      </c>
      <c r="H671" s="13">
        <v>18064</v>
      </c>
      <c r="I671" s="655" t="s">
        <v>4135</v>
      </c>
      <c r="J671" s="14" t="s">
        <v>4136</v>
      </c>
      <c r="K671" s="478">
        <f t="shared" si="743"/>
        <v>8.9108910891089105E-2</v>
      </c>
      <c r="L671" s="220">
        <v>3.87</v>
      </c>
      <c r="M671" s="473" t="s">
        <v>4137</v>
      </c>
      <c r="N671" s="479" t="s">
        <v>2937</v>
      </c>
      <c r="O671" s="480" t="s">
        <v>2976</v>
      </c>
      <c r="P671" s="14" t="s">
        <v>3021</v>
      </c>
      <c r="Q671" s="486" t="s">
        <v>3022</v>
      </c>
      <c r="R671" s="14">
        <v>1.4</v>
      </c>
      <c r="S671" s="14">
        <f t="shared" si="556"/>
        <v>5.4179999999999999E-2</v>
      </c>
      <c r="T671" s="487">
        <f>SUM(R664:R676)</f>
        <v>105.9</v>
      </c>
      <c r="U671">
        <f t="shared" si="554"/>
        <v>1.3220018885741265</v>
      </c>
      <c r="V671" s="220">
        <f>U671*100/SUM(U664,U666:U676)</f>
        <v>1.6298020954598365</v>
      </c>
      <c r="W671" s="14" t="s">
        <v>346</v>
      </c>
      <c r="X671">
        <f t="shared" si="615"/>
        <v>0.14522988969444087</v>
      </c>
      <c r="Y671" s="220" t="s">
        <v>1666</v>
      </c>
      <c r="Z671" s="220" t="str">
        <f t="shared" si="748"/>
        <v>*</v>
      </c>
      <c r="AA671" s="792" t="s">
        <v>1666</v>
      </c>
      <c r="AB671" s="18" t="s">
        <v>1666</v>
      </c>
      <c r="AC671" s="13" t="str">
        <f t="shared" ref="AC671:AH671" si="751">AB671</f>
        <v>*</v>
      </c>
      <c r="AD671" s="13" t="str">
        <f t="shared" si="751"/>
        <v>*</v>
      </c>
      <c r="AE671" s="454" t="str">
        <f t="shared" si="751"/>
        <v>*</v>
      </c>
      <c r="AF671" s="454" t="str">
        <f t="shared" si="751"/>
        <v>*</v>
      </c>
      <c r="AG671" s="454" t="str">
        <f t="shared" si="751"/>
        <v>*</v>
      </c>
      <c r="AH671" s="454" t="str">
        <f t="shared" si="751"/>
        <v>*</v>
      </c>
    </row>
    <row r="672" spans="1:34" ht="14.25">
      <c r="A672" s="14" t="s">
        <v>4098</v>
      </c>
      <c r="B672" s="24" t="s">
        <v>2668</v>
      </c>
      <c r="C672" s="14" t="s">
        <v>2685</v>
      </c>
      <c r="D672" s="14" t="s">
        <v>2911</v>
      </c>
      <c r="E672" s="14" t="s">
        <v>4099</v>
      </c>
      <c r="F672" s="13">
        <v>32.67</v>
      </c>
      <c r="G672" s="14" t="s">
        <v>4082</v>
      </c>
      <c r="H672" s="13">
        <v>18064</v>
      </c>
      <c r="I672" s="655" t="s">
        <v>4135</v>
      </c>
      <c r="J672" s="14" t="s">
        <v>4136</v>
      </c>
      <c r="K672" s="478">
        <f t="shared" si="743"/>
        <v>8.9108910891089105E-2</v>
      </c>
      <c r="L672" s="220">
        <v>3.87</v>
      </c>
      <c r="M672" s="473" t="s">
        <v>4137</v>
      </c>
      <c r="N672" s="479" t="s">
        <v>2937</v>
      </c>
      <c r="O672" s="480" t="s">
        <v>2976</v>
      </c>
      <c r="P672" s="14" t="s">
        <v>2948</v>
      </c>
      <c r="Q672" s="14" t="s">
        <v>2949</v>
      </c>
      <c r="R672" s="14">
        <v>1</v>
      </c>
      <c r="S672" s="14">
        <f t="shared" si="556"/>
        <v>3.8700000000000005E-2</v>
      </c>
      <c r="T672" s="487">
        <f>SUM(R664:R676)</f>
        <v>105.9</v>
      </c>
      <c r="U672">
        <f t="shared" si="554"/>
        <v>0.94428706326723322</v>
      </c>
      <c r="V672" s="220">
        <f>U672*100/SUM(U664,U666:U676)</f>
        <v>1.164144353899883</v>
      </c>
      <c r="W672" s="14" t="s">
        <v>305</v>
      </c>
      <c r="X672">
        <f t="shared" si="615"/>
        <v>0.10373563549602917</v>
      </c>
      <c r="Y672" s="220" t="s">
        <v>1666</v>
      </c>
      <c r="Z672" s="220" t="str">
        <f t="shared" si="748"/>
        <v>*</v>
      </c>
      <c r="AA672" s="792" t="s">
        <v>1666</v>
      </c>
      <c r="AB672" s="18" t="s">
        <v>1666</v>
      </c>
      <c r="AC672" s="13" t="str">
        <f t="shared" ref="AC672:AH672" si="752">AB672</f>
        <v>*</v>
      </c>
      <c r="AD672" s="13" t="str">
        <f t="shared" si="752"/>
        <v>*</v>
      </c>
      <c r="AE672" s="454" t="str">
        <f t="shared" si="752"/>
        <v>*</v>
      </c>
      <c r="AF672" s="454" t="str">
        <f t="shared" si="752"/>
        <v>*</v>
      </c>
      <c r="AG672" s="454" t="str">
        <f t="shared" si="752"/>
        <v>*</v>
      </c>
      <c r="AH672" s="454" t="str">
        <f t="shared" si="752"/>
        <v>*</v>
      </c>
    </row>
    <row r="673" spans="1:34" ht="14.25">
      <c r="A673" s="14" t="s">
        <v>4098</v>
      </c>
      <c r="B673" s="24" t="s">
        <v>2668</v>
      </c>
      <c r="C673" s="14" t="s">
        <v>2685</v>
      </c>
      <c r="D673" s="14" t="s">
        <v>2911</v>
      </c>
      <c r="E673" s="14" t="s">
        <v>4099</v>
      </c>
      <c r="F673" s="13">
        <v>32.67</v>
      </c>
      <c r="G673" s="14" t="s">
        <v>4082</v>
      </c>
      <c r="H673" s="13">
        <v>18064</v>
      </c>
      <c r="I673" s="655" t="s">
        <v>4135</v>
      </c>
      <c r="J673" s="14" t="s">
        <v>4136</v>
      </c>
      <c r="K673" s="478">
        <f t="shared" si="743"/>
        <v>8.9108910891089105E-2</v>
      </c>
      <c r="L673" s="220">
        <v>3.87</v>
      </c>
      <c r="M673" s="473" t="s">
        <v>4137</v>
      </c>
      <c r="N673" s="479" t="s">
        <v>2937</v>
      </c>
      <c r="O673" s="480" t="s">
        <v>2976</v>
      </c>
      <c r="P673" s="14" t="s">
        <v>430</v>
      </c>
      <c r="Q673" s="527" t="s">
        <v>4086</v>
      </c>
      <c r="R673" s="14">
        <v>1</v>
      </c>
      <c r="S673" s="14">
        <f t="shared" si="556"/>
        <v>3.8700000000000005E-2</v>
      </c>
      <c r="T673" s="487">
        <f>SUM(R664:R676)</f>
        <v>105.9</v>
      </c>
      <c r="U673">
        <f t="shared" si="554"/>
        <v>0.94428706326723322</v>
      </c>
      <c r="V673" s="220">
        <f>U673*100/SUM(U664,U666:U676)</f>
        <v>1.164144353899883</v>
      </c>
      <c r="W673" s="14" t="s">
        <v>430</v>
      </c>
      <c r="X673">
        <f t="shared" si="615"/>
        <v>0.10373563549602917</v>
      </c>
      <c r="Y673" s="220" t="s">
        <v>1624</v>
      </c>
      <c r="Z673" s="220" t="s">
        <v>1666</v>
      </c>
      <c r="AA673" s="792" t="s">
        <v>1666</v>
      </c>
      <c r="AB673" s="18" t="s">
        <v>1666</v>
      </c>
      <c r="AC673" s="13" t="str">
        <f t="shared" ref="AC673:AH673" si="753">AB673</f>
        <v>*</v>
      </c>
      <c r="AD673" s="13" t="str">
        <f t="shared" si="753"/>
        <v>*</v>
      </c>
      <c r="AE673" s="454" t="str">
        <f t="shared" si="753"/>
        <v>*</v>
      </c>
      <c r="AF673" s="454" t="str">
        <f t="shared" si="753"/>
        <v>*</v>
      </c>
      <c r="AG673" s="454" t="str">
        <f t="shared" si="753"/>
        <v>*</v>
      </c>
      <c r="AH673" s="454" t="str">
        <f t="shared" si="753"/>
        <v>*</v>
      </c>
    </row>
    <row r="674" spans="1:34" ht="14.25">
      <c r="A674" s="14" t="s">
        <v>4098</v>
      </c>
      <c r="B674" s="24" t="s">
        <v>2668</v>
      </c>
      <c r="C674" s="14" t="s">
        <v>2685</v>
      </c>
      <c r="D674" s="14" t="s">
        <v>2911</v>
      </c>
      <c r="E674" s="14" t="s">
        <v>4099</v>
      </c>
      <c r="F674" s="13">
        <v>32.67</v>
      </c>
      <c r="G674" s="14" t="s">
        <v>4082</v>
      </c>
      <c r="H674" s="13">
        <v>18064</v>
      </c>
      <c r="I674" s="655" t="s">
        <v>4135</v>
      </c>
      <c r="J674" s="14" t="s">
        <v>4136</v>
      </c>
      <c r="K674" s="478">
        <f t="shared" si="743"/>
        <v>8.9108910891089105E-2</v>
      </c>
      <c r="L674" s="220">
        <v>3.87</v>
      </c>
      <c r="M674" s="473" t="s">
        <v>4137</v>
      </c>
      <c r="N674" s="479" t="s">
        <v>2937</v>
      </c>
      <c r="O674" s="480" t="s">
        <v>2976</v>
      </c>
      <c r="P674" s="14" t="s">
        <v>2994</v>
      </c>
      <c r="Q674" s="14" t="s">
        <v>2995</v>
      </c>
      <c r="R674" s="14">
        <v>1</v>
      </c>
      <c r="S674" s="14">
        <f t="shared" si="556"/>
        <v>3.8700000000000005E-2</v>
      </c>
      <c r="T674" s="487">
        <f>SUM(R664:R676)</f>
        <v>105.9</v>
      </c>
      <c r="U674">
        <f t="shared" si="554"/>
        <v>0.94428706326723322</v>
      </c>
      <c r="V674" s="220">
        <f>U674*100/SUM(U664,U666:U676)</f>
        <v>1.164144353899883</v>
      </c>
      <c r="W674" s="14" t="s">
        <v>121</v>
      </c>
      <c r="X674">
        <f t="shared" si="615"/>
        <v>0.10373563549602917</v>
      </c>
      <c r="Y674" s="220" t="s">
        <v>1666</v>
      </c>
      <c r="Z674" s="220" t="str">
        <f t="shared" ref="Z674:Z675" si="754">Y674</f>
        <v>*</v>
      </c>
      <c r="AA674" s="792" t="s">
        <v>1666</v>
      </c>
      <c r="AB674" s="18" t="s">
        <v>1666</v>
      </c>
      <c r="AC674" s="13" t="str">
        <f t="shared" ref="AC674:AH674" si="755">AB674</f>
        <v>*</v>
      </c>
      <c r="AD674" s="13" t="str">
        <f t="shared" si="755"/>
        <v>*</v>
      </c>
      <c r="AE674" s="454" t="str">
        <f t="shared" si="755"/>
        <v>*</v>
      </c>
      <c r="AF674" s="454" t="str">
        <f t="shared" si="755"/>
        <v>*</v>
      </c>
      <c r="AG674" s="454" t="str">
        <f t="shared" si="755"/>
        <v>*</v>
      </c>
      <c r="AH674" s="454" t="str">
        <f t="shared" si="755"/>
        <v>*</v>
      </c>
    </row>
    <row r="675" spans="1:34" ht="14.25">
      <c r="A675" s="14" t="s">
        <v>4098</v>
      </c>
      <c r="B675" s="24" t="s">
        <v>2668</v>
      </c>
      <c r="C675" s="14" t="s">
        <v>2685</v>
      </c>
      <c r="D675" s="14" t="s">
        <v>2911</v>
      </c>
      <c r="E675" s="14" t="s">
        <v>4099</v>
      </c>
      <c r="F675" s="13">
        <v>32.67</v>
      </c>
      <c r="G675" s="14" t="s">
        <v>4082</v>
      </c>
      <c r="H675" s="13">
        <v>18064</v>
      </c>
      <c r="I675" s="655" t="s">
        <v>4135</v>
      </c>
      <c r="J675" s="14" t="s">
        <v>4136</v>
      </c>
      <c r="K675" s="478">
        <f t="shared" si="743"/>
        <v>8.9108910891089105E-2</v>
      </c>
      <c r="L675" s="220">
        <v>3.87</v>
      </c>
      <c r="M675" s="473" t="s">
        <v>4137</v>
      </c>
      <c r="N675" s="479" t="s">
        <v>2937</v>
      </c>
      <c r="O675" s="480" t="s">
        <v>2976</v>
      </c>
      <c r="P675" s="655" t="s">
        <v>3005</v>
      </c>
      <c r="Q675" s="486" t="s">
        <v>4138</v>
      </c>
      <c r="R675" s="14">
        <v>1</v>
      </c>
      <c r="S675" s="14">
        <f t="shared" si="556"/>
        <v>3.8700000000000005E-2</v>
      </c>
      <c r="T675" s="487">
        <f>SUM(R664:R676)</f>
        <v>105.9</v>
      </c>
      <c r="U675">
        <f t="shared" si="554"/>
        <v>0.94428706326723322</v>
      </c>
      <c r="V675" s="220">
        <f>U675*100/SUM(U664,U666:U676)</f>
        <v>1.164144353899883</v>
      </c>
      <c r="W675" s="14" t="s">
        <v>2779</v>
      </c>
      <c r="X675">
        <f t="shared" si="615"/>
        <v>0.10373563549602917</v>
      </c>
      <c r="Y675" s="220" t="s">
        <v>1666</v>
      </c>
      <c r="Z675" s="220" t="str">
        <f t="shared" si="754"/>
        <v>*</v>
      </c>
      <c r="AA675" s="792" t="s">
        <v>1666</v>
      </c>
      <c r="AB675" s="18" t="s">
        <v>1666</v>
      </c>
      <c r="AC675" s="13" t="str">
        <f t="shared" ref="AC675:AH675" si="756">AB675</f>
        <v>*</v>
      </c>
      <c r="AD675" s="13" t="str">
        <f t="shared" si="756"/>
        <v>*</v>
      </c>
      <c r="AE675" s="454" t="str">
        <f t="shared" si="756"/>
        <v>*</v>
      </c>
      <c r="AF675" s="454" t="str">
        <f t="shared" si="756"/>
        <v>*</v>
      </c>
      <c r="AG675" s="454" t="str">
        <f t="shared" si="756"/>
        <v>*</v>
      </c>
      <c r="AH675" s="454" t="str">
        <f t="shared" si="756"/>
        <v>*</v>
      </c>
    </row>
    <row r="676" spans="1:34" ht="14.25">
      <c r="A676" s="14" t="s">
        <v>4098</v>
      </c>
      <c r="B676" s="24" t="s">
        <v>2668</v>
      </c>
      <c r="C676" s="14" t="s">
        <v>2685</v>
      </c>
      <c r="D676" s="14" t="s">
        <v>2911</v>
      </c>
      <c r="E676" s="14" t="s">
        <v>4099</v>
      </c>
      <c r="F676" s="13">
        <v>32.67</v>
      </c>
      <c r="G676" s="14" t="s">
        <v>4082</v>
      </c>
      <c r="H676" s="13">
        <v>18064</v>
      </c>
      <c r="I676" s="848" t="s">
        <v>4135</v>
      </c>
      <c r="J676" s="135" t="s">
        <v>4136</v>
      </c>
      <c r="K676" s="475">
        <f t="shared" si="743"/>
        <v>8.9108910891089105E-2</v>
      </c>
      <c r="L676" s="476">
        <v>3.87</v>
      </c>
      <c r="M676" s="492" t="s">
        <v>4137</v>
      </c>
      <c r="N676" s="493" t="s">
        <v>2937</v>
      </c>
      <c r="O676" s="494" t="s">
        <v>2976</v>
      </c>
      <c r="P676" s="135" t="s">
        <v>3072</v>
      </c>
      <c r="Q676" s="135" t="s">
        <v>3073</v>
      </c>
      <c r="R676" s="135">
        <v>1</v>
      </c>
      <c r="S676" s="14">
        <f t="shared" si="556"/>
        <v>3.8700000000000005E-2</v>
      </c>
      <c r="T676" s="853">
        <f>SUM(R664:R676)</f>
        <v>105.9</v>
      </c>
      <c r="U676" s="135">
        <f t="shared" si="554"/>
        <v>0.94428706326723322</v>
      </c>
      <c r="V676" s="476">
        <f>U676*100/SUM(U664,U666:U676)</f>
        <v>1.164144353899883</v>
      </c>
      <c r="W676" s="135" t="s">
        <v>343</v>
      </c>
      <c r="X676">
        <f t="shared" si="615"/>
        <v>0.10373563549602917</v>
      </c>
      <c r="Y676" s="220" t="s">
        <v>1666</v>
      </c>
      <c r="Z676" s="220" t="s">
        <v>1666</v>
      </c>
      <c r="AA676" s="792" t="s">
        <v>1666</v>
      </c>
      <c r="AB676" s="18" t="s">
        <v>1666</v>
      </c>
      <c r="AC676" s="13" t="str">
        <f t="shared" ref="AC676:AH676" si="757">AB676</f>
        <v>*</v>
      </c>
      <c r="AD676" s="13" t="str">
        <f t="shared" si="757"/>
        <v>*</v>
      </c>
      <c r="AE676" s="454" t="str">
        <f t="shared" si="757"/>
        <v>*</v>
      </c>
      <c r="AF676" s="454" t="str">
        <f t="shared" si="757"/>
        <v>*</v>
      </c>
      <c r="AG676" s="454" t="str">
        <f t="shared" si="757"/>
        <v>*</v>
      </c>
      <c r="AH676" s="454" t="str">
        <f t="shared" si="757"/>
        <v>*</v>
      </c>
    </row>
    <row r="677" spans="1:34" ht="12.75">
      <c r="A677" s="14" t="s">
        <v>4098</v>
      </c>
      <c r="B677" s="24" t="s">
        <v>2668</v>
      </c>
      <c r="C677" s="14" t="s">
        <v>2685</v>
      </c>
      <c r="D677" s="14" t="s">
        <v>2911</v>
      </c>
      <c r="E677" s="14" t="s">
        <v>4099</v>
      </c>
      <c r="F677" s="13">
        <v>32.67</v>
      </c>
      <c r="G677" s="14" t="s">
        <v>4082</v>
      </c>
      <c r="H677" s="13">
        <v>18064</v>
      </c>
      <c r="I677" s="14" t="s">
        <v>4139</v>
      </c>
      <c r="J677" s="14" t="s">
        <v>4140</v>
      </c>
      <c r="K677" s="478">
        <f t="shared" ref="K677:K696" si="758">12/101</f>
        <v>0.11881188118811881</v>
      </c>
      <c r="L677" s="220">
        <v>3.24</v>
      </c>
      <c r="M677" s="473" t="s">
        <v>4141</v>
      </c>
      <c r="N677" s="473"/>
      <c r="O677" s="480"/>
      <c r="P677" s="655" t="s">
        <v>3005</v>
      </c>
      <c r="Q677" s="486" t="s">
        <v>3006</v>
      </c>
      <c r="R677" s="14">
        <v>45</v>
      </c>
      <c r="S677" s="162">
        <f t="shared" si="556"/>
        <v>1.4580000000000002</v>
      </c>
      <c r="T677" s="487">
        <f>SUM(R677:R696)</f>
        <v>100.7</v>
      </c>
      <c r="U677" s="14">
        <f t="shared" si="554"/>
        <v>44.68718967229394</v>
      </c>
      <c r="V677" s="220">
        <f>U677*100/SUM(U677:U678,U680:U696)</f>
        <v>59.445178335534983</v>
      </c>
      <c r="W677" s="14" t="s">
        <v>2779</v>
      </c>
      <c r="X677">
        <f t="shared" si="615"/>
        <v>7.0627934656081166</v>
      </c>
      <c r="Y677" s="220" t="s">
        <v>1666</v>
      </c>
      <c r="Z677" s="220" t="str">
        <f t="shared" ref="Z677:Z679" si="759">Y677</f>
        <v>*</v>
      </c>
      <c r="AA677" s="792" t="s">
        <v>1666</v>
      </c>
      <c r="AB677" s="18" t="s">
        <v>1666</v>
      </c>
      <c r="AC677" s="13" t="str">
        <f t="shared" ref="AC677:AH677" si="760">AB677</f>
        <v>*</v>
      </c>
      <c r="AD677" s="13" t="str">
        <f t="shared" si="760"/>
        <v>*</v>
      </c>
      <c r="AE677" s="454" t="str">
        <f t="shared" si="760"/>
        <v>*</v>
      </c>
      <c r="AF677" s="454" t="str">
        <f t="shared" si="760"/>
        <v>*</v>
      </c>
      <c r="AG677" s="454" t="str">
        <f t="shared" si="760"/>
        <v>*</v>
      </c>
      <c r="AH677" s="454" t="str">
        <f t="shared" si="760"/>
        <v>*</v>
      </c>
    </row>
    <row r="678" spans="1:34" ht="12.75">
      <c r="A678" s="14" t="s">
        <v>4098</v>
      </c>
      <c r="B678" s="24" t="s">
        <v>2668</v>
      </c>
      <c r="C678" s="14" t="s">
        <v>2685</v>
      </c>
      <c r="D678" s="14" t="s">
        <v>2911</v>
      </c>
      <c r="E678" s="14" t="s">
        <v>4099</v>
      </c>
      <c r="F678" s="13">
        <v>32.67</v>
      </c>
      <c r="G678" s="14" t="s">
        <v>4082</v>
      </c>
      <c r="H678" s="13">
        <v>18064</v>
      </c>
      <c r="I678" s="14" t="s">
        <v>4139</v>
      </c>
      <c r="J678" s="14" t="s">
        <v>4140</v>
      </c>
      <c r="K678" s="478">
        <f t="shared" si="758"/>
        <v>0.11881188118811881</v>
      </c>
      <c r="L678" s="220">
        <v>3.24</v>
      </c>
      <c r="M678" s="473" t="s">
        <v>4141</v>
      </c>
      <c r="N678" s="473"/>
      <c r="O678" s="480"/>
      <c r="P678" s="14" t="s">
        <v>3862</v>
      </c>
      <c r="Q678" s="486" t="s">
        <v>3863</v>
      </c>
      <c r="R678" s="14">
        <v>4</v>
      </c>
      <c r="S678" s="14">
        <f t="shared" si="556"/>
        <v>0.12960000000000002</v>
      </c>
      <c r="T678" s="487">
        <f>SUM(R677:R696)</f>
        <v>100.7</v>
      </c>
      <c r="U678" s="14">
        <f t="shared" si="554"/>
        <v>3.972194637537239</v>
      </c>
      <c r="V678" s="220">
        <f>U678*100/SUM(U677:U678,U680:U696)</f>
        <v>5.2840158520475535</v>
      </c>
      <c r="W678" s="14" t="s">
        <v>2662</v>
      </c>
      <c r="X678">
        <f t="shared" si="615"/>
        <v>0.62780386360961027</v>
      </c>
      <c r="Y678" s="220" t="s">
        <v>1666</v>
      </c>
      <c r="Z678" s="220" t="str">
        <f t="shared" si="759"/>
        <v>*</v>
      </c>
      <c r="AA678" s="792" t="s">
        <v>1666</v>
      </c>
      <c r="AB678" s="18" t="s">
        <v>1666</v>
      </c>
      <c r="AC678" s="13" t="str">
        <f t="shared" ref="AC678:AH678" si="761">AB678</f>
        <v>*</v>
      </c>
      <c r="AD678" s="13" t="str">
        <f t="shared" si="761"/>
        <v>*</v>
      </c>
      <c r="AE678" s="454" t="str">
        <f t="shared" si="761"/>
        <v>*</v>
      </c>
      <c r="AF678" s="454" t="str">
        <f t="shared" si="761"/>
        <v>*</v>
      </c>
      <c r="AG678" s="454" t="str">
        <f t="shared" si="761"/>
        <v>*</v>
      </c>
      <c r="AH678" s="454" t="str">
        <f t="shared" si="761"/>
        <v>*</v>
      </c>
    </row>
    <row r="679" spans="1:34" ht="12.75">
      <c r="A679" s="14" t="s">
        <v>4098</v>
      </c>
      <c r="B679" s="24" t="s">
        <v>2668</v>
      </c>
      <c r="C679" s="14" t="s">
        <v>2685</v>
      </c>
      <c r="D679" s="14" t="s">
        <v>2911</v>
      </c>
      <c r="E679" s="14" t="s">
        <v>4099</v>
      </c>
      <c r="F679" s="13">
        <v>32.67</v>
      </c>
      <c r="G679" s="14" t="s">
        <v>4082</v>
      </c>
      <c r="H679" s="13">
        <v>18064</v>
      </c>
      <c r="I679" s="14" t="s">
        <v>4139</v>
      </c>
      <c r="J679" s="14" t="s">
        <v>4140</v>
      </c>
      <c r="K679" s="478">
        <f t="shared" si="758"/>
        <v>0.11881188118811881</v>
      </c>
      <c r="L679" s="220">
        <v>3.24</v>
      </c>
      <c r="M679" s="473" t="s">
        <v>4141</v>
      </c>
      <c r="N679" s="473"/>
      <c r="O679" s="480"/>
      <c r="P679" s="14" t="s">
        <v>2938</v>
      </c>
      <c r="Q679" s="435" t="s">
        <v>2939</v>
      </c>
      <c r="R679" s="14">
        <v>25</v>
      </c>
      <c r="S679" s="14">
        <f t="shared" si="556"/>
        <v>0.81</v>
      </c>
      <c r="T679" s="487">
        <f>SUM(R677:R696)</f>
        <v>100.7</v>
      </c>
      <c r="U679" s="14">
        <f t="shared" si="554"/>
        <v>24.826216484607745</v>
      </c>
      <c r="V679" s="481">
        <f>U679</f>
        <v>24.826216484607745</v>
      </c>
      <c r="W679" s="482" t="s">
        <v>72</v>
      </c>
      <c r="X679" s="482">
        <f t="shared" si="615"/>
        <v>2.9496494833197318</v>
      </c>
      <c r="Y679" s="220" t="s">
        <v>1666</v>
      </c>
      <c r="Z679" s="220" t="str">
        <f t="shared" si="759"/>
        <v>*</v>
      </c>
      <c r="AA679" s="792" t="s">
        <v>1666</v>
      </c>
      <c r="AB679" s="18" t="s">
        <v>1666</v>
      </c>
      <c r="AC679" s="13" t="str">
        <f t="shared" ref="AC679:AH679" si="762">AB679</f>
        <v>*</v>
      </c>
      <c r="AD679" s="13" t="str">
        <f t="shared" si="762"/>
        <v>*</v>
      </c>
      <c r="AE679" s="454" t="str">
        <f t="shared" si="762"/>
        <v>*</v>
      </c>
      <c r="AF679" s="454" t="str">
        <f t="shared" si="762"/>
        <v>*</v>
      </c>
      <c r="AG679" s="454" t="str">
        <f t="shared" si="762"/>
        <v>*</v>
      </c>
      <c r="AH679" s="454" t="str">
        <f t="shared" si="762"/>
        <v>*</v>
      </c>
    </row>
    <row r="680" spans="1:34" ht="12.75">
      <c r="A680" s="14" t="s">
        <v>4098</v>
      </c>
      <c r="B680" s="24" t="s">
        <v>2668</v>
      </c>
      <c r="C680" s="14" t="s">
        <v>2685</v>
      </c>
      <c r="D680" s="14" t="s">
        <v>2911</v>
      </c>
      <c r="E680" s="14" t="s">
        <v>4099</v>
      </c>
      <c r="F680" s="13">
        <v>32.67</v>
      </c>
      <c r="G680" s="14" t="s">
        <v>4082</v>
      </c>
      <c r="H680" s="13">
        <v>18064</v>
      </c>
      <c r="I680" s="14" t="s">
        <v>4139</v>
      </c>
      <c r="J680" s="14" t="s">
        <v>4140</v>
      </c>
      <c r="K680" s="478">
        <f t="shared" si="758"/>
        <v>0.11881188118811881</v>
      </c>
      <c r="L680" s="220">
        <v>3.24</v>
      </c>
      <c r="M680" s="473" t="s">
        <v>4141</v>
      </c>
      <c r="N680" s="473"/>
      <c r="O680" s="480"/>
      <c r="P680" s="14" t="s">
        <v>2962</v>
      </c>
      <c r="Q680" s="435" t="s">
        <v>2963</v>
      </c>
      <c r="R680" s="14">
        <v>5</v>
      </c>
      <c r="S680" s="14">
        <f t="shared" si="556"/>
        <v>0.16200000000000003</v>
      </c>
      <c r="T680" s="487">
        <f>SUM(R677:R696)</f>
        <v>100.7</v>
      </c>
      <c r="U680" s="14">
        <f t="shared" si="554"/>
        <v>4.9652432969215488</v>
      </c>
      <c r="V680" s="220">
        <f>U680*100/SUM(U677:U678,U680:U696)</f>
        <v>6.6050198150594417</v>
      </c>
      <c r="W680" s="14" t="s">
        <v>425</v>
      </c>
      <c r="X680">
        <f t="shared" si="615"/>
        <v>0.78475482951201281</v>
      </c>
      <c r="Y680" s="220" t="s">
        <v>1666</v>
      </c>
      <c r="Z680" s="220" t="s">
        <v>1666</v>
      </c>
      <c r="AA680" s="792" t="s">
        <v>1666</v>
      </c>
      <c r="AB680" s="18" t="s">
        <v>1666</v>
      </c>
      <c r="AC680" s="13" t="str">
        <f t="shared" ref="AC680:AH680" si="763">AB680</f>
        <v>*</v>
      </c>
      <c r="AD680" s="13" t="str">
        <f t="shared" si="763"/>
        <v>*</v>
      </c>
      <c r="AE680" s="454" t="str">
        <f t="shared" si="763"/>
        <v>*</v>
      </c>
      <c r="AF680" s="454" t="str">
        <f t="shared" si="763"/>
        <v>*</v>
      </c>
      <c r="AG680" s="454" t="str">
        <f t="shared" si="763"/>
        <v>*</v>
      </c>
      <c r="AH680" s="454" t="str">
        <f t="shared" si="763"/>
        <v>*</v>
      </c>
    </row>
    <row r="681" spans="1:34" ht="12.75">
      <c r="A681" s="14" t="s">
        <v>4098</v>
      </c>
      <c r="B681" s="24" t="s">
        <v>2668</v>
      </c>
      <c r="C681" s="14" t="s">
        <v>2685</v>
      </c>
      <c r="D681" s="14" t="s">
        <v>2911</v>
      </c>
      <c r="E681" s="14" t="s">
        <v>4099</v>
      </c>
      <c r="F681" s="13">
        <v>32.67</v>
      </c>
      <c r="G681" s="14" t="s">
        <v>4082</v>
      </c>
      <c r="H681" s="13">
        <v>18064</v>
      </c>
      <c r="I681" s="14" t="s">
        <v>4139</v>
      </c>
      <c r="J681" s="14" t="s">
        <v>4140</v>
      </c>
      <c r="K681" s="478">
        <f t="shared" si="758"/>
        <v>0.11881188118811881</v>
      </c>
      <c r="L681" s="220">
        <v>3.24</v>
      </c>
      <c r="M681" s="473" t="s">
        <v>4141</v>
      </c>
      <c r="N681" s="473"/>
      <c r="O681" s="480"/>
      <c r="P681" s="14" t="s">
        <v>3973</v>
      </c>
      <c r="Q681" s="486" t="s">
        <v>3998</v>
      </c>
      <c r="R681" s="14">
        <v>5</v>
      </c>
      <c r="S681" s="14">
        <f t="shared" si="556"/>
        <v>0.16200000000000003</v>
      </c>
      <c r="T681" s="487">
        <f>SUM(R677:R696)</f>
        <v>100.7</v>
      </c>
      <c r="U681" s="14">
        <f t="shared" si="554"/>
        <v>4.9652432969215488</v>
      </c>
      <c r="V681" s="220">
        <f>U681*100/SUM(U677:U678,U680:U696)</f>
        <v>6.6050198150594417</v>
      </c>
      <c r="W681" s="14" t="s">
        <v>1112</v>
      </c>
      <c r="X681">
        <f t="shared" si="615"/>
        <v>0.78475482951201281</v>
      </c>
      <c r="Y681" s="220" t="s">
        <v>1666</v>
      </c>
      <c r="Z681" s="220" t="str">
        <f t="shared" ref="Z681:Z682" si="764">Y681</f>
        <v>*</v>
      </c>
      <c r="AA681" s="792" t="s">
        <v>1666</v>
      </c>
      <c r="AB681" s="18" t="s">
        <v>1666</v>
      </c>
      <c r="AC681" s="13" t="str">
        <f t="shared" ref="AC681:AH681" si="765">AB681</f>
        <v>*</v>
      </c>
      <c r="AD681" s="13" t="str">
        <f t="shared" si="765"/>
        <v>*</v>
      </c>
      <c r="AE681" s="454" t="str">
        <f t="shared" si="765"/>
        <v>*</v>
      </c>
      <c r="AF681" s="454" t="str">
        <f t="shared" si="765"/>
        <v>*</v>
      </c>
      <c r="AG681" s="454" t="str">
        <f t="shared" si="765"/>
        <v>*</v>
      </c>
      <c r="AH681" s="454" t="str">
        <f t="shared" si="765"/>
        <v>*</v>
      </c>
    </row>
    <row r="682" spans="1:34" ht="12.75">
      <c r="A682" s="14" t="s">
        <v>4098</v>
      </c>
      <c r="B682" s="24" t="s">
        <v>2668</v>
      </c>
      <c r="C682" s="14" t="s">
        <v>2685</v>
      </c>
      <c r="D682" s="14" t="s">
        <v>2911</v>
      </c>
      <c r="E682" s="14" t="s">
        <v>4099</v>
      </c>
      <c r="F682" s="13">
        <v>32.67</v>
      </c>
      <c r="G682" s="14" t="s">
        <v>4082</v>
      </c>
      <c r="H682" s="13">
        <v>18064</v>
      </c>
      <c r="I682" s="14" t="s">
        <v>4139</v>
      </c>
      <c r="J682" s="14" t="s">
        <v>4140</v>
      </c>
      <c r="K682" s="478">
        <f t="shared" si="758"/>
        <v>0.11881188118811881</v>
      </c>
      <c r="L682" s="220">
        <v>3.24</v>
      </c>
      <c r="M682" s="473" t="s">
        <v>4141</v>
      </c>
      <c r="N682" s="473"/>
      <c r="O682" s="480"/>
      <c r="P682" s="14" t="s">
        <v>4045</v>
      </c>
      <c r="Q682" s="10" t="s">
        <v>4046</v>
      </c>
      <c r="R682" s="14">
        <v>5</v>
      </c>
      <c r="S682" s="14">
        <f t="shared" si="556"/>
        <v>0.16200000000000003</v>
      </c>
      <c r="T682" s="487">
        <f>SUM(R677:R696)</f>
        <v>100.7</v>
      </c>
      <c r="U682" s="14">
        <f t="shared" si="554"/>
        <v>4.9652432969215488</v>
      </c>
      <c r="V682" s="220">
        <f>U682*100/SUM(U677:U678,U680:U696)</f>
        <v>6.6050198150594417</v>
      </c>
      <c r="W682" s="14" t="s">
        <v>250</v>
      </c>
      <c r="X682">
        <f t="shared" si="615"/>
        <v>0.78475482951201281</v>
      </c>
      <c r="Y682" s="220" t="s">
        <v>1666</v>
      </c>
      <c r="Z682" s="220" t="str">
        <f t="shared" si="764"/>
        <v>*</v>
      </c>
      <c r="AA682" s="792" t="s">
        <v>1666</v>
      </c>
      <c r="AB682" s="18" t="s">
        <v>1666</v>
      </c>
      <c r="AC682" s="13" t="str">
        <f t="shared" ref="AC682:AH682" si="766">AB682</f>
        <v>*</v>
      </c>
      <c r="AD682" s="13" t="str">
        <f t="shared" si="766"/>
        <v>*</v>
      </c>
      <c r="AE682" s="454" t="str">
        <f t="shared" si="766"/>
        <v>*</v>
      </c>
      <c r="AF682" s="454" t="str">
        <f t="shared" si="766"/>
        <v>*</v>
      </c>
      <c r="AG682" s="454" t="str">
        <f t="shared" si="766"/>
        <v>*</v>
      </c>
      <c r="AH682" s="454" t="str">
        <f t="shared" si="766"/>
        <v>*</v>
      </c>
    </row>
    <row r="683" spans="1:34" ht="12.75">
      <c r="A683" s="14" t="s">
        <v>4098</v>
      </c>
      <c r="B683" s="24" t="s">
        <v>2668</v>
      </c>
      <c r="C683" s="14" t="s">
        <v>2685</v>
      </c>
      <c r="D683" s="14" t="s">
        <v>2911</v>
      </c>
      <c r="E683" s="14" t="s">
        <v>4099</v>
      </c>
      <c r="F683" s="13">
        <v>32.67</v>
      </c>
      <c r="G683" s="14" t="s">
        <v>4082</v>
      </c>
      <c r="H683" s="13">
        <v>18064</v>
      </c>
      <c r="I683" s="14" t="s">
        <v>4139</v>
      </c>
      <c r="J683" s="14" t="s">
        <v>4140</v>
      </c>
      <c r="K683" s="478">
        <f t="shared" si="758"/>
        <v>0.11881188118811881</v>
      </c>
      <c r="L683" s="220">
        <v>3.24</v>
      </c>
      <c r="M683" s="473" t="s">
        <v>4141</v>
      </c>
      <c r="N683" s="473"/>
      <c r="O683" s="480"/>
      <c r="P683" s="14" t="s">
        <v>4039</v>
      </c>
      <c r="Q683" s="14" t="s">
        <v>4111</v>
      </c>
      <c r="R683" s="14">
        <v>1.25</v>
      </c>
      <c r="S683" s="14">
        <f t="shared" si="556"/>
        <v>4.0500000000000008E-2</v>
      </c>
      <c r="T683" s="487">
        <f>SUM(R677:R696)</f>
        <v>100.7</v>
      </c>
      <c r="U683" s="14">
        <f t="shared" si="554"/>
        <v>1.2413108242303872</v>
      </c>
      <c r="V683" s="220">
        <f>U683*100/SUM(U677:U678,U680:U696)</f>
        <v>1.6512549537648604</v>
      </c>
      <c r="W683" s="14" t="s">
        <v>1113</v>
      </c>
      <c r="X683">
        <f t="shared" si="615"/>
        <v>0.1961887073780032</v>
      </c>
      <c r="Y683" s="220" t="s">
        <v>1666</v>
      </c>
      <c r="Z683" s="220">
        <f>X683</f>
        <v>0.1961887073780032</v>
      </c>
      <c r="AA683" s="792">
        <f>Z683</f>
        <v>0.1961887073780032</v>
      </c>
      <c r="AB683" s="18" t="s">
        <v>2691</v>
      </c>
      <c r="AC683" s="13" t="s">
        <v>4142</v>
      </c>
      <c r="AD683" s="13" t="s">
        <v>3529</v>
      </c>
      <c r="AE683" s="12">
        <v>3.8297066240151499E-4</v>
      </c>
      <c r="AF683" s="12">
        <v>1.2726079536012401E-2</v>
      </c>
      <c r="AG683" s="12">
        <v>1.225E-5</v>
      </c>
      <c r="AH683" s="12">
        <v>1.5432370941286443E-5</v>
      </c>
    </row>
    <row r="684" spans="1:34" ht="12.75">
      <c r="A684" s="14" t="s">
        <v>4098</v>
      </c>
      <c r="B684" s="24" t="s">
        <v>2668</v>
      </c>
      <c r="C684" s="14" t="s">
        <v>2685</v>
      </c>
      <c r="D684" s="14" t="s">
        <v>2911</v>
      </c>
      <c r="E684" s="14" t="s">
        <v>4099</v>
      </c>
      <c r="F684" s="13">
        <v>32.67</v>
      </c>
      <c r="G684" s="14" t="s">
        <v>4082</v>
      </c>
      <c r="H684" s="13">
        <v>18064</v>
      </c>
      <c r="I684" s="14" t="s">
        <v>4139</v>
      </c>
      <c r="J684" s="14" t="s">
        <v>4140</v>
      </c>
      <c r="K684" s="478">
        <f t="shared" si="758"/>
        <v>0.11881188118811881</v>
      </c>
      <c r="L684" s="220">
        <v>3.24</v>
      </c>
      <c r="M684" s="473" t="s">
        <v>4141</v>
      </c>
      <c r="N684" s="473"/>
      <c r="O684" s="480"/>
      <c r="P684" s="14" t="s">
        <v>214</v>
      </c>
      <c r="Q684" s="14" t="s">
        <v>3980</v>
      </c>
      <c r="R684" s="14">
        <v>1.25</v>
      </c>
      <c r="S684" s="14">
        <f t="shared" si="556"/>
        <v>4.0500000000000008E-2</v>
      </c>
      <c r="T684" s="487">
        <f>SUM(R677:R696)</f>
        <v>100.7</v>
      </c>
      <c r="U684" s="14">
        <f t="shared" si="554"/>
        <v>1.2413108242303872</v>
      </c>
      <c r="V684" s="220">
        <f>U684*100/SUM(U677:U678,U680:U696)</f>
        <v>1.6512549537648604</v>
      </c>
      <c r="W684" s="14" t="s">
        <v>214</v>
      </c>
      <c r="X684">
        <f t="shared" si="615"/>
        <v>0.1961887073780032</v>
      </c>
      <c r="Y684" s="220" t="s">
        <v>1666</v>
      </c>
      <c r="Z684" s="220" t="str">
        <f t="shared" ref="Z684:Z686" si="767">Y684</f>
        <v>*</v>
      </c>
      <c r="AA684" s="792" t="s">
        <v>1666</v>
      </c>
      <c r="AB684" s="18" t="s">
        <v>1666</v>
      </c>
      <c r="AC684" s="13" t="str">
        <f t="shared" ref="AC684:AH684" si="768">AB684</f>
        <v>*</v>
      </c>
      <c r="AD684" s="13" t="str">
        <f t="shared" si="768"/>
        <v>*</v>
      </c>
      <c r="AE684" s="454" t="str">
        <f t="shared" si="768"/>
        <v>*</v>
      </c>
      <c r="AF684" s="454" t="str">
        <f t="shared" si="768"/>
        <v>*</v>
      </c>
      <c r="AG684" s="454" t="str">
        <f t="shared" si="768"/>
        <v>*</v>
      </c>
      <c r="AH684" s="454" t="str">
        <f t="shared" si="768"/>
        <v>*</v>
      </c>
    </row>
    <row r="685" spans="1:34" ht="12.75">
      <c r="A685" s="14" t="s">
        <v>4098</v>
      </c>
      <c r="B685" s="24" t="s">
        <v>2668</v>
      </c>
      <c r="C685" s="14" t="s">
        <v>2685</v>
      </c>
      <c r="D685" s="14" t="s">
        <v>2911</v>
      </c>
      <c r="E685" s="14" t="s">
        <v>4099</v>
      </c>
      <c r="F685" s="13">
        <v>32.67</v>
      </c>
      <c r="G685" s="14" t="s">
        <v>4082</v>
      </c>
      <c r="H685" s="13">
        <v>18064</v>
      </c>
      <c r="I685" s="14" t="s">
        <v>4139</v>
      </c>
      <c r="J685" s="14" t="s">
        <v>4140</v>
      </c>
      <c r="K685" s="478">
        <f t="shared" si="758"/>
        <v>0.11881188118811881</v>
      </c>
      <c r="L685" s="220">
        <v>3.24</v>
      </c>
      <c r="M685" s="473" t="s">
        <v>4141</v>
      </c>
      <c r="N685" s="473"/>
      <c r="O685" s="480"/>
      <c r="P685" s="14" t="s">
        <v>3865</v>
      </c>
      <c r="Q685" s="553" t="s">
        <v>4094</v>
      </c>
      <c r="R685" s="14">
        <v>1.2</v>
      </c>
      <c r="S685" s="14">
        <f t="shared" si="556"/>
        <v>3.8880000000000005E-2</v>
      </c>
      <c r="T685" s="487">
        <f>SUM(R677:R696)</f>
        <v>100.7</v>
      </c>
      <c r="U685" s="14">
        <f t="shared" si="554"/>
        <v>1.1916583912611718</v>
      </c>
      <c r="V685" s="220">
        <f>U685*100/SUM(U677:U678,U680:U696)</f>
        <v>1.5852047556142661</v>
      </c>
      <c r="W685" s="14" t="s">
        <v>1165</v>
      </c>
      <c r="X685">
        <f t="shared" si="615"/>
        <v>0.1883411590828831</v>
      </c>
      <c r="Y685" s="220" t="s">
        <v>1666</v>
      </c>
      <c r="Z685" s="220" t="str">
        <f t="shared" si="767"/>
        <v>*</v>
      </c>
      <c r="AA685" s="792" t="s">
        <v>1666</v>
      </c>
      <c r="AB685" s="18" t="s">
        <v>1666</v>
      </c>
      <c r="AC685" s="13" t="str">
        <f t="shared" ref="AC685:AH685" si="769">AB685</f>
        <v>*</v>
      </c>
      <c r="AD685" s="13" t="str">
        <f t="shared" si="769"/>
        <v>*</v>
      </c>
      <c r="AE685" s="454" t="str">
        <f t="shared" si="769"/>
        <v>*</v>
      </c>
      <c r="AF685" s="454" t="str">
        <f t="shared" si="769"/>
        <v>*</v>
      </c>
      <c r="AG685" s="454" t="str">
        <f t="shared" si="769"/>
        <v>*</v>
      </c>
      <c r="AH685" s="454" t="str">
        <f t="shared" si="769"/>
        <v>*</v>
      </c>
    </row>
    <row r="686" spans="1:34" ht="12.75">
      <c r="A686" s="14" t="s">
        <v>4098</v>
      </c>
      <c r="B686" s="24" t="s">
        <v>2668</v>
      </c>
      <c r="C686" s="14" t="s">
        <v>2685</v>
      </c>
      <c r="D686" s="14" t="s">
        <v>2911</v>
      </c>
      <c r="E686" s="14" t="s">
        <v>4099</v>
      </c>
      <c r="F686" s="13">
        <v>32.67</v>
      </c>
      <c r="G686" s="14" t="s">
        <v>4082</v>
      </c>
      <c r="H686" s="13">
        <v>18064</v>
      </c>
      <c r="I686" s="14" t="s">
        <v>4139</v>
      </c>
      <c r="J686" s="14" t="s">
        <v>4140</v>
      </c>
      <c r="K686" s="478">
        <f t="shared" si="758"/>
        <v>0.11881188118811881</v>
      </c>
      <c r="L686" s="220">
        <v>3.24</v>
      </c>
      <c r="M686" s="473" t="s">
        <v>4141</v>
      </c>
      <c r="N686" s="473"/>
      <c r="O686" s="480"/>
      <c r="P686" s="14" t="s">
        <v>2948</v>
      </c>
      <c r="Q686" s="14" t="s">
        <v>2949</v>
      </c>
      <c r="R686" s="14">
        <v>1</v>
      </c>
      <c r="S686" s="14">
        <f t="shared" si="556"/>
        <v>3.2400000000000005E-2</v>
      </c>
      <c r="T686" s="487">
        <f>SUM(R677:R696)</f>
        <v>100.7</v>
      </c>
      <c r="U686" s="14">
        <f t="shared" si="554"/>
        <v>0.99304865938430975</v>
      </c>
      <c r="V686" s="220">
        <f>U686*100/SUM(U677:U678,U680:U696)</f>
        <v>1.3210039630118884</v>
      </c>
      <c r="W686" s="14" t="s">
        <v>305</v>
      </c>
      <c r="X686">
        <f t="shared" si="615"/>
        <v>0.15695096590240257</v>
      </c>
      <c r="Y686" s="220" t="s">
        <v>1666</v>
      </c>
      <c r="Z686" s="220" t="str">
        <f t="shared" si="767"/>
        <v>*</v>
      </c>
      <c r="AA686" s="792" t="s">
        <v>1666</v>
      </c>
      <c r="AB686" s="18" t="s">
        <v>1666</v>
      </c>
      <c r="AC686" s="13" t="str">
        <f t="shared" ref="AC686:AH686" si="770">AB686</f>
        <v>*</v>
      </c>
      <c r="AD686" s="13" t="str">
        <f t="shared" si="770"/>
        <v>*</v>
      </c>
      <c r="AE686" s="454" t="str">
        <f t="shared" si="770"/>
        <v>*</v>
      </c>
      <c r="AF686" s="454" t="str">
        <f t="shared" si="770"/>
        <v>*</v>
      </c>
      <c r="AG686" s="454" t="str">
        <f t="shared" si="770"/>
        <v>*</v>
      </c>
      <c r="AH686" s="454" t="str">
        <f t="shared" si="770"/>
        <v>*</v>
      </c>
    </row>
    <row r="687" spans="1:34" ht="12.75">
      <c r="A687" s="14" t="s">
        <v>4098</v>
      </c>
      <c r="B687" s="24" t="s">
        <v>2668</v>
      </c>
      <c r="C687" s="14" t="s">
        <v>2685</v>
      </c>
      <c r="D687" s="14" t="s">
        <v>2911</v>
      </c>
      <c r="E687" s="14" t="s">
        <v>4099</v>
      </c>
      <c r="F687" s="13">
        <v>32.67</v>
      </c>
      <c r="G687" s="14" t="s">
        <v>4082</v>
      </c>
      <c r="H687" s="13">
        <v>18064</v>
      </c>
      <c r="I687" s="14" t="s">
        <v>4139</v>
      </c>
      <c r="J687" s="14" t="s">
        <v>4140</v>
      </c>
      <c r="K687" s="478">
        <f t="shared" si="758"/>
        <v>0.11881188118811881</v>
      </c>
      <c r="L687" s="220">
        <v>3.24</v>
      </c>
      <c r="M687" s="473" t="s">
        <v>4141</v>
      </c>
      <c r="N687" s="473"/>
      <c r="O687" s="480"/>
      <c r="P687" s="14" t="s">
        <v>3021</v>
      </c>
      <c r="Q687" s="486" t="s">
        <v>3022</v>
      </c>
      <c r="R687" s="14">
        <v>1.5</v>
      </c>
      <c r="S687" s="14">
        <f t="shared" si="556"/>
        <v>4.8600000000000004E-2</v>
      </c>
      <c r="T687" s="487">
        <f>SUM(R677:R696)</f>
        <v>100.7</v>
      </c>
      <c r="U687" s="14">
        <f t="shared" si="554"/>
        <v>1.4895729890764646</v>
      </c>
      <c r="V687" s="220">
        <f>U687*100/SUM(U677:U678,U680:U696)</f>
        <v>1.9815059445178327</v>
      </c>
      <c r="W687" s="14" t="s">
        <v>346</v>
      </c>
      <c r="X687">
        <f t="shared" si="615"/>
        <v>0.23542644885360386</v>
      </c>
      <c r="Y687" s="220" t="s">
        <v>1666</v>
      </c>
      <c r="Z687" s="220" t="s">
        <v>1666</v>
      </c>
      <c r="AA687" s="792" t="s">
        <v>1666</v>
      </c>
      <c r="AB687" s="18" t="s">
        <v>1666</v>
      </c>
      <c r="AC687" s="13" t="str">
        <f t="shared" ref="AC687:AH687" si="771">AB687</f>
        <v>*</v>
      </c>
      <c r="AD687" s="13" t="str">
        <f t="shared" si="771"/>
        <v>*</v>
      </c>
      <c r="AE687" s="454" t="str">
        <f t="shared" si="771"/>
        <v>*</v>
      </c>
      <c r="AF687" s="454" t="str">
        <f t="shared" si="771"/>
        <v>*</v>
      </c>
      <c r="AG687" s="454" t="str">
        <f t="shared" si="771"/>
        <v>*</v>
      </c>
      <c r="AH687" s="454" t="str">
        <f t="shared" si="771"/>
        <v>*</v>
      </c>
    </row>
    <row r="688" spans="1:34" ht="12.75">
      <c r="A688" s="14" t="s">
        <v>4098</v>
      </c>
      <c r="B688" s="24" t="s">
        <v>2668</v>
      </c>
      <c r="C688" s="14" t="s">
        <v>2685</v>
      </c>
      <c r="D688" s="14" t="s">
        <v>2911</v>
      </c>
      <c r="E688" s="14" t="s">
        <v>4099</v>
      </c>
      <c r="F688" s="13">
        <v>32.67</v>
      </c>
      <c r="G688" s="14" t="s">
        <v>4082</v>
      </c>
      <c r="H688" s="13">
        <v>18064</v>
      </c>
      <c r="I688" s="14" t="s">
        <v>4139</v>
      </c>
      <c r="J688" s="14" t="s">
        <v>4140</v>
      </c>
      <c r="K688" s="478">
        <f t="shared" si="758"/>
        <v>0.11881188118811881</v>
      </c>
      <c r="L688" s="220">
        <v>3.24</v>
      </c>
      <c r="M688" s="473" t="s">
        <v>4141</v>
      </c>
      <c r="N688" s="473"/>
      <c r="O688" s="480"/>
      <c r="P688" s="655" t="s">
        <v>2987</v>
      </c>
      <c r="Q688" s="486" t="s">
        <v>2981</v>
      </c>
      <c r="R688" s="14">
        <v>1.25</v>
      </c>
      <c r="S688" s="14">
        <f t="shared" si="556"/>
        <v>4.0500000000000008E-2</v>
      </c>
      <c r="T688" s="487">
        <f>SUM(R677:R696)</f>
        <v>100.7</v>
      </c>
      <c r="U688" s="14">
        <f t="shared" si="554"/>
        <v>1.2413108242303872</v>
      </c>
      <c r="V688" s="220">
        <f>U688*100/SUM(U677:U678,U680:U696)</f>
        <v>1.6512549537648604</v>
      </c>
      <c r="W688" s="14" t="s">
        <v>349</v>
      </c>
      <c r="X688">
        <f t="shared" si="615"/>
        <v>0.1961887073780032</v>
      </c>
      <c r="Y688" s="220" t="s">
        <v>1666</v>
      </c>
      <c r="Z688" s="220" t="s">
        <v>1666</v>
      </c>
      <c r="AA688" s="792" t="s">
        <v>1666</v>
      </c>
      <c r="AB688" s="18" t="s">
        <v>1666</v>
      </c>
      <c r="AC688" s="13" t="str">
        <f t="shared" ref="AC688:AH688" si="772">AB688</f>
        <v>*</v>
      </c>
      <c r="AD688" s="13" t="str">
        <f t="shared" si="772"/>
        <v>*</v>
      </c>
      <c r="AE688" s="454" t="str">
        <f t="shared" si="772"/>
        <v>*</v>
      </c>
      <c r="AF688" s="454" t="str">
        <f t="shared" si="772"/>
        <v>*</v>
      </c>
      <c r="AG688" s="454" t="str">
        <f t="shared" si="772"/>
        <v>*</v>
      </c>
      <c r="AH688" s="454" t="str">
        <f t="shared" si="772"/>
        <v>*</v>
      </c>
    </row>
    <row r="689" spans="1:34" ht="12.75">
      <c r="A689" s="14" t="s">
        <v>4098</v>
      </c>
      <c r="B689" s="24" t="s">
        <v>2668</v>
      </c>
      <c r="C689" s="14" t="s">
        <v>2685</v>
      </c>
      <c r="D689" s="14" t="s">
        <v>2911</v>
      </c>
      <c r="E689" s="14" t="s">
        <v>4099</v>
      </c>
      <c r="F689" s="13">
        <v>32.67</v>
      </c>
      <c r="G689" s="14" t="s">
        <v>4082</v>
      </c>
      <c r="H689" s="13">
        <v>18064</v>
      </c>
      <c r="I689" s="14" t="s">
        <v>4139</v>
      </c>
      <c r="J689" s="14" t="s">
        <v>4140</v>
      </c>
      <c r="K689" s="478">
        <f t="shared" si="758"/>
        <v>0.11881188118811881</v>
      </c>
      <c r="L689" s="220">
        <v>3.24</v>
      </c>
      <c r="M689" s="473" t="s">
        <v>4141</v>
      </c>
      <c r="N689" s="473"/>
      <c r="O689" s="480"/>
      <c r="P689" s="14" t="s">
        <v>86</v>
      </c>
      <c r="Q689" s="14" t="s">
        <v>3442</v>
      </c>
      <c r="R689" s="14">
        <v>1</v>
      </c>
      <c r="S689" s="14">
        <f t="shared" si="556"/>
        <v>3.2400000000000005E-2</v>
      </c>
      <c r="T689" s="487">
        <f>SUM(R677:R696)</f>
        <v>100.7</v>
      </c>
      <c r="U689" s="14">
        <f t="shared" si="554"/>
        <v>0.99304865938430975</v>
      </c>
      <c r="V689" s="220">
        <f>U689*100/SUM(U677:U678,U680:U696)</f>
        <v>1.3210039630118884</v>
      </c>
      <c r="W689" s="14" t="s">
        <v>86</v>
      </c>
      <c r="X689">
        <f t="shared" si="615"/>
        <v>0.15695096590240257</v>
      </c>
      <c r="Y689" s="220" t="s">
        <v>1624</v>
      </c>
      <c r="Z689" s="220" t="s">
        <v>1666</v>
      </c>
      <c r="AA689" s="792" t="s">
        <v>1666</v>
      </c>
      <c r="AB689" s="18" t="s">
        <v>1666</v>
      </c>
      <c r="AC689" s="13" t="str">
        <f t="shared" ref="AC689:AH689" si="773">AB689</f>
        <v>*</v>
      </c>
      <c r="AD689" s="13" t="str">
        <f t="shared" si="773"/>
        <v>*</v>
      </c>
      <c r="AE689" s="454" t="str">
        <f t="shared" si="773"/>
        <v>*</v>
      </c>
      <c r="AF689" s="454" t="str">
        <f t="shared" si="773"/>
        <v>*</v>
      </c>
      <c r="AG689" s="454" t="str">
        <f t="shared" si="773"/>
        <v>*</v>
      </c>
      <c r="AH689" s="454" t="str">
        <f t="shared" si="773"/>
        <v>*</v>
      </c>
    </row>
    <row r="690" spans="1:34" ht="12.75">
      <c r="A690" s="14" t="s">
        <v>4098</v>
      </c>
      <c r="B690" s="24" t="s">
        <v>2668</v>
      </c>
      <c r="C690" s="14" t="s">
        <v>2685</v>
      </c>
      <c r="D690" s="14" t="s">
        <v>2911</v>
      </c>
      <c r="E690" s="14" t="s">
        <v>4099</v>
      </c>
      <c r="F690" s="13">
        <v>32.67</v>
      </c>
      <c r="G690" s="14" t="s">
        <v>4082</v>
      </c>
      <c r="H690" s="13">
        <v>18064</v>
      </c>
      <c r="I690" s="14" t="s">
        <v>4139</v>
      </c>
      <c r="J690" s="14" t="s">
        <v>4140</v>
      </c>
      <c r="K690" s="478">
        <f t="shared" si="758"/>
        <v>0.11881188118811881</v>
      </c>
      <c r="L690" s="220">
        <v>3.24</v>
      </c>
      <c r="M690" s="473" t="s">
        <v>4141</v>
      </c>
      <c r="N690" s="473"/>
      <c r="O690" s="480"/>
      <c r="P690" s="655" t="s">
        <v>2977</v>
      </c>
      <c r="Q690" s="527" t="s">
        <v>2978</v>
      </c>
      <c r="R690" s="14">
        <v>1</v>
      </c>
      <c r="S690" s="14">
        <f t="shared" si="556"/>
        <v>3.2400000000000005E-2</v>
      </c>
      <c r="T690" s="487">
        <f>SUM(R677:R696)</f>
        <v>100.7</v>
      </c>
      <c r="U690" s="14">
        <f t="shared" si="554"/>
        <v>0.99304865938430975</v>
      </c>
      <c r="V690" s="220">
        <f>U690*100/SUM(U677:U678,U680:U696)</f>
        <v>1.3210039630118884</v>
      </c>
      <c r="W690" s="14" t="s">
        <v>227</v>
      </c>
      <c r="X690">
        <f t="shared" si="615"/>
        <v>0.15695096590240257</v>
      </c>
      <c r="Y690" s="220" t="s">
        <v>1666</v>
      </c>
      <c r="Z690" s="220" t="s">
        <v>1666</v>
      </c>
      <c r="AA690" s="792" t="s">
        <v>1666</v>
      </c>
      <c r="AB690" s="18" t="s">
        <v>1666</v>
      </c>
      <c r="AC690" s="13" t="str">
        <f t="shared" ref="AC690:AH690" si="774">AB690</f>
        <v>*</v>
      </c>
      <c r="AD690" s="13" t="str">
        <f t="shared" si="774"/>
        <v>*</v>
      </c>
      <c r="AE690" s="454" t="str">
        <f t="shared" si="774"/>
        <v>*</v>
      </c>
      <c r="AF690" s="454" t="str">
        <f t="shared" si="774"/>
        <v>*</v>
      </c>
      <c r="AG690" s="454" t="str">
        <f t="shared" si="774"/>
        <v>*</v>
      </c>
      <c r="AH690" s="454" t="str">
        <f t="shared" si="774"/>
        <v>*</v>
      </c>
    </row>
    <row r="691" spans="1:34" ht="12.75">
      <c r="A691" s="14" t="s">
        <v>4098</v>
      </c>
      <c r="B691" s="24" t="s">
        <v>2668</v>
      </c>
      <c r="C691" s="14" t="s">
        <v>2685</v>
      </c>
      <c r="D691" s="14" t="s">
        <v>2911</v>
      </c>
      <c r="E691" s="14" t="s">
        <v>4099</v>
      </c>
      <c r="F691" s="13">
        <v>32.67</v>
      </c>
      <c r="G691" s="14" t="s">
        <v>4082</v>
      </c>
      <c r="H691" s="13">
        <v>18064</v>
      </c>
      <c r="I691" s="14" t="s">
        <v>4139</v>
      </c>
      <c r="J691" s="14" t="s">
        <v>4140</v>
      </c>
      <c r="K691" s="478">
        <f t="shared" si="758"/>
        <v>0.11881188118811881</v>
      </c>
      <c r="L691" s="220">
        <v>3.24</v>
      </c>
      <c r="M691" s="473" t="s">
        <v>4141</v>
      </c>
      <c r="N691" s="473"/>
      <c r="O691" s="480"/>
      <c r="P691" s="14" t="s">
        <v>3041</v>
      </c>
      <c r="Q691" s="486" t="s">
        <v>3089</v>
      </c>
      <c r="R691" s="14">
        <v>1</v>
      </c>
      <c r="S691" s="14">
        <f t="shared" si="556"/>
        <v>3.2400000000000005E-2</v>
      </c>
      <c r="T691" s="487">
        <f>SUM(R677:R696)</f>
        <v>100.7</v>
      </c>
      <c r="U691" s="14">
        <f t="shared" si="554"/>
        <v>0.99304865938430975</v>
      </c>
      <c r="V691" s="220">
        <f>U691*100/SUM(U677:U678,U680:U696)</f>
        <v>1.3210039630118884</v>
      </c>
      <c r="W691" s="14" t="s">
        <v>81</v>
      </c>
      <c r="X691">
        <f t="shared" si="615"/>
        <v>0.15695096590240257</v>
      </c>
      <c r="Y691" s="220" t="s">
        <v>1624</v>
      </c>
      <c r="Z691" s="220" t="s">
        <v>1666</v>
      </c>
      <c r="AA691" s="792" t="s">
        <v>1666</v>
      </c>
      <c r="AB691" s="18" t="s">
        <v>1666</v>
      </c>
      <c r="AC691" s="13" t="str">
        <f t="shared" ref="AC691:AH691" si="775">AB691</f>
        <v>*</v>
      </c>
      <c r="AD691" s="13" t="str">
        <f t="shared" si="775"/>
        <v>*</v>
      </c>
      <c r="AE691" s="454" t="str">
        <f t="shared" si="775"/>
        <v>*</v>
      </c>
      <c r="AF691" s="454" t="str">
        <f t="shared" si="775"/>
        <v>*</v>
      </c>
      <c r="AG691" s="454" t="str">
        <f t="shared" si="775"/>
        <v>*</v>
      </c>
      <c r="AH691" s="454" t="str">
        <f t="shared" si="775"/>
        <v>*</v>
      </c>
    </row>
    <row r="692" spans="1:34" ht="12.75">
      <c r="A692" s="14" t="s">
        <v>4098</v>
      </c>
      <c r="B692" s="24" t="s">
        <v>2668</v>
      </c>
      <c r="C692" s="14" t="s">
        <v>2685</v>
      </c>
      <c r="D692" s="14" t="s">
        <v>2911</v>
      </c>
      <c r="E692" s="14" t="s">
        <v>4099</v>
      </c>
      <c r="F692" s="13">
        <v>32.67</v>
      </c>
      <c r="G692" s="14" t="s">
        <v>4082</v>
      </c>
      <c r="H692" s="13">
        <v>18064</v>
      </c>
      <c r="I692" s="14" t="s">
        <v>4139</v>
      </c>
      <c r="J692" s="14" t="s">
        <v>4140</v>
      </c>
      <c r="K692" s="478">
        <f t="shared" si="758"/>
        <v>0.11881188118811881</v>
      </c>
      <c r="L692" s="220">
        <v>3.24</v>
      </c>
      <c r="M692" s="473" t="s">
        <v>4141</v>
      </c>
      <c r="N692" s="473"/>
      <c r="O692" s="480"/>
      <c r="P692" s="14" t="s">
        <v>2945</v>
      </c>
      <c r="Q692" s="10" t="s">
        <v>2946</v>
      </c>
      <c r="R692" s="14">
        <v>0.25</v>
      </c>
      <c r="S692" s="14">
        <f t="shared" si="556"/>
        <v>8.1000000000000013E-3</v>
      </c>
      <c r="T692" s="487">
        <f>SUM(R677:R696)</f>
        <v>100.7</v>
      </c>
      <c r="U692" s="14">
        <f t="shared" si="554"/>
        <v>0.24826216484607744</v>
      </c>
      <c r="V692" s="220">
        <f>U692*100/SUM(U677:U678,U680:U696)</f>
        <v>0.3302509907529721</v>
      </c>
      <c r="W692" s="14" t="s">
        <v>433</v>
      </c>
      <c r="X692">
        <f t="shared" si="615"/>
        <v>3.9237741475600642E-2</v>
      </c>
      <c r="Y692" s="220" t="s">
        <v>1666</v>
      </c>
      <c r="Z692" s="220" t="str">
        <f>Y692</f>
        <v>*</v>
      </c>
      <c r="AA692" s="792" t="s">
        <v>1666</v>
      </c>
      <c r="AB692" s="18" t="s">
        <v>1666</v>
      </c>
      <c r="AC692" s="13" t="str">
        <f t="shared" ref="AC692:AH692" si="776">AB692</f>
        <v>*</v>
      </c>
      <c r="AD692" s="13" t="str">
        <f t="shared" si="776"/>
        <v>*</v>
      </c>
      <c r="AE692" s="454" t="str">
        <f t="shared" si="776"/>
        <v>*</v>
      </c>
      <c r="AF692" s="454" t="str">
        <f t="shared" si="776"/>
        <v>*</v>
      </c>
      <c r="AG692" s="454" t="str">
        <f t="shared" si="776"/>
        <v>*</v>
      </c>
      <c r="AH692" s="454" t="str">
        <f t="shared" si="776"/>
        <v>*</v>
      </c>
    </row>
    <row r="693" spans="1:34" ht="12.75">
      <c r="A693" s="14" t="s">
        <v>4098</v>
      </c>
      <c r="B693" s="24" t="s">
        <v>2668</v>
      </c>
      <c r="C693" s="14" t="s">
        <v>2685</v>
      </c>
      <c r="D693" s="14" t="s">
        <v>2911</v>
      </c>
      <c r="E693" s="14" t="s">
        <v>4099</v>
      </c>
      <c r="F693" s="13">
        <v>32.67</v>
      </c>
      <c r="G693" s="14" t="s">
        <v>4082</v>
      </c>
      <c r="H693" s="13">
        <v>18064</v>
      </c>
      <c r="I693" s="14" t="s">
        <v>4139</v>
      </c>
      <c r="J693" s="14" t="s">
        <v>4140</v>
      </c>
      <c r="K693" s="478">
        <f t="shared" si="758"/>
        <v>0.11881188118811881</v>
      </c>
      <c r="L693" s="220">
        <v>3.24</v>
      </c>
      <c r="M693" s="473" t="s">
        <v>4141</v>
      </c>
      <c r="N693" s="473"/>
      <c r="O693" s="480"/>
      <c r="P693" s="14" t="s">
        <v>430</v>
      </c>
      <c r="Q693" s="527" t="s">
        <v>4086</v>
      </c>
      <c r="R693" s="14">
        <v>0.25</v>
      </c>
      <c r="S693" s="14">
        <f t="shared" si="556"/>
        <v>8.1000000000000013E-3</v>
      </c>
      <c r="T693" s="487">
        <f>SUM(R677:R696)</f>
        <v>100.7</v>
      </c>
      <c r="U693" s="14">
        <f t="shared" si="554"/>
        <v>0.24826216484607744</v>
      </c>
      <c r="V693" s="220">
        <f>U693*100/SUM(U677:U678,U680:U696)</f>
        <v>0.3302509907529721</v>
      </c>
      <c r="W693" s="14" t="s">
        <v>430</v>
      </c>
      <c r="X693">
        <f t="shared" si="615"/>
        <v>3.9237741475600642E-2</v>
      </c>
      <c r="Y693" s="220" t="s">
        <v>1624</v>
      </c>
      <c r="Z693" s="220" t="s">
        <v>1666</v>
      </c>
      <c r="AA693" s="792" t="s">
        <v>1666</v>
      </c>
      <c r="AB693" s="18" t="s">
        <v>1666</v>
      </c>
      <c r="AC693" s="13" t="str">
        <f t="shared" ref="AC693:AH693" si="777">AB693</f>
        <v>*</v>
      </c>
      <c r="AD693" s="13" t="str">
        <f t="shared" si="777"/>
        <v>*</v>
      </c>
      <c r="AE693" s="454" t="str">
        <f t="shared" si="777"/>
        <v>*</v>
      </c>
      <c r="AF693" s="454" t="str">
        <f t="shared" si="777"/>
        <v>*</v>
      </c>
      <c r="AG693" s="454" t="str">
        <f t="shared" si="777"/>
        <v>*</v>
      </c>
      <c r="AH693" s="454" t="str">
        <f t="shared" si="777"/>
        <v>*</v>
      </c>
    </row>
    <row r="694" spans="1:34" ht="12.75">
      <c r="A694" s="14" t="s">
        <v>4098</v>
      </c>
      <c r="B694" s="24" t="s">
        <v>2668</v>
      </c>
      <c r="C694" s="14" t="s">
        <v>2685</v>
      </c>
      <c r="D694" s="14" t="s">
        <v>2911</v>
      </c>
      <c r="E694" s="14" t="s">
        <v>4099</v>
      </c>
      <c r="F694" s="13">
        <v>32.67</v>
      </c>
      <c r="G694" s="14" t="s">
        <v>4082</v>
      </c>
      <c r="H694" s="13">
        <v>18064</v>
      </c>
      <c r="I694" s="14" t="s">
        <v>4139</v>
      </c>
      <c r="J694" s="14" t="s">
        <v>4140</v>
      </c>
      <c r="K694" s="478">
        <f t="shared" si="758"/>
        <v>0.11881188118811881</v>
      </c>
      <c r="L694" s="220">
        <v>3.24</v>
      </c>
      <c r="M694" s="473" t="s">
        <v>4141</v>
      </c>
      <c r="N694" s="473"/>
      <c r="O694" s="480"/>
      <c r="P694" s="14" t="s">
        <v>4143</v>
      </c>
      <c r="Q694" s="14" t="s">
        <v>3014</v>
      </c>
      <c r="R694" s="14">
        <v>0.25</v>
      </c>
      <c r="S694" s="14">
        <f t="shared" si="556"/>
        <v>8.1000000000000013E-3</v>
      </c>
      <c r="T694" s="487">
        <f>SUM(R677:R696)</f>
        <v>100.7</v>
      </c>
      <c r="U694" s="14">
        <f t="shared" si="554"/>
        <v>0.24826216484607744</v>
      </c>
      <c r="V694" s="220">
        <f>U694*100/SUM(U677:U678,U680:U696)</f>
        <v>0.3302509907529721</v>
      </c>
      <c r="W694" s="14" t="s">
        <v>88</v>
      </c>
      <c r="X694">
        <f t="shared" si="615"/>
        <v>3.9237741475600642E-2</v>
      </c>
      <c r="Y694" s="220" t="s">
        <v>1624</v>
      </c>
      <c r="Z694" s="220">
        <f>X694</f>
        <v>3.9237741475600642E-2</v>
      </c>
      <c r="AA694" s="792">
        <f>X694</f>
        <v>3.9237741475600642E-2</v>
      </c>
      <c r="AB694" s="18" t="s">
        <v>88</v>
      </c>
      <c r="AC694" s="13" t="s">
        <v>3015</v>
      </c>
      <c r="AD694" s="13" t="s">
        <v>3016</v>
      </c>
      <c r="AE694" s="12">
        <v>5.5280749052132698E-2</v>
      </c>
      <c r="AF694" s="12">
        <v>0.16253532298578199</v>
      </c>
      <c r="AG694" s="12">
        <v>1.0836239353080568E-3</v>
      </c>
      <c r="AH694" s="12">
        <v>1.0196349526066351E-2</v>
      </c>
    </row>
    <row r="695" spans="1:34" ht="12.75">
      <c r="A695" s="14" t="s">
        <v>4098</v>
      </c>
      <c r="B695" s="24" t="s">
        <v>2668</v>
      </c>
      <c r="C695" s="14" t="s">
        <v>2685</v>
      </c>
      <c r="D695" s="14" t="s">
        <v>2911</v>
      </c>
      <c r="E695" s="14" t="s">
        <v>4099</v>
      </c>
      <c r="F695" s="13">
        <v>32.67</v>
      </c>
      <c r="G695" s="14" t="s">
        <v>4082</v>
      </c>
      <c r="H695" s="13">
        <v>18064</v>
      </c>
      <c r="I695" s="14" t="s">
        <v>4139</v>
      </c>
      <c r="J695" s="14" t="s">
        <v>4140</v>
      </c>
      <c r="K695" s="478">
        <f t="shared" si="758"/>
        <v>0.11881188118811881</v>
      </c>
      <c r="L695" s="220">
        <v>3.24</v>
      </c>
      <c r="M695" s="473" t="s">
        <v>4141</v>
      </c>
      <c r="N695" s="473"/>
      <c r="O695" s="480"/>
      <c r="P695" s="14" t="s">
        <v>2994</v>
      </c>
      <c r="Q695" s="14" t="s">
        <v>2995</v>
      </c>
      <c r="R695" s="14">
        <v>0.25</v>
      </c>
      <c r="S695" s="14">
        <f t="shared" si="556"/>
        <v>8.1000000000000013E-3</v>
      </c>
      <c r="T695" s="487">
        <f>SUM(R677:R696)</f>
        <v>100.7</v>
      </c>
      <c r="U695" s="14">
        <f t="shared" si="554"/>
        <v>0.24826216484607744</v>
      </c>
      <c r="V695" s="220">
        <f>U695*100/SUM(U677:U678,U680:U696)</f>
        <v>0.3302509907529721</v>
      </c>
      <c r="W695" s="14" t="s">
        <v>121</v>
      </c>
      <c r="X695">
        <f t="shared" si="615"/>
        <v>3.9237741475600642E-2</v>
      </c>
      <c r="Y695" s="220" t="s">
        <v>1666</v>
      </c>
      <c r="Z695" s="220" t="s">
        <v>1666</v>
      </c>
      <c r="AA695" s="792" t="s">
        <v>1666</v>
      </c>
      <c r="AB695" s="18" t="s">
        <v>1666</v>
      </c>
      <c r="AC695" s="13" t="str">
        <f t="shared" ref="AC695:AH695" si="778">AB695</f>
        <v>*</v>
      </c>
      <c r="AD695" s="13" t="str">
        <f t="shared" si="778"/>
        <v>*</v>
      </c>
      <c r="AE695" s="454" t="str">
        <f t="shared" si="778"/>
        <v>*</v>
      </c>
      <c r="AF695" s="454" t="str">
        <f t="shared" si="778"/>
        <v>*</v>
      </c>
      <c r="AG695" s="454" t="str">
        <f t="shared" si="778"/>
        <v>*</v>
      </c>
      <c r="AH695" s="454" t="str">
        <f t="shared" si="778"/>
        <v>*</v>
      </c>
    </row>
    <row r="696" spans="1:34" ht="12.75">
      <c r="A696" s="617" t="s">
        <v>4098</v>
      </c>
      <c r="B696" s="794" t="s">
        <v>2668</v>
      </c>
      <c r="C696" s="617" t="s">
        <v>2685</v>
      </c>
      <c r="D696" s="617" t="s">
        <v>2911</v>
      </c>
      <c r="E696" s="617" t="s">
        <v>4099</v>
      </c>
      <c r="F696" s="799">
        <v>32.67</v>
      </c>
      <c r="G696" s="617" t="s">
        <v>4082</v>
      </c>
      <c r="H696" s="799">
        <v>18064</v>
      </c>
      <c r="I696" s="617" t="s">
        <v>4139</v>
      </c>
      <c r="J696" s="617" t="s">
        <v>4140</v>
      </c>
      <c r="K696" s="838">
        <f t="shared" si="758"/>
        <v>0.11881188118811881</v>
      </c>
      <c r="L696" s="725">
        <v>3.24</v>
      </c>
      <c r="M696" s="850" t="s">
        <v>4141</v>
      </c>
      <c r="N696" s="850"/>
      <c r="O696" s="842"/>
      <c r="P696" s="617" t="s">
        <v>3072</v>
      </c>
      <c r="Q696" s="617" t="s">
        <v>3073</v>
      </c>
      <c r="R696" s="617">
        <v>0.25</v>
      </c>
      <c r="S696" s="617">
        <f t="shared" si="556"/>
        <v>8.1000000000000013E-3</v>
      </c>
      <c r="T696" s="870">
        <f>SUM(R677:R696)</f>
        <v>100.7</v>
      </c>
      <c r="U696" s="617">
        <f t="shared" si="554"/>
        <v>0.24826216484607744</v>
      </c>
      <c r="V696" s="725">
        <f>U696*100/SUM(U677:U678,U680:U696)</f>
        <v>0.3302509907529721</v>
      </c>
      <c r="W696" s="617" t="s">
        <v>343</v>
      </c>
      <c r="X696" s="617">
        <f t="shared" si="615"/>
        <v>3.9237741475600642E-2</v>
      </c>
      <c r="Y696" s="725" t="s">
        <v>1666</v>
      </c>
      <c r="Z696" s="725" t="s">
        <v>1666</v>
      </c>
      <c r="AA696" s="455" t="s">
        <v>1666</v>
      </c>
      <c r="AB696" s="793" t="s">
        <v>1666</v>
      </c>
      <c r="AC696" s="799" t="str">
        <f>AB696</f>
        <v>*</v>
      </c>
      <c r="AD696" s="799" t="s">
        <v>1666</v>
      </c>
      <c r="AE696" s="808" t="s">
        <v>1666</v>
      </c>
      <c r="AF696" s="808" t="s">
        <v>1666</v>
      </c>
      <c r="AG696" s="808" t="s">
        <v>1666</v>
      </c>
      <c r="AH696" s="808" t="s">
        <v>1666</v>
      </c>
    </row>
    <row r="697" spans="1:34" ht="14.25">
      <c r="A697" s="14" t="s">
        <v>4144</v>
      </c>
      <c r="B697" s="24" t="s">
        <v>2668</v>
      </c>
      <c r="C697" s="14" t="s">
        <v>2692</v>
      </c>
      <c r="D697" s="14" t="s">
        <v>2911</v>
      </c>
      <c r="E697" s="14" t="s">
        <v>4145</v>
      </c>
      <c r="F697" s="13">
        <v>20</v>
      </c>
      <c r="G697" s="14" t="s">
        <v>4146</v>
      </c>
      <c r="H697" s="13" t="s">
        <v>2934</v>
      </c>
      <c r="I697" s="655" t="s">
        <v>4145</v>
      </c>
      <c r="J697" s="14" t="s">
        <v>4147</v>
      </c>
      <c r="K697" s="478">
        <v>1</v>
      </c>
      <c r="L697" s="220">
        <v>20</v>
      </c>
      <c r="M697" s="473" t="s">
        <v>4148</v>
      </c>
      <c r="N697" s="479" t="s">
        <v>2937</v>
      </c>
      <c r="O697" s="480" t="s">
        <v>2976</v>
      </c>
      <c r="P697" s="655" t="s">
        <v>3978</v>
      </c>
      <c r="Q697" s="486" t="s">
        <v>3979</v>
      </c>
      <c r="R697" s="14">
        <v>60</v>
      </c>
      <c r="S697" s="14">
        <f t="shared" si="556"/>
        <v>12</v>
      </c>
      <c r="T697" s="487">
        <f>SUM(R697:R706)</f>
        <v>100</v>
      </c>
      <c r="U697" s="14">
        <v>60</v>
      </c>
      <c r="V697" s="220"/>
      <c r="W697" s="14" t="s">
        <v>1164</v>
      </c>
      <c r="X697" s="14">
        <f t="shared" ref="X697:X744" si="779">U697*K697</f>
        <v>60</v>
      </c>
      <c r="Y697" s="220">
        <f>SUM(X697:X698)</f>
        <v>74</v>
      </c>
      <c r="Z697" s="220">
        <f t="shared" ref="Z697:AA697" si="780">Y697</f>
        <v>74</v>
      </c>
      <c r="AA697" s="792">
        <f t="shared" si="780"/>
        <v>74</v>
      </c>
      <c r="AB697" s="18" t="s">
        <v>2658</v>
      </c>
      <c r="AC697" s="13" t="s">
        <v>215</v>
      </c>
      <c r="AD697" s="13" t="s">
        <v>3007</v>
      </c>
      <c r="AE697" s="12">
        <v>5.0851930036188197E-3</v>
      </c>
      <c r="AF697" s="12">
        <v>5.9995417730640897E-2</v>
      </c>
      <c r="AG697" s="12">
        <v>3.4699999999999998E-4</v>
      </c>
      <c r="AH697" s="12">
        <v>2.9762429672480995E-4</v>
      </c>
    </row>
    <row r="698" spans="1:34" ht="14.25">
      <c r="A698" s="14" t="s">
        <v>4144</v>
      </c>
      <c r="B698" s="24" t="s">
        <v>2668</v>
      </c>
      <c r="C698" s="14" t="s">
        <v>2692</v>
      </c>
      <c r="D698" s="14" t="s">
        <v>2911</v>
      </c>
      <c r="E698" s="14" t="s">
        <v>4145</v>
      </c>
      <c r="F698" s="13">
        <v>20</v>
      </c>
      <c r="G698" s="14" t="s">
        <v>4146</v>
      </c>
      <c r="H698" s="13" t="s">
        <v>2934</v>
      </c>
      <c r="I698" s="655" t="s">
        <v>4145</v>
      </c>
      <c r="J698" s="14" t="s">
        <v>4147</v>
      </c>
      <c r="K698" s="478">
        <v>1</v>
      </c>
      <c r="L698" s="220">
        <v>20</v>
      </c>
      <c r="M698" s="473" t="s">
        <v>4148</v>
      </c>
      <c r="N698" s="479" t="s">
        <v>2937</v>
      </c>
      <c r="O698" s="480" t="s">
        <v>2976</v>
      </c>
      <c r="P698" s="655" t="s">
        <v>3005</v>
      </c>
      <c r="Q698" s="486" t="s">
        <v>3006</v>
      </c>
      <c r="R698" s="14">
        <v>14</v>
      </c>
      <c r="S698" s="14">
        <f t="shared" si="556"/>
        <v>2.8000000000000003</v>
      </c>
      <c r="T698" s="487">
        <f>SUM(R697:R706)</f>
        <v>100</v>
      </c>
      <c r="U698" s="14">
        <v>14</v>
      </c>
      <c r="V698" s="220"/>
      <c r="W698" s="14" t="s">
        <v>2779</v>
      </c>
      <c r="X698" s="14">
        <f t="shared" si="779"/>
        <v>14</v>
      </c>
      <c r="Y698" s="220" t="s">
        <v>1666</v>
      </c>
      <c r="Z698" s="220" t="s">
        <v>1666</v>
      </c>
      <c r="AA698" s="792" t="s">
        <v>1666</v>
      </c>
      <c r="AB698" s="18" t="s">
        <v>1666</v>
      </c>
      <c r="AC698" s="13" t="str">
        <f t="shared" ref="AC698:AH698" si="781">AB698</f>
        <v>*</v>
      </c>
      <c r="AD698" s="13" t="str">
        <f t="shared" si="781"/>
        <v>*</v>
      </c>
      <c r="AE698" s="454" t="str">
        <f t="shared" si="781"/>
        <v>*</v>
      </c>
      <c r="AF698" s="454" t="str">
        <f t="shared" si="781"/>
        <v>*</v>
      </c>
      <c r="AG698" s="454" t="str">
        <f t="shared" si="781"/>
        <v>*</v>
      </c>
      <c r="AH698" s="454" t="str">
        <f t="shared" si="781"/>
        <v>*</v>
      </c>
    </row>
    <row r="699" spans="1:34" ht="14.25">
      <c r="A699" s="14" t="s">
        <v>4144</v>
      </c>
      <c r="B699" s="24" t="s">
        <v>2668</v>
      </c>
      <c r="C699" s="14" t="s">
        <v>2692</v>
      </c>
      <c r="D699" s="14" t="s">
        <v>2911</v>
      </c>
      <c r="E699" s="14" t="s">
        <v>4145</v>
      </c>
      <c r="F699" s="13">
        <v>20</v>
      </c>
      <c r="G699" s="14" t="s">
        <v>4146</v>
      </c>
      <c r="H699" s="13" t="s">
        <v>2934</v>
      </c>
      <c r="I699" s="655" t="s">
        <v>4145</v>
      </c>
      <c r="J699" s="14" t="s">
        <v>4147</v>
      </c>
      <c r="K699" s="478">
        <v>1</v>
      </c>
      <c r="L699" s="220">
        <v>20</v>
      </c>
      <c r="M699" s="473" t="s">
        <v>4148</v>
      </c>
      <c r="N699" s="479" t="s">
        <v>2937</v>
      </c>
      <c r="O699" s="480" t="s">
        <v>2976</v>
      </c>
      <c r="P699" s="14" t="s">
        <v>3021</v>
      </c>
      <c r="Q699" s="486" t="s">
        <v>3022</v>
      </c>
      <c r="R699" s="14">
        <v>10</v>
      </c>
      <c r="S699" s="14">
        <f t="shared" si="556"/>
        <v>2</v>
      </c>
      <c r="T699" s="487">
        <f>SUM(R697:R706)</f>
        <v>100</v>
      </c>
      <c r="U699" s="14">
        <v>10</v>
      </c>
      <c r="V699" s="220"/>
      <c r="W699" s="14" t="s">
        <v>346</v>
      </c>
      <c r="X699" s="14">
        <f t="shared" si="779"/>
        <v>10</v>
      </c>
      <c r="Y699" s="220">
        <f t="shared" ref="Y699:AA699" si="782">X699</f>
        <v>10</v>
      </c>
      <c r="Z699" s="220">
        <f t="shared" si="782"/>
        <v>10</v>
      </c>
      <c r="AA699" s="792">
        <f t="shared" si="782"/>
        <v>10</v>
      </c>
      <c r="AB699" s="18" t="s">
        <v>346</v>
      </c>
      <c r="AC699" s="13" t="s">
        <v>2982</v>
      </c>
      <c r="AD699" s="13" t="s">
        <v>2983</v>
      </c>
      <c r="AE699" s="12">
        <v>2.9691872042618299E-2</v>
      </c>
      <c r="AF699" s="12">
        <v>7.5368545517799299E-2</v>
      </c>
      <c r="AG699" s="12">
        <v>2.9014018691588786E-4</v>
      </c>
      <c r="AH699" s="12">
        <v>1.4770983615231311E-3</v>
      </c>
    </row>
    <row r="700" spans="1:34" ht="14.25">
      <c r="A700" s="14" t="s">
        <v>4144</v>
      </c>
      <c r="B700" s="24" t="s">
        <v>2668</v>
      </c>
      <c r="C700" s="14" t="s">
        <v>2692</v>
      </c>
      <c r="D700" s="14" t="s">
        <v>2911</v>
      </c>
      <c r="E700" s="14" t="s">
        <v>4145</v>
      </c>
      <c r="F700" s="13">
        <v>20</v>
      </c>
      <c r="G700" s="14" t="s">
        <v>4146</v>
      </c>
      <c r="H700" s="13" t="s">
        <v>2934</v>
      </c>
      <c r="I700" s="655" t="s">
        <v>4145</v>
      </c>
      <c r="J700" s="14" t="s">
        <v>4147</v>
      </c>
      <c r="K700" s="478">
        <v>1</v>
      </c>
      <c r="L700" s="220">
        <v>20</v>
      </c>
      <c r="M700" s="473" t="s">
        <v>4148</v>
      </c>
      <c r="N700" s="479" t="s">
        <v>2937</v>
      </c>
      <c r="O700" s="480" t="s">
        <v>2976</v>
      </c>
      <c r="P700" s="14" t="s">
        <v>2945</v>
      </c>
      <c r="Q700" s="10" t="s">
        <v>2946</v>
      </c>
      <c r="R700" s="14">
        <v>5.75</v>
      </c>
      <c r="S700" s="14">
        <f t="shared" si="556"/>
        <v>1.1500000000000001</v>
      </c>
      <c r="T700" s="487">
        <f>SUM(R697:R706)</f>
        <v>100</v>
      </c>
      <c r="U700" s="14">
        <v>5.75</v>
      </c>
      <c r="V700" s="220"/>
      <c r="W700" s="14" t="s">
        <v>433</v>
      </c>
      <c r="X700" s="14">
        <f t="shared" si="779"/>
        <v>5.75</v>
      </c>
      <c r="Y700" s="220">
        <f t="shared" ref="Y700:AA700" si="783">X700</f>
        <v>5.75</v>
      </c>
      <c r="Z700" s="220">
        <f t="shared" si="783"/>
        <v>5.75</v>
      </c>
      <c r="AA700" s="792">
        <f t="shared" si="783"/>
        <v>5.75</v>
      </c>
      <c r="AB700" s="18" t="s">
        <v>433</v>
      </c>
      <c r="AC700" s="13" t="s">
        <v>433</v>
      </c>
      <c r="AD700" s="13" t="s">
        <v>2947</v>
      </c>
      <c r="AE700" s="12">
        <v>3.0104466724907065E-4</v>
      </c>
      <c r="AF700" s="12">
        <v>1.2500000000000001E-2</v>
      </c>
      <c r="AG700" s="12">
        <v>5.1818181818181835E-4</v>
      </c>
      <c r="AH700" s="12">
        <v>4.0084080366977777E-4</v>
      </c>
    </row>
    <row r="701" spans="1:34" ht="14.25">
      <c r="A701" s="14" t="s">
        <v>4144</v>
      </c>
      <c r="B701" s="24" t="s">
        <v>2668</v>
      </c>
      <c r="C701" s="14" t="s">
        <v>2692</v>
      </c>
      <c r="D701" s="14" t="s">
        <v>2911</v>
      </c>
      <c r="E701" s="14" t="s">
        <v>4145</v>
      </c>
      <c r="F701" s="13">
        <v>20</v>
      </c>
      <c r="G701" s="14" t="s">
        <v>4146</v>
      </c>
      <c r="H701" s="13" t="s">
        <v>2934</v>
      </c>
      <c r="I701" s="655" t="s">
        <v>4145</v>
      </c>
      <c r="J701" s="14" t="s">
        <v>4147</v>
      </c>
      <c r="K701" s="478">
        <v>1</v>
      </c>
      <c r="L701" s="220">
        <v>20</v>
      </c>
      <c r="M701" s="473" t="s">
        <v>4148</v>
      </c>
      <c r="N701" s="479" t="s">
        <v>2937</v>
      </c>
      <c r="O701" s="480" t="s">
        <v>2976</v>
      </c>
      <c r="P701" s="14" t="s">
        <v>3862</v>
      </c>
      <c r="Q701" s="486" t="s">
        <v>4149</v>
      </c>
      <c r="R701" s="14">
        <v>5</v>
      </c>
      <c r="S701" s="14">
        <f t="shared" si="556"/>
        <v>1</v>
      </c>
      <c r="T701" s="487">
        <f>SUM(R697:R706)</f>
        <v>100</v>
      </c>
      <c r="U701" s="14">
        <v>5</v>
      </c>
      <c r="V701" s="220"/>
      <c r="W701" s="14" t="s">
        <v>2662</v>
      </c>
      <c r="X701" s="14">
        <f t="shared" si="779"/>
        <v>5</v>
      </c>
      <c r="Y701" s="220">
        <f>SUM(X701,X705)</f>
        <v>5.25</v>
      </c>
      <c r="Z701" s="220">
        <f t="shared" ref="Z701:Z706" si="784">X701</f>
        <v>5</v>
      </c>
      <c r="AA701" s="792">
        <f t="shared" ref="AA701:AA707" si="785">Z701</f>
        <v>5</v>
      </c>
      <c r="AB701" s="18" t="s">
        <v>2662</v>
      </c>
      <c r="AC701" s="13" t="s">
        <v>208</v>
      </c>
      <c r="AD701" s="13" t="s">
        <v>3864</v>
      </c>
      <c r="AE701" s="12">
        <v>6.399192301960112E-3</v>
      </c>
      <c r="AF701" s="12">
        <v>0.12411340117772937</v>
      </c>
      <c r="AG701" s="12">
        <v>9.8749999999999988E-5</v>
      </c>
      <c r="AH701" s="12">
        <v>3.8580927353216109E-4</v>
      </c>
    </row>
    <row r="702" spans="1:34" ht="14.25">
      <c r="A702" s="14" t="s">
        <v>4144</v>
      </c>
      <c r="B702" s="10" t="s">
        <v>2668</v>
      </c>
      <c r="C702" s="14" t="s">
        <v>2692</v>
      </c>
      <c r="D702" s="14" t="s">
        <v>2911</v>
      </c>
      <c r="E702" s="14" t="s">
        <v>4145</v>
      </c>
      <c r="F702" s="13">
        <v>20</v>
      </c>
      <c r="G702" s="14" t="s">
        <v>4146</v>
      </c>
      <c r="H702" s="13" t="s">
        <v>2934</v>
      </c>
      <c r="I702" s="668" t="s">
        <v>4145</v>
      </c>
      <c r="J702" s="14" t="s">
        <v>4147</v>
      </c>
      <c r="K702" s="873">
        <v>1</v>
      </c>
      <c r="L702" s="220">
        <v>20</v>
      </c>
      <c r="M702" s="473" t="s">
        <v>4148</v>
      </c>
      <c r="N702" s="479" t="s">
        <v>2937</v>
      </c>
      <c r="O702" s="480" t="s">
        <v>2976</v>
      </c>
      <c r="P702" s="655" t="s">
        <v>2977</v>
      </c>
      <c r="Q702" s="527" t="s">
        <v>2978</v>
      </c>
      <c r="R702" s="14">
        <v>2.5</v>
      </c>
      <c r="S702" s="14">
        <f t="shared" si="556"/>
        <v>0.5</v>
      </c>
      <c r="T702" s="487">
        <f>SUM(R697:R706)</f>
        <v>100</v>
      </c>
      <c r="U702" s="14">
        <v>2.5</v>
      </c>
      <c r="V702" s="220"/>
      <c r="W702" s="14" t="s">
        <v>227</v>
      </c>
      <c r="X702" s="14">
        <f t="shared" si="779"/>
        <v>2.5</v>
      </c>
      <c r="Y702" s="499">
        <f t="shared" ref="Y702:Y704" si="786">X702</f>
        <v>2.5</v>
      </c>
      <c r="Z702" s="220">
        <f t="shared" si="784"/>
        <v>2.5</v>
      </c>
      <c r="AA702" s="792">
        <f t="shared" si="785"/>
        <v>2.5</v>
      </c>
      <c r="AB702" s="18" t="s">
        <v>227</v>
      </c>
      <c r="AC702" s="13" t="s">
        <v>55</v>
      </c>
      <c r="AD702" s="13" t="s">
        <v>18</v>
      </c>
      <c r="AE702" s="12">
        <v>2.5055367220000002E-3</v>
      </c>
      <c r="AF702" s="12">
        <v>3.8459841414181101E-2</v>
      </c>
      <c r="AG702" s="12">
        <v>1.1035422343324251E-4</v>
      </c>
      <c r="AH702" s="12">
        <v>8.109653861711444E-4</v>
      </c>
    </row>
    <row r="703" spans="1:34" ht="14.25">
      <c r="A703" s="14" t="s">
        <v>4144</v>
      </c>
      <c r="B703" s="10" t="s">
        <v>2668</v>
      </c>
      <c r="C703" s="14" t="s">
        <v>2692</v>
      </c>
      <c r="D703" s="14" t="s">
        <v>2911</v>
      </c>
      <c r="E703" s="14" t="s">
        <v>4145</v>
      </c>
      <c r="F703" s="13">
        <v>20</v>
      </c>
      <c r="G703" s="14" t="s">
        <v>4146</v>
      </c>
      <c r="H703" s="13" t="s">
        <v>2934</v>
      </c>
      <c r="I703" s="668" t="s">
        <v>4145</v>
      </c>
      <c r="J703" s="14" t="s">
        <v>4147</v>
      </c>
      <c r="K703" s="873">
        <v>1</v>
      </c>
      <c r="L703" s="220">
        <v>20</v>
      </c>
      <c r="M703" s="473" t="s">
        <v>4148</v>
      </c>
      <c r="N703" s="479" t="s">
        <v>2937</v>
      </c>
      <c r="O703" s="480" t="s">
        <v>2976</v>
      </c>
      <c r="P703" s="14" t="s">
        <v>83</v>
      </c>
      <c r="Q703" s="527" t="s">
        <v>3430</v>
      </c>
      <c r="R703" s="14">
        <v>1.75</v>
      </c>
      <c r="S703" s="14">
        <f t="shared" si="556"/>
        <v>0.35000000000000003</v>
      </c>
      <c r="T703" s="487">
        <f>SUM(R697:R706)</f>
        <v>100</v>
      </c>
      <c r="U703" s="14">
        <v>1.75</v>
      </c>
      <c r="V703" s="220"/>
      <c r="W703" s="14" t="s">
        <v>83</v>
      </c>
      <c r="X703" s="14">
        <f t="shared" si="779"/>
        <v>1.75</v>
      </c>
      <c r="Y703" s="499">
        <f t="shared" si="786"/>
        <v>1.75</v>
      </c>
      <c r="Z703" s="220">
        <f t="shared" si="784"/>
        <v>1.75</v>
      </c>
      <c r="AA703" s="792">
        <f t="shared" si="785"/>
        <v>1.75</v>
      </c>
      <c r="AB703" s="18" t="s">
        <v>83</v>
      </c>
      <c r="AC703" s="14" t="s">
        <v>83</v>
      </c>
      <c r="AD703" s="14" t="s">
        <v>2951</v>
      </c>
      <c r="AE703" s="12">
        <v>0</v>
      </c>
      <c r="AF703" s="12">
        <v>0</v>
      </c>
      <c r="AG703" s="12">
        <v>0</v>
      </c>
      <c r="AH703" s="12">
        <v>0</v>
      </c>
    </row>
    <row r="704" spans="1:34" ht="14.25">
      <c r="A704" s="14" t="s">
        <v>4144</v>
      </c>
      <c r="B704" s="10" t="s">
        <v>2668</v>
      </c>
      <c r="C704" s="14" t="s">
        <v>2692</v>
      </c>
      <c r="D704" s="14" t="s">
        <v>2911</v>
      </c>
      <c r="E704" s="14" t="s">
        <v>4145</v>
      </c>
      <c r="F704" s="13">
        <v>20</v>
      </c>
      <c r="G704" s="14" t="s">
        <v>4146</v>
      </c>
      <c r="H704" s="13" t="s">
        <v>2934</v>
      </c>
      <c r="I704" s="668" t="s">
        <v>4145</v>
      </c>
      <c r="J704" s="14" t="s">
        <v>4147</v>
      </c>
      <c r="K704" s="873">
        <v>1</v>
      </c>
      <c r="L704" s="220">
        <v>20</v>
      </c>
      <c r="M704" s="473" t="s">
        <v>4148</v>
      </c>
      <c r="N704" s="479" t="s">
        <v>2937</v>
      </c>
      <c r="O704" s="480" t="s">
        <v>2976</v>
      </c>
      <c r="P704" s="14" t="s">
        <v>2962</v>
      </c>
      <c r="Q704" s="435" t="s">
        <v>2963</v>
      </c>
      <c r="R704" s="14">
        <v>0.5</v>
      </c>
      <c r="S704" s="14">
        <f t="shared" si="556"/>
        <v>0.1</v>
      </c>
      <c r="T704" s="487">
        <f>SUM(R697:R706)</f>
        <v>100</v>
      </c>
      <c r="U704" s="14">
        <v>0.5</v>
      </c>
      <c r="V704" s="220"/>
      <c r="W704" s="14" t="s">
        <v>425</v>
      </c>
      <c r="X704" s="14">
        <f t="shared" si="779"/>
        <v>0.5</v>
      </c>
      <c r="Y704" s="499">
        <f t="shared" si="786"/>
        <v>0.5</v>
      </c>
      <c r="Z704" s="220">
        <f t="shared" si="784"/>
        <v>0.5</v>
      </c>
      <c r="AA704" s="792">
        <f t="shared" si="785"/>
        <v>0.5</v>
      </c>
      <c r="AB704" s="18" t="s">
        <v>425</v>
      </c>
      <c r="AC704" s="13" t="s">
        <v>2964</v>
      </c>
      <c r="AD704" s="13" t="s">
        <v>2965</v>
      </c>
      <c r="AE704" s="12">
        <v>3.8102374934982654E-3</v>
      </c>
      <c r="AF704" s="12">
        <v>0.20470422547079484</v>
      </c>
      <c r="AG704" s="12">
        <v>1.210810810810811E-4</v>
      </c>
      <c r="AH704" s="12">
        <v>1.0002400855855065E-3</v>
      </c>
    </row>
    <row r="705" spans="1:34" ht="14.25">
      <c r="A705" s="14" t="s">
        <v>4144</v>
      </c>
      <c r="B705" s="10" t="s">
        <v>2668</v>
      </c>
      <c r="C705" s="14" t="s">
        <v>2692</v>
      </c>
      <c r="D705" s="14" t="s">
        <v>2911</v>
      </c>
      <c r="E705" s="14" t="s">
        <v>4145</v>
      </c>
      <c r="F705" s="13">
        <v>20</v>
      </c>
      <c r="G705" s="14" t="s">
        <v>4146</v>
      </c>
      <c r="H705" s="13" t="s">
        <v>2934</v>
      </c>
      <c r="I705" s="668" t="s">
        <v>4145</v>
      </c>
      <c r="J705" s="14" t="s">
        <v>4147</v>
      </c>
      <c r="K705" s="873">
        <v>1</v>
      </c>
      <c r="L705" s="220">
        <v>20</v>
      </c>
      <c r="M705" s="473" t="s">
        <v>4148</v>
      </c>
      <c r="N705" s="479" t="s">
        <v>2937</v>
      </c>
      <c r="O705" s="480" t="s">
        <v>2976</v>
      </c>
      <c r="P705" s="14" t="s">
        <v>4019</v>
      </c>
      <c r="Q705" s="486" t="s">
        <v>4150</v>
      </c>
      <c r="R705" s="14">
        <v>0.25</v>
      </c>
      <c r="S705" s="14">
        <f t="shared" si="556"/>
        <v>0.05</v>
      </c>
      <c r="T705" s="487">
        <f>SUM(R697:R706)</f>
        <v>100</v>
      </c>
      <c r="U705" s="14">
        <v>0.25</v>
      </c>
      <c r="V705" s="220"/>
      <c r="W705" s="14" t="s">
        <v>4151</v>
      </c>
      <c r="X705" s="14">
        <f t="shared" si="779"/>
        <v>0.25</v>
      </c>
      <c r="Y705" s="220" t="s">
        <v>1666</v>
      </c>
      <c r="Z705" s="220">
        <f t="shared" si="784"/>
        <v>0.25</v>
      </c>
      <c r="AA705" s="792">
        <f t="shared" si="785"/>
        <v>0.25</v>
      </c>
      <c r="AB705" s="18" t="s">
        <v>206</v>
      </c>
      <c r="AC705" s="13" t="str">
        <f t="shared" ref="AC705:AD705" si="787">AB705</f>
        <v>barley, hulled</v>
      </c>
      <c r="AD705" s="13" t="str">
        <f t="shared" si="787"/>
        <v>barley, hulled</v>
      </c>
      <c r="AE705" s="12">
        <v>5.1193538415680896E-3</v>
      </c>
      <c r="AF705" s="12">
        <v>9.9290720942183497E-2</v>
      </c>
      <c r="AG705" s="12">
        <v>7.8999999999999996E-5</v>
      </c>
      <c r="AH705" s="12">
        <v>3.0864741882572887E-4</v>
      </c>
    </row>
    <row r="706" spans="1:34" ht="14.25">
      <c r="A706" s="617" t="s">
        <v>4144</v>
      </c>
      <c r="B706" s="813" t="s">
        <v>2668</v>
      </c>
      <c r="C706" s="617" t="s">
        <v>2692</v>
      </c>
      <c r="D706" s="617" t="s">
        <v>2911</v>
      </c>
      <c r="E706" s="617" t="s">
        <v>4145</v>
      </c>
      <c r="F706" s="799">
        <v>20</v>
      </c>
      <c r="G706" s="617" t="s">
        <v>4146</v>
      </c>
      <c r="H706" s="799" t="s">
        <v>2934</v>
      </c>
      <c r="I706" s="909" t="s">
        <v>4145</v>
      </c>
      <c r="J706" s="617" t="s">
        <v>4147</v>
      </c>
      <c r="K706" s="885">
        <v>1</v>
      </c>
      <c r="L706" s="725">
        <v>20</v>
      </c>
      <c r="M706" s="850" t="s">
        <v>4148</v>
      </c>
      <c r="N706" s="841" t="s">
        <v>2937</v>
      </c>
      <c r="O706" s="842" t="s">
        <v>2976</v>
      </c>
      <c r="P706" s="617" t="s">
        <v>4021</v>
      </c>
      <c r="Q706" s="856" t="s">
        <v>4152</v>
      </c>
      <c r="R706" s="617">
        <v>0.25</v>
      </c>
      <c r="S706" s="617">
        <f t="shared" si="556"/>
        <v>0.05</v>
      </c>
      <c r="T706" s="725">
        <f>SUM(R697:R706)</f>
        <v>100</v>
      </c>
      <c r="U706" s="617">
        <v>0.25</v>
      </c>
      <c r="V706" s="725"/>
      <c r="W706" s="617" t="s">
        <v>4060</v>
      </c>
      <c r="X706" s="617">
        <f t="shared" si="779"/>
        <v>0.25</v>
      </c>
      <c r="Y706" s="862">
        <f>X706</f>
        <v>0.25</v>
      </c>
      <c r="Z706" s="725">
        <f t="shared" si="784"/>
        <v>0.25</v>
      </c>
      <c r="AA706" s="455">
        <f t="shared" si="785"/>
        <v>0.25</v>
      </c>
      <c r="AB706" s="793" t="s">
        <v>271</v>
      </c>
      <c r="AC706" s="799" t="s">
        <v>271</v>
      </c>
      <c r="AD706" s="799" t="s">
        <v>4023</v>
      </c>
      <c r="AE706" s="635">
        <v>8.4188576965875186E-3</v>
      </c>
      <c r="AF706" s="635">
        <v>3.7019919874172996E-2</v>
      </c>
      <c r="AG706" s="635">
        <v>2.5000000000000001E-5</v>
      </c>
      <c r="AH706" s="635">
        <v>2.4250868622021553E-4</v>
      </c>
    </row>
    <row r="707" spans="1:34" ht="14.25">
      <c r="A707" s="14" t="s">
        <v>4153</v>
      </c>
      <c r="B707" s="24" t="s">
        <v>2668</v>
      </c>
      <c r="C707" s="14" t="s">
        <v>2693</v>
      </c>
      <c r="D707" s="14" t="s">
        <v>2911</v>
      </c>
      <c r="E707" s="14" t="s">
        <v>4154</v>
      </c>
      <c r="F707" s="13">
        <v>19.8</v>
      </c>
      <c r="G707" s="14" t="s">
        <v>4146</v>
      </c>
      <c r="H707" s="13" t="s">
        <v>2973</v>
      </c>
      <c r="I707" s="14" t="s">
        <v>4155</v>
      </c>
      <c r="J707" s="14" t="s">
        <v>4156</v>
      </c>
      <c r="K707" s="478">
        <f t="shared" ref="K707:K729" si="788">45/99</f>
        <v>0.45454545454545453</v>
      </c>
      <c r="L707" s="220">
        <v>9</v>
      </c>
      <c r="M707" s="473" t="s">
        <v>4157</v>
      </c>
      <c r="N707" s="479" t="s">
        <v>2937</v>
      </c>
      <c r="O707" s="480" t="s">
        <v>2976</v>
      </c>
      <c r="P707" s="655" t="s">
        <v>3005</v>
      </c>
      <c r="Q707" s="486" t="s">
        <v>3006</v>
      </c>
      <c r="R707" s="14">
        <v>28.5</v>
      </c>
      <c r="S707" s="14">
        <f t="shared" si="556"/>
        <v>2.5650000000000004</v>
      </c>
      <c r="T707" s="487">
        <f>SUM(R707:R729)</f>
        <v>100</v>
      </c>
      <c r="U707" s="14">
        <f t="shared" ref="U707:U744" si="789">R707*100/T707</f>
        <v>28.5</v>
      </c>
      <c r="V707" s="220"/>
      <c r="W707" s="14" t="s">
        <v>2526</v>
      </c>
      <c r="X707" s="14">
        <f t="shared" si="779"/>
        <v>12.954545454545453</v>
      </c>
      <c r="Y707" s="220">
        <f>SUM(X707,X708,X730,X713,X717,X718)</f>
        <v>62.663948646773065</v>
      </c>
      <c r="Z707" s="220">
        <f>SUM(X707,X708,X730)</f>
        <v>60.277585010409432</v>
      </c>
      <c r="AA707" s="792">
        <f t="shared" si="785"/>
        <v>60.277585010409432</v>
      </c>
      <c r="AB707" s="18" t="s">
        <v>2658</v>
      </c>
      <c r="AC707" s="13" t="s">
        <v>215</v>
      </c>
      <c r="AD707" s="13" t="s">
        <v>3007</v>
      </c>
      <c r="AE707" s="12">
        <v>5.0851930036188197E-3</v>
      </c>
      <c r="AF707" s="12">
        <v>5.9995417730640897E-2</v>
      </c>
      <c r="AG707" s="12">
        <v>3.4699999999999998E-4</v>
      </c>
      <c r="AH707" s="12">
        <v>2.9762429672480995E-4</v>
      </c>
    </row>
    <row r="708" spans="1:34" ht="14.25">
      <c r="A708" s="14" t="s">
        <v>4153</v>
      </c>
      <c r="B708" s="24" t="s">
        <v>2668</v>
      </c>
      <c r="C708" s="14" t="s">
        <v>2693</v>
      </c>
      <c r="D708" s="14" t="s">
        <v>2911</v>
      </c>
      <c r="E708" s="14" t="s">
        <v>4154</v>
      </c>
      <c r="F708" s="13">
        <v>19.8</v>
      </c>
      <c r="G708" s="14" t="s">
        <v>4146</v>
      </c>
      <c r="H708" s="13" t="s">
        <v>2973</v>
      </c>
      <c r="I708" s="14" t="s">
        <v>4155</v>
      </c>
      <c r="J708" s="14" t="s">
        <v>4156</v>
      </c>
      <c r="K708" s="478">
        <f t="shared" si="788"/>
        <v>0.45454545454545453</v>
      </c>
      <c r="L708" s="220">
        <v>9</v>
      </c>
      <c r="M708" s="473" t="s">
        <v>4157</v>
      </c>
      <c r="N708" s="479" t="s">
        <v>2937</v>
      </c>
      <c r="O708" s="480" t="s">
        <v>2976</v>
      </c>
      <c r="P708" s="655" t="s">
        <v>3978</v>
      </c>
      <c r="Q708" s="486" t="s">
        <v>3979</v>
      </c>
      <c r="R708" s="14">
        <v>23.5</v>
      </c>
      <c r="S708" s="14">
        <f t="shared" si="556"/>
        <v>2.1150000000000002</v>
      </c>
      <c r="T708" s="487">
        <f>SUM(R707:R729)</f>
        <v>100</v>
      </c>
      <c r="U708" s="14">
        <f t="shared" si="789"/>
        <v>23.5</v>
      </c>
      <c r="V708" s="220"/>
      <c r="W708" s="14" t="s">
        <v>1164</v>
      </c>
      <c r="X708" s="14">
        <f t="shared" si="779"/>
        <v>10.681818181818182</v>
      </c>
      <c r="Y708" s="220" t="s">
        <v>1666</v>
      </c>
      <c r="Z708" s="220" t="str">
        <f t="shared" ref="Z708:AH708" si="790">Y708</f>
        <v>*</v>
      </c>
      <c r="AA708" s="792" t="str">
        <f t="shared" si="790"/>
        <v>*</v>
      </c>
      <c r="AB708" s="458" t="str">
        <f t="shared" si="790"/>
        <v>*</v>
      </c>
      <c r="AC708" s="497" t="str">
        <f t="shared" si="790"/>
        <v>*</v>
      </c>
      <c r="AD708" s="497" t="str">
        <f t="shared" si="790"/>
        <v>*</v>
      </c>
      <c r="AE708" s="454" t="str">
        <f t="shared" si="790"/>
        <v>*</v>
      </c>
      <c r="AF708" s="454" t="str">
        <f t="shared" si="790"/>
        <v>*</v>
      </c>
      <c r="AG708" s="454" t="str">
        <f t="shared" si="790"/>
        <v>*</v>
      </c>
      <c r="AH708" s="454" t="str">
        <f t="shared" si="790"/>
        <v>*</v>
      </c>
    </row>
    <row r="709" spans="1:34" ht="14.25">
      <c r="A709" s="14" t="s">
        <v>4153</v>
      </c>
      <c r="B709" s="24" t="s">
        <v>2668</v>
      </c>
      <c r="C709" s="14" t="s">
        <v>2693</v>
      </c>
      <c r="D709" s="14" t="s">
        <v>2911</v>
      </c>
      <c r="E709" s="14" t="s">
        <v>4154</v>
      </c>
      <c r="F709" s="13">
        <v>19.8</v>
      </c>
      <c r="G709" s="14" t="s">
        <v>4146</v>
      </c>
      <c r="H709" s="13" t="s">
        <v>2973</v>
      </c>
      <c r="I709" s="14" t="s">
        <v>4155</v>
      </c>
      <c r="J709" s="14" t="s">
        <v>4156</v>
      </c>
      <c r="K709" s="478">
        <f t="shared" si="788"/>
        <v>0.45454545454545453</v>
      </c>
      <c r="L709" s="220">
        <v>9</v>
      </c>
      <c r="M709" s="473" t="s">
        <v>4157</v>
      </c>
      <c r="N709" s="479" t="s">
        <v>2937</v>
      </c>
      <c r="O709" s="480" t="s">
        <v>2976</v>
      </c>
      <c r="P709" s="14" t="s">
        <v>3021</v>
      </c>
      <c r="Q709" s="486" t="s">
        <v>3022</v>
      </c>
      <c r="R709" s="14">
        <v>13.5</v>
      </c>
      <c r="S709" s="14">
        <f t="shared" si="556"/>
        <v>1.2150000000000001</v>
      </c>
      <c r="T709" s="487">
        <f>SUM(R707:R729)</f>
        <v>100</v>
      </c>
      <c r="U709" s="14">
        <f t="shared" si="789"/>
        <v>13.5</v>
      </c>
      <c r="V709" s="220"/>
      <c r="W709" s="14" t="s">
        <v>346</v>
      </c>
      <c r="X709" s="14">
        <f t="shared" si="779"/>
        <v>6.1363636363636358</v>
      </c>
      <c r="Y709" s="220">
        <f>SUM(X709,X729,X731,X736)</f>
        <v>11.385322692574599</v>
      </c>
      <c r="Z709" s="220">
        <f t="shared" ref="Z709:AA709" si="791">Y709</f>
        <v>11.385322692574599</v>
      </c>
      <c r="AA709" s="792">
        <f t="shared" si="791"/>
        <v>11.385322692574599</v>
      </c>
      <c r="AB709" s="18" t="s">
        <v>2694</v>
      </c>
      <c r="AC709" s="13" t="s">
        <v>2982</v>
      </c>
      <c r="AD709" s="13" t="s">
        <v>2983</v>
      </c>
      <c r="AE709" s="12">
        <v>2.9691872042618299E-2</v>
      </c>
      <c r="AF709" s="12">
        <v>7.5368545517799299E-2</v>
      </c>
      <c r="AG709" s="12">
        <v>2.9014018691588786E-4</v>
      </c>
      <c r="AH709" s="12">
        <v>1.4770983615231311E-3</v>
      </c>
    </row>
    <row r="710" spans="1:34" ht="14.25">
      <c r="A710" s="14" t="s">
        <v>4153</v>
      </c>
      <c r="B710" s="24" t="s">
        <v>2668</v>
      </c>
      <c r="C710" s="14" t="s">
        <v>2693</v>
      </c>
      <c r="D710" s="14" t="s">
        <v>2911</v>
      </c>
      <c r="E710" s="14" t="s">
        <v>4154</v>
      </c>
      <c r="F710" s="13">
        <v>19.8</v>
      </c>
      <c r="G710" s="14" t="s">
        <v>4146</v>
      </c>
      <c r="H710" s="13" t="s">
        <v>2973</v>
      </c>
      <c r="I710" s="14" t="s">
        <v>4155</v>
      </c>
      <c r="J710" s="14" t="s">
        <v>4156</v>
      </c>
      <c r="K710" s="478">
        <f t="shared" si="788"/>
        <v>0.45454545454545453</v>
      </c>
      <c r="L710" s="220">
        <v>9</v>
      </c>
      <c r="M710" s="473" t="s">
        <v>4157</v>
      </c>
      <c r="N710" s="479" t="s">
        <v>2937</v>
      </c>
      <c r="O710" s="480" t="s">
        <v>2976</v>
      </c>
      <c r="P710" s="14" t="s">
        <v>2945</v>
      </c>
      <c r="Q710" s="10" t="s">
        <v>2946</v>
      </c>
      <c r="R710" s="14">
        <v>7</v>
      </c>
      <c r="S710" s="14">
        <f t="shared" si="556"/>
        <v>0.63000000000000012</v>
      </c>
      <c r="T710" s="487">
        <f>SUM(R707:R729)</f>
        <v>100</v>
      </c>
      <c r="U710" s="14">
        <f t="shared" si="789"/>
        <v>7</v>
      </c>
      <c r="V710" s="220"/>
      <c r="W710" s="14" t="s">
        <v>433</v>
      </c>
      <c r="X710" s="14">
        <f t="shared" si="779"/>
        <v>3.1818181818181817</v>
      </c>
      <c r="Y710" s="220">
        <f>SUM(X710,X734,X724)</f>
        <v>4.8854961832061061</v>
      </c>
      <c r="Z710" s="220">
        <f>SUM(X710,X734)</f>
        <v>4.430950728660652</v>
      </c>
      <c r="AA710" s="792">
        <f t="shared" ref="AA710:AA711" si="792">Z710</f>
        <v>4.430950728660652</v>
      </c>
      <c r="AB710" s="18" t="s">
        <v>433</v>
      </c>
      <c r="AC710" s="13" t="s">
        <v>433</v>
      </c>
      <c r="AD710" s="13" t="s">
        <v>2947</v>
      </c>
      <c r="AE710" s="12">
        <v>3.0104466724907065E-4</v>
      </c>
      <c r="AF710" s="12">
        <v>1.2500000000000001E-2</v>
      </c>
      <c r="AG710" s="12">
        <v>5.1818181818181835E-4</v>
      </c>
      <c r="AH710" s="12">
        <v>4.0084080366977777E-4</v>
      </c>
    </row>
    <row r="711" spans="1:34" ht="14.25">
      <c r="A711" s="14" t="s">
        <v>4153</v>
      </c>
      <c r="B711" s="24" t="s">
        <v>2668</v>
      </c>
      <c r="C711" s="14" t="s">
        <v>2693</v>
      </c>
      <c r="D711" s="14" t="s">
        <v>2911</v>
      </c>
      <c r="E711" s="14" t="s">
        <v>4154</v>
      </c>
      <c r="F711" s="13">
        <v>19.8</v>
      </c>
      <c r="G711" s="14" t="s">
        <v>4146</v>
      </c>
      <c r="H711" s="13" t="s">
        <v>2973</v>
      </c>
      <c r="I711" s="14" t="s">
        <v>4155</v>
      </c>
      <c r="J711" s="14" t="s">
        <v>4156</v>
      </c>
      <c r="K711" s="478">
        <f t="shared" si="788"/>
        <v>0.45454545454545453</v>
      </c>
      <c r="L711" s="220">
        <v>9</v>
      </c>
      <c r="M711" s="473" t="s">
        <v>4157</v>
      </c>
      <c r="N711" s="479" t="s">
        <v>2937</v>
      </c>
      <c r="O711" s="480" t="s">
        <v>2976</v>
      </c>
      <c r="P711" s="14" t="s">
        <v>430</v>
      </c>
      <c r="Q711" s="527" t="s">
        <v>4086</v>
      </c>
      <c r="R711" s="14">
        <v>3.5</v>
      </c>
      <c r="S711" s="14">
        <f t="shared" si="556"/>
        <v>0.31500000000000006</v>
      </c>
      <c r="T711" s="487">
        <f>SUM(R707:R729)</f>
        <v>100</v>
      </c>
      <c r="U711" s="14">
        <f t="shared" si="789"/>
        <v>3.5</v>
      </c>
      <c r="V711" s="220"/>
      <c r="W711" s="14" t="s">
        <v>430</v>
      </c>
      <c r="X711" s="14">
        <f t="shared" si="779"/>
        <v>1.5909090909090908</v>
      </c>
      <c r="Y711" s="220">
        <f>X711</f>
        <v>1.5909090909090908</v>
      </c>
      <c r="Z711" s="220">
        <f>X711</f>
        <v>1.5909090909090908</v>
      </c>
      <c r="AA711" s="792">
        <f t="shared" si="792"/>
        <v>1.5909090909090908</v>
      </c>
      <c r="AB711" s="18" t="s">
        <v>430</v>
      </c>
      <c r="AC711" s="14" t="s">
        <v>18</v>
      </c>
      <c r="AD711" s="14" t="s">
        <v>18</v>
      </c>
      <c r="AE711" s="12">
        <v>0</v>
      </c>
      <c r="AF711" s="12">
        <v>0</v>
      </c>
      <c r="AG711" s="12">
        <v>0</v>
      </c>
      <c r="AH711" s="12">
        <v>0</v>
      </c>
    </row>
    <row r="712" spans="1:34" ht="14.25">
      <c r="A712" s="14" t="s">
        <v>4153</v>
      </c>
      <c r="B712" s="24" t="s">
        <v>2668</v>
      </c>
      <c r="C712" s="14" t="s">
        <v>2693</v>
      </c>
      <c r="D712" s="14" t="s">
        <v>2911</v>
      </c>
      <c r="E712" s="14" t="s">
        <v>4154</v>
      </c>
      <c r="F712" s="13">
        <v>19.8</v>
      </c>
      <c r="G712" s="14" t="s">
        <v>4146</v>
      </c>
      <c r="H712" s="13" t="s">
        <v>2973</v>
      </c>
      <c r="I712" s="14" t="s">
        <v>4155</v>
      </c>
      <c r="J712" s="14" t="s">
        <v>4156</v>
      </c>
      <c r="K712" s="478">
        <f t="shared" si="788"/>
        <v>0.45454545454545453</v>
      </c>
      <c r="L712" s="220">
        <v>9</v>
      </c>
      <c r="M712" s="473" t="s">
        <v>4157</v>
      </c>
      <c r="N712" s="479" t="s">
        <v>2937</v>
      </c>
      <c r="O712" s="480" t="s">
        <v>2976</v>
      </c>
      <c r="P712" s="14" t="s">
        <v>4039</v>
      </c>
      <c r="Q712" s="14" t="s">
        <v>4111</v>
      </c>
      <c r="R712" s="14">
        <v>2.75</v>
      </c>
      <c r="S712" s="14">
        <f t="shared" si="556"/>
        <v>0.2475</v>
      </c>
      <c r="T712" s="487">
        <f>SUM(R707:R729)</f>
        <v>100</v>
      </c>
      <c r="U712" s="14">
        <f t="shared" si="789"/>
        <v>2.75</v>
      </c>
      <c r="V712" s="220"/>
      <c r="W712" s="14" t="s">
        <v>1113</v>
      </c>
      <c r="X712" s="14">
        <f t="shared" si="779"/>
        <v>1.25</v>
      </c>
      <c r="Y712" s="220">
        <f>SUM(X712,X726,X714)</f>
        <v>2.6136363636363633</v>
      </c>
      <c r="Z712" s="220">
        <f t="shared" ref="Z712:AA712" si="793">Y712</f>
        <v>2.6136363636363633</v>
      </c>
      <c r="AA712" s="792">
        <f t="shared" si="793"/>
        <v>2.6136363636363633</v>
      </c>
      <c r="AB712" s="18" t="s">
        <v>1113</v>
      </c>
      <c r="AC712" s="13" t="s">
        <v>3528</v>
      </c>
      <c r="AD712" s="13" t="s">
        <v>3529</v>
      </c>
      <c r="AE712" s="12">
        <v>3.8297066240151499E-4</v>
      </c>
      <c r="AF712" s="12">
        <v>1.2726079536012401E-2</v>
      </c>
      <c r="AG712" s="12">
        <v>1.225E-5</v>
      </c>
      <c r="AH712" s="12">
        <v>1.5432370941286443E-5</v>
      </c>
    </row>
    <row r="713" spans="1:34" ht="14.25">
      <c r="A713" s="14" t="s">
        <v>4153</v>
      </c>
      <c r="B713" s="24" t="s">
        <v>2668</v>
      </c>
      <c r="C713" s="14" t="s">
        <v>2693</v>
      </c>
      <c r="D713" s="14" t="s">
        <v>2911</v>
      </c>
      <c r="E713" s="14" t="s">
        <v>4154</v>
      </c>
      <c r="F713" s="13">
        <v>19.8</v>
      </c>
      <c r="G713" s="14" t="s">
        <v>4146</v>
      </c>
      <c r="H713" s="13" t="s">
        <v>2973</v>
      </c>
      <c r="I713" s="14" t="s">
        <v>4155</v>
      </c>
      <c r="J713" s="14" t="s">
        <v>4156</v>
      </c>
      <c r="K713" s="478">
        <f t="shared" si="788"/>
        <v>0.45454545454545453</v>
      </c>
      <c r="L713" s="220">
        <v>9</v>
      </c>
      <c r="M713" s="473" t="s">
        <v>4157</v>
      </c>
      <c r="N713" s="479" t="s">
        <v>2937</v>
      </c>
      <c r="O713" s="480" t="s">
        <v>2976</v>
      </c>
      <c r="P713" s="14" t="s">
        <v>4071</v>
      </c>
      <c r="Q713" s="14" t="s">
        <v>4158</v>
      </c>
      <c r="R713" s="14">
        <v>2.25</v>
      </c>
      <c r="S713" s="14">
        <f t="shared" si="556"/>
        <v>0.20249999999999999</v>
      </c>
      <c r="T713" s="487">
        <f>SUM(R707:R729)</f>
        <v>100</v>
      </c>
      <c r="U713" s="14">
        <f t="shared" si="789"/>
        <v>2.25</v>
      </c>
      <c r="V713" s="220"/>
      <c r="W713" s="14" t="s">
        <v>1166</v>
      </c>
      <c r="X713" s="14">
        <f t="shared" si="779"/>
        <v>1.0227272727272727</v>
      </c>
      <c r="Y713" s="220" t="s">
        <v>1666</v>
      </c>
      <c r="Z713" s="220">
        <f>X713</f>
        <v>1.0227272727272727</v>
      </c>
      <c r="AA713" s="792">
        <f>Z713</f>
        <v>1.0227272727272727</v>
      </c>
      <c r="AB713" s="18" t="s">
        <v>2680</v>
      </c>
      <c r="AC713" s="14" t="s">
        <v>4073</v>
      </c>
      <c r="AD713" s="14" t="s">
        <v>4074</v>
      </c>
      <c r="AE713" s="12">
        <v>2.5425965018094099E-4</v>
      </c>
      <c r="AF713" s="12">
        <v>2.999770886532045E-3</v>
      </c>
      <c r="AG713" s="12">
        <v>1.7349999999999998E-5</v>
      </c>
      <c r="AH713" s="12">
        <v>1.4881214836240498E-5</v>
      </c>
    </row>
    <row r="714" spans="1:34" ht="14.25">
      <c r="A714" s="14" t="s">
        <v>4153</v>
      </c>
      <c r="B714" s="24" t="s">
        <v>2668</v>
      </c>
      <c r="C714" s="14" t="s">
        <v>2693</v>
      </c>
      <c r="D714" s="14" t="s">
        <v>2911</v>
      </c>
      <c r="E714" s="14" t="s">
        <v>4154</v>
      </c>
      <c r="F714" s="13">
        <v>19.8</v>
      </c>
      <c r="G714" s="14" t="s">
        <v>4146</v>
      </c>
      <c r="H714" s="13" t="s">
        <v>2973</v>
      </c>
      <c r="I714" s="14" t="s">
        <v>4155</v>
      </c>
      <c r="J714" s="14" t="s">
        <v>4156</v>
      </c>
      <c r="K714" s="478">
        <f t="shared" si="788"/>
        <v>0.45454545454545453</v>
      </c>
      <c r="L714" s="220">
        <v>9</v>
      </c>
      <c r="M714" s="473" t="s">
        <v>4157</v>
      </c>
      <c r="N714" s="479" t="s">
        <v>2937</v>
      </c>
      <c r="O714" s="480" t="s">
        <v>2976</v>
      </c>
      <c r="P714" s="14" t="s">
        <v>3526</v>
      </c>
      <c r="Q714" s="14" t="s">
        <v>4159</v>
      </c>
      <c r="R714" s="14">
        <v>2.25</v>
      </c>
      <c r="S714" s="14">
        <f t="shared" si="556"/>
        <v>0.20249999999999999</v>
      </c>
      <c r="T714" s="487">
        <f>SUM(R707:R729)</f>
        <v>100</v>
      </c>
      <c r="U714" s="14">
        <f t="shared" si="789"/>
        <v>2.25</v>
      </c>
      <c r="V714" s="220"/>
      <c r="W714" s="14" t="s">
        <v>1114</v>
      </c>
      <c r="X714" s="14">
        <f t="shared" si="779"/>
        <v>1.0227272727272727</v>
      </c>
      <c r="Y714" s="220" t="s">
        <v>1666</v>
      </c>
      <c r="Z714" s="220" t="str">
        <f t="shared" ref="Z714:AH714" si="794">Y714</f>
        <v>*</v>
      </c>
      <c r="AA714" s="792" t="str">
        <f t="shared" si="794"/>
        <v>*</v>
      </c>
      <c r="AB714" s="458" t="str">
        <f t="shared" si="794"/>
        <v>*</v>
      </c>
      <c r="AC714" s="497" t="str">
        <f t="shared" si="794"/>
        <v>*</v>
      </c>
      <c r="AD714" s="497" t="str">
        <f t="shared" si="794"/>
        <v>*</v>
      </c>
      <c r="AE714" s="454" t="str">
        <f t="shared" si="794"/>
        <v>*</v>
      </c>
      <c r="AF714" s="454" t="str">
        <f t="shared" si="794"/>
        <v>*</v>
      </c>
      <c r="AG714" s="454" t="str">
        <f t="shared" si="794"/>
        <v>*</v>
      </c>
      <c r="AH714" s="454" t="str">
        <f t="shared" si="794"/>
        <v>*</v>
      </c>
    </row>
    <row r="715" spans="1:34" ht="14.25">
      <c r="A715" s="14" t="s">
        <v>4153</v>
      </c>
      <c r="B715" s="24" t="s">
        <v>2668</v>
      </c>
      <c r="C715" s="14" t="s">
        <v>2693</v>
      </c>
      <c r="D715" s="14" t="s">
        <v>2911</v>
      </c>
      <c r="E715" s="14" t="s">
        <v>4154</v>
      </c>
      <c r="F715" s="13">
        <v>19.8</v>
      </c>
      <c r="G715" s="14" t="s">
        <v>4146</v>
      </c>
      <c r="H715" s="13" t="s">
        <v>2973</v>
      </c>
      <c r="I715" s="14" t="s">
        <v>4155</v>
      </c>
      <c r="J715" s="14" t="s">
        <v>4156</v>
      </c>
      <c r="K715" s="478">
        <f t="shared" si="788"/>
        <v>0.45454545454545453</v>
      </c>
      <c r="L715" s="220">
        <v>9</v>
      </c>
      <c r="M715" s="473" t="s">
        <v>4157</v>
      </c>
      <c r="N715" s="479" t="s">
        <v>2937</v>
      </c>
      <c r="O715" s="480" t="s">
        <v>2976</v>
      </c>
      <c r="P715" s="14" t="s">
        <v>83</v>
      </c>
      <c r="Q715" s="527" t="s">
        <v>3430</v>
      </c>
      <c r="R715" s="14">
        <v>1.75</v>
      </c>
      <c r="S715" s="14">
        <f t="shared" si="556"/>
        <v>0.15750000000000003</v>
      </c>
      <c r="T715" s="487">
        <f>SUM(R707:R729)</f>
        <v>100</v>
      </c>
      <c r="U715" s="14">
        <f t="shared" si="789"/>
        <v>1.75</v>
      </c>
      <c r="V715" s="220"/>
      <c r="W715" s="14" t="s">
        <v>83</v>
      </c>
      <c r="X715" s="14">
        <f t="shared" si="779"/>
        <v>0.79545454545454541</v>
      </c>
      <c r="Y715" s="220">
        <f>SUM(X715,X740)</f>
        <v>1.905794587092297</v>
      </c>
      <c r="Z715" s="220">
        <f>SUM(X715,X740)</f>
        <v>1.905794587092297</v>
      </c>
      <c r="AA715" s="792">
        <f t="shared" ref="AA715:AA721" si="795">Z715</f>
        <v>1.905794587092297</v>
      </c>
      <c r="AB715" s="18" t="s">
        <v>83</v>
      </c>
      <c r="AC715" s="13" t="s">
        <v>83</v>
      </c>
      <c r="AD715" s="13" t="s">
        <v>2951</v>
      </c>
      <c r="AE715" s="12">
        <v>0</v>
      </c>
      <c r="AF715" s="12">
        <v>0</v>
      </c>
      <c r="AG715" s="12">
        <v>0</v>
      </c>
      <c r="AH715" s="12">
        <v>0</v>
      </c>
    </row>
    <row r="716" spans="1:34" ht="14.25">
      <c r="A716" s="14" t="s">
        <v>4153</v>
      </c>
      <c r="B716" s="24" t="s">
        <v>2668</v>
      </c>
      <c r="C716" s="14" t="s">
        <v>2693</v>
      </c>
      <c r="D716" s="14" t="s">
        <v>2911</v>
      </c>
      <c r="E716" s="14" t="s">
        <v>4154</v>
      </c>
      <c r="F716" s="13">
        <v>19.8</v>
      </c>
      <c r="G716" s="14" t="s">
        <v>4146</v>
      </c>
      <c r="H716" s="13" t="s">
        <v>2973</v>
      </c>
      <c r="I716" s="14" t="s">
        <v>4155</v>
      </c>
      <c r="J716" s="14" t="s">
        <v>4156</v>
      </c>
      <c r="K716" s="478">
        <f t="shared" si="788"/>
        <v>0.45454545454545453</v>
      </c>
      <c r="L716" s="220">
        <v>9</v>
      </c>
      <c r="M716" s="473" t="s">
        <v>4157</v>
      </c>
      <c r="N716" s="479" t="s">
        <v>2937</v>
      </c>
      <c r="O716" s="480" t="s">
        <v>2976</v>
      </c>
      <c r="P716" s="14" t="s">
        <v>3862</v>
      </c>
      <c r="Q716" s="486" t="s">
        <v>4160</v>
      </c>
      <c r="R716" s="14">
        <v>1.5</v>
      </c>
      <c r="S716" s="14">
        <f t="shared" si="556"/>
        <v>0.13500000000000001</v>
      </c>
      <c r="T716" s="487">
        <f>SUM(R707:R729)</f>
        <v>100</v>
      </c>
      <c r="U716" s="14">
        <f t="shared" si="789"/>
        <v>1.5</v>
      </c>
      <c r="V716" s="220"/>
      <c r="W716" s="14" t="s">
        <v>4161</v>
      </c>
      <c r="X716" s="14">
        <f t="shared" si="779"/>
        <v>0.68181818181818177</v>
      </c>
      <c r="Y716" s="220">
        <f>SUM(X716,X722,X735)</f>
        <v>1.6663775156141569</v>
      </c>
      <c r="Z716" s="220">
        <f>SUM(X716,X722,X735)</f>
        <v>1.6663775156141569</v>
      </c>
      <c r="AA716" s="792">
        <f t="shared" si="795"/>
        <v>1.6663775156141569</v>
      </c>
      <c r="AB716" s="18" t="s">
        <v>2662</v>
      </c>
      <c r="AC716" s="13" t="s">
        <v>208</v>
      </c>
      <c r="AD716" s="13" t="s">
        <v>3864</v>
      </c>
      <c r="AE716" s="12">
        <v>6.399192301960112E-3</v>
      </c>
      <c r="AF716" s="12">
        <v>0.12411340117772937</v>
      </c>
      <c r="AG716" s="12">
        <v>9.8749999999999988E-5</v>
      </c>
      <c r="AH716" s="12">
        <v>3.8580927353216109E-4</v>
      </c>
    </row>
    <row r="717" spans="1:34" ht="14.25">
      <c r="A717" s="14" t="s">
        <v>4153</v>
      </c>
      <c r="B717" s="24" t="s">
        <v>2668</v>
      </c>
      <c r="C717" s="14" t="s">
        <v>2693</v>
      </c>
      <c r="D717" s="14" t="s">
        <v>2911</v>
      </c>
      <c r="E717" s="14" t="s">
        <v>4154</v>
      </c>
      <c r="F717" s="13">
        <v>19.8</v>
      </c>
      <c r="G717" s="14" t="s">
        <v>4146</v>
      </c>
      <c r="H717" s="13" t="s">
        <v>2973</v>
      </c>
      <c r="I717" s="14" t="s">
        <v>4155</v>
      </c>
      <c r="J717" s="14" t="s">
        <v>4156</v>
      </c>
      <c r="K717" s="478">
        <f t="shared" si="788"/>
        <v>0.45454545454545453</v>
      </c>
      <c r="L717" s="220">
        <v>9</v>
      </c>
      <c r="M717" s="473" t="s">
        <v>4157</v>
      </c>
      <c r="N717" s="479" t="s">
        <v>2937</v>
      </c>
      <c r="O717" s="480" t="s">
        <v>2976</v>
      </c>
      <c r="P717" s="14" t="s">
        <v>3865</v>
      </c>
      <c r="Q717" s="553" t="s">
        <v>4094</v>
      </c>
      <c r="R717" s="14">
        <v>1.5</v>
      </c>
      <c r="S717" s="14">
        <f t="shared" si="556"/>
        <v>0.13500000000000001</v>
      </c>
      <c r="T717" s="487">
        <f>SUM(R707:R729)</f>
        <v>100</v>
      </c>
      <c r="U717" s="14">
        <f t="shared" si="789"/>
        <v>1.5</v>
      </c>
      <c r="V717" s="220"/>
      <c r="W717" s="14" t="s">
        <v>1165</v>
      </c>
      <c r="X717" s="14">
        <f t="shared" si="779"/>
        <v>0.68181818181818177</v>
      </c>
      <c r="Y717" s="220" t="s">
        <v>1666</v>
      </c>
      <c r="Z717" s="220">
        <f t="shared" ref="Z717:Z719" si="796">X717</f>
        <v>0.68181818181818177</v>
      </c>
      <c r="AA717" s="792">
        <f t="shared" si="795"/>
        <v>0.68181818181818177</v>
      </c>
      <c r="AB717" s="18" t="s">
        <v>2663</v>
      </c>
      <c r="AC717" s="13" t="s">
        <v>3867</v>
      </c>
      <c r="AD717" s="13" t="s">
        <v>3007</v>
      </c>
      <c r="AE717" s="12">
        <v>3.1660297063617504E-2</v>
      </c>
      <c r="AF717" s="12">
        <v>0.3735301190055475</v>
      </c>
      <c r="AG717" s="12">
        <v>2.1604141815772032E-3</v>
      </c>
      <c r="AH717" s="12">
        <v>1.8530021654934324E-3</v>
      </c>
    </row>
    <row r="718" spans="1:34" ht="14.25">
      <c r="A718" s="14" t="s">
        <v>4153</v>
      </c>
      <c r="B718" s="24" t="s">
        <v>2668</v>
      </c>
      <c r="C718" s="14" t="s">
        <v>2693</v>
      </c>
      <c r="D718" s="14" t="s">
        <v>2911</v>
      </c>
      <c r="E718" s="14" t="s">
        <v>4154</v>
      </c>
      <c r="F718" s="13">
        <v>19.8</v>
      </c>
      <c r="G718" s="14" t="s">
        <v>4146</v>
      </c>
      <c r="H718" s="13" t="s">
        <v>2973</v>
      </c>
      <c r="I718" s="14" t="s">
        <v>4155</v>
      </c>
      <c r="J718" s="14" t="s">
        <v>4156</v>
      </c>
      <c r="K718" s="478">
        <f t="shared" si="788"/>
        <v>0.45454545454545453</v>
      </c>
      <c r="L718" s="220">
        <v>9</v>
      </c>
      <c r="M718" s="473" t="s">
        <v>4157</v>
      </c>
      <c r="N718" s="479" t="s">
        <v>2937</v>
      </c>
      <c r="O718" s="480" t="s">
        <v>2976</v>
      </c>
      <c r="P718" s="14" t="s">
        <v>214</v>
      </c>
      <c r="Q718" s="14" t="s">
        <v>4162</v>
      </c>
      <c r="R718" s="14">
        <v>1.5</v>
      </c>
      <c r="S718" s="14">
        <f t="shared" si="556"/>
        <v>0.13500000000000001</v>
      </c>
      <c r="T718" s="487">
        <f>SUM(R707:R729)</f>
        <v>100</v>
      </c>
      <c r="U718" s="14">
        <f t="shared" si="789"/>
        <v>1.5</v>
      </c>
      <c r="V718" s="220"/>
      <c r="W718" s="14" t="s">
        <v>214</v>
      </c>
      <c r="X718" s="14">
        <f t="shared" si="779"/>
        <v>0.68181818181818177</v>
      </c>
      <c r="Y718" s="220" t="s">
        <v>1666</v>
      </c>
      <c r="Z718" s="220">
        <f t="shared" si="796"/>
        <v>0.68181818181818177</v>
      </c>
      <c r="AA718" s="792">
        <f t="shared" si="795"/>
        <v>0.68181818181818177</v>
      </c>
      <c r="AB718" s="18" t="s">
        <v>2671</v>
      </c>
      <c r="AC718" s="13" t="s">
        <v>214</v>
      </c>
      <c r="AD718" s="13" t="s">
        <v>3981</v>
      </c>
      <c r="AE718" s="12">
        <v>2.5425965018094099E-4</v>
      </c>
      <c r="AF718" s="12">
        <v>2.999770886532045E-3</v>
      </c>
      <c r="AG718" s="12">
        <v>1.7349999999999998E-5</v>
      </c>
      <c r="AH718" s="12">
        <v>1.4881214836240498E-5</v>
      </c>
    </row>
    <row r="719" spans="1:34" ht="14.25">
      <c r="A719" s="14" t="s">
        <v>4153</v>
      </c>
      <c r="B719" s="24" t="s">
        <v>2668</v>
      </c>
      <c r="C719" s="14" t="s">
        <v>2693</v>
      </c>
      <c r="D719" s="14" t="s">
        <v>2911</v>
      </c>
      <c r="E719" s="14" t="s">
        <v>4154</v>
      </c>
      <c r="F719" s="13">
        <v>19.8</v>
      </c>
      <c r="G719" s="14" t="s">
        <v>4146</v>
      </c>
      <c r="H719" s="13" t="s">
        <v>2973</v>
      </c>
      <c r="I719" s="14" t="s">
        <v>4155</v>
      </c>
      <c r="J719" s="14" t="s">
        <v>4156</v>
      </c>
      <c r="K719" s="478">
        <f t="shared" si="788"/>
        <v>0.45454545454545453</v>
      </c>
      <c r="L719" s="220">
        <v>9</v>
      </c>
      <c r="M719" s="473" t="s">
        <v>4157</v>
      </c>
      <c r="N719" s="479" t="s">
        <v>2937</v>
      </c>
      <c r="O719" s="480" t="s">
        <v>2976</v>
      </c>
      <c r="P719" s="14" t="s">
        <v>4021</v>
      </c>
      <c r="Q719" s="486" t="s">
        <v>4163</v>
      </c>
      <c r="R719" s="14">
        <v>1.5</v>
      </c>
      <c r="S719" s="14">
        <f t="shared" si="556"/>
        <v>0.13500000000000001</v>
      </c>
      <c r="T719" s="487">
        <f>SUM(R707:R729)</f>
        <v>100</v>
      </c>
      <c r="U719" s="14">
        <f t="shared" si="789"/>
        <v>1.5</v>
      </c>
      <c r="V719" s="220"/>
      <c r="W719" s="14" t="s">
        <v>4060</v>
      </c>
      <c r="X719" s="14">
        <f t="shared" si="779"/>
        <v>0.68181818181818177</v>
      </c>
      <c r="Y719" s="499">
        <f>X719</f>
        <v>0.68181818181818177</v>
      </c>
      <c r="Z719" s="220">
        <f t="shared" si="796"/>
        <v>0.68181818181818177</v>
      </c>
      <c r="AA719" s="792">
        <f t="shared" si="795"/>
        <v>0.68181818181818177</v>
      </c>
      <c r="AB719" s="18" t="s">
        <v>271</v>
      </c>
      <c r="AC719" s="13" t="s">
        <v>271</v>
      </c>
      <c r="AD719" s="13" t="s">
        <v>4023</v>
      </c>
      <c r="AE719" s="12">
        <v>8.4188576965875186E-3</v>
      </c>
      <c r="AF719" s="12">
        <v>3.7019919874172996E-2</v>
      </c>
      <c r="AG719" s="12">
        <v>2.5000000000000001E-5</v>
      </c>
      <c r="AH719" s="12">
        <v>2.4250868622021553E-4</v>
      </c>
    </row>
    <row r="720" spans="1:34" ht="14.25">
      <c r="A720" s="14" t="s">
        <v>4153</v>
      </c>
      <c r="B720" s="24" t="s">
        <v>2668</v>
      </c>
      <c r="C720" s="14" t="s">
        <v>2693</v>
      </c>
      <c r="D720" s="14" t="s">
        <v>2911</v>
      </c>
      <c r="E720" s="14" t="s">
        <v>4154</v>
      </c>
      <c r="F720" s="13">
        <v>19.8</v>
      </c>
      <c r="G720" s="14" t="s">
        <v>4146</v>
      </c>
      <c r="H720" s="13" t="s">
        <v>2973</v>
      </c>
      <c r="I720" s="14" t="s">
        <v>4155</v>
      </c>
      <c r="J720" s="14" t="s">
        <v>4156</v>
      </c>
      <c r="K720" s="478">
        <f t="shared" si="788"/>
        <v>0.45454545454545453</v>
      </c>
      <c r="L720" s="220">
        <v>9</v>
      </c>
      <c r="M720" s="473" t="s">
        <v>4157</v>
      </c>
      <c r="N720" s="479" t="s">
        <v>2937</v>
      </c>
      <c r="O720" s="480" t="s">
        <v>2976</v>
      </c>
      <c r="P720" s="14" t="s">
        <v>2962</v>
      </c>
      <c r="Q720" s="435" t="s">
        <v>2963</v>
      </c>
      <c r="R720" s="14">
        <v>1.5</v>
      </c>
      <c r="S720" s="14">
        <f t="shared" si="556"/>
        <v>0.13500000000000001</v>
      </c>
      <c r="T720" s="487">
        <f>SUM(R707:R729)</f>
        <v>100</v>
      </c>
      <c r="U720" s="14">
        <f t="shared" si="789"/>
        <v>1.5</v>
      </c>
      <c r="V720" s="220"/>
      <c r="W720" s="14" t="s">
        <v>425</v>
      </c>
      <c r="X720" s="14">
        <f t="shared" si="779"/>
        <v>0.68181818181818177</v>
      </c>
      <c r="Y720" s="220">
        <f>SUM(X720,X721,X723,X742,X743)</f>
        <v>2.7897293546148507</v>
      </c>
      <c r="Z720" s="220">
        <f>SUM(X720,X742)</f>
        <v>1.3757807078417765</v>
      </c>
      <c r="AA720" s="792">
        <f t="shared" si="795"/>
        <v>1.3757807078417765</v>
      </c>
      <c r="AB720" s="18" t="s">
        <v>425</v>
      </c>
      <c r="AC720" s="13" t="s">
        <v>2964</v>
      </c>
      <c r="AD720" s="13" t="s">
        <v>2965</v>
      </c>
      <c r="AE720" s="12">
        <v>3.8102374934982654E-3</v>
      </c>
      <c r="AF720" s="12">
        <v>0.20470422547079484</v>
      </c>
      <c r="AG720" s="12">
        <v>1.210810810810811E-4</v>
      </c>
      <c r="AH720" s="12">
        <v>1.0002400855855065E-3</v>
      </c>
    </row>
    <row r="721" spans="1:34" ht="14.25">
      <c r="A721" s="14" t="s">
        <v>4153</v>
      </c>
      <c r="B721" s="24" t="s">
        <v>2668</v>
      </c>
      <c r="C721" s="14" t="s">
        <v>2693</v>
      </c>
      <c r="D721" s="14" t="s">
        <v>2911</v>
      </c>
      <c r="E721" s="14" t="s">
        <v>4154</v>
      </c>
      <c r="F721" s="13">
        <v>19.8</v>
      </c>
      <c r="G721" s="14" t="s">
        <v>4146</v>
      </c>
      <c r="H721" s="13" t="s">
        <v>2973</v>
      </c>
      <c r="I721" s="14" t="s">
        <v>4155</v>
      </c>
      <c r="J721" s="14" t="s">
        <v>4156</v>
      </c>
      <c r="K721" s="478">
        <f t="shared" si="788"/>
        <v>0.45454545454545453</v>
      </c>
      <c r="L721" s="220">
        <v>9</v>
      </c>
      <c r="M721" s="473" t="s">
        <v>4157</v>
      </c>
      <c r="N721" s="479" t="s">
        <v>2937</v>
      </c>
      <c r="O721" s="480" t="s">
        <v>2976</v>
      </c>
      <c r="P721" s="14" t="s">
        <v>3859</v>
      </c>
      <c r="Q721" s="486" t="s">
        <v>3860</v>
      </c>
      <c r="R721" s="14">
        <v>1.5</v>
      </c>
      <c r="S721" s="14">
        <f t="shared" si="556"/>
        <v>0.13500000000000001</v>
      </c>
      <c r="T721" s="487">
        <f>SUM(R707:R729)</f>
        <v>100</v>
      </c>
      <c r="U721" s="14">
        <f t="shared" si="789"/>
        <v>1.5</v>
      </c>
      <c r="V721" s="220"/>
      <c r="W721" s="14" t="s">
        <v>222</v>
      </c>
      <c r="X721" s="14">
        <f t="shared" si="779"/>
        <v>0.68181818181818177</v>
      </c>
      <c r="Y721" s="220" t="s">
        <v>1624</v>
      </c>
      <c r="Z721" s="220">
        <f>X721</f>
        <v>0.68181818181818177</v>
      </c>
      <c r="AA721" s="792">
        <f t="shared" si="795"/>
        <v>0.68181818181818177</v>
      </c>
      <c r="AB721" s="18" t="s">
        <v>222</v>
      </c>
      <c r="AC721" s="13" t="s">
        <v>55</v>
      </c>
      <c r="AD721" s="13" t="s">
        <v>2979</v>
      </c>
      <c r="AE721" s="12">
        <v>3.1468479298981202E-3</v>
      </c>
      <c r="AF721" s="12">
        <v>0.16906375764329037</v>
      </c>
      <c r="AG721" s="12">
        <v>9.759036144578314E-5</v>
      </c>
      <c r="AH721" s="12">
        <v>7.171669800597832E-4</v>
      </c>
    </row>
    <row r="722" spans="1:34" ht="14.25">
      <c r="A722" s="14" t="s">
        <v>4153</v>
      </c>
      <c r="B722" s="24" t="s">
        <v>2668</v>
      </c>
      <c r="C722" s="14" t="s">
        <v>2693</v>
      </c>
      <c r="D722" s="14" t="s">
        <v>2911</v>
      </c>
      <c r="E722" s="14" t="s">
        <v>4154</v>
      </c>
      <c r="F722" s="13">
        <v>19.8</v>
      </c>
      <c r="G722" s="14" t="s">
        <v>4146</v>
      </c>
      <c r="H722" s="13" t="s">
        <v>2973</v>
      </c>
      <c r="I722" s="14" t="s">
        <v>4155</v>
      </c>
      <c r="J722" s="14" t="s">
        <v>4156</v>
      </c>
      <c r="K722" s="478">
        <f t="shared" si="788"/>
        <v>0.45454545454545453</v>
      </c>
      <c r="L722" s="220">
        <v>9</v>
      </c>
      <c r="M722" s="473" t="s">
        <v>4157</v>
      </c>
      <c r="N722" s="479" t="s">
        <v>2937</v>
      </c>
      <c r="O722" s="480" t="s">
        <v>2976</v>
      </c>
      <c r="P722" s="14" t="s">
        <v>4019</v>
      </c>
      <c r="Q722" s="486" t="s">
        <v>4150</v>
      </c>
      <c r="R722" s="14">
        <v>1.25</v>
      </c>
      <c r="S722" s="14">
        <f t="shared" si="556"/>
        <v>0.1125</v>
      </c>
      <c r="T722" s="487">
        <f>SUM(R707:R729)</f>
        <v>100</v>
      </c>
      <c r="U722" s="14">
        <f t="shared" si="789"/>
        <v>1.25</v>
      </c>
      <c r="V722" s="220"/>
      <c r="W722" s="14" t="s">
        <v>4164</v>
      </c>
      <c r="X722" s="14">
        <f t="shared" si="779"/>
        <v>0.56818181818181812</v>
      </c>
      <c r="Y722" s="220" t="s">
        <v>1666</v>
      </c>
      <c r="Z722" s="220" t="str">
        <f t="shared" ref="Z722:AH722" si="797">Y722</f>
        <v>*</v>
      </c>
      <c r="AA722" s="792" t="str">
        <f t="shared" si="797"/>
        <v>*</v>
      </c>
      <c r="AB722" s="458" t="str">
        <f t="shared" si="797"/>
        <v>*</v>
      </c>
      <c r="AC722" s="497" t="str">
        <f t="shared" si="797"/>
        <v>*</v>
      </c>
      <c r="AD722" s="497" t="str">
        <f t="shared" si="797"/>
        <v>*</v>
      </c>
      <c r="AE722" s="454" t="str">
        <f t="shared" si="797"/>
        <v>*</v>
      </c>
      <c r="AF722" s="454" t="str">
        <f t="shared" si="797"/>
        <v>*</v>
      </c>
      <c r="AG722" s="454" t="str">
        <f t="shared" si="797"/>
        <v>*</v>
      </c>
      <c r="AH722" s="454" t="str">
        <f t="shared" si="797"/>
        <v>*</v>
      </c>
    </row>
    <row r="723" spans="1:34" ht="14.25">
      <c r="A723" s="14" t="s">
        <v>4153</v>
      </c>
      <c r="B723" s="24" t="s">
        <v>2668</v>
      </c>
      <c r="C723" s="14" t="s">
        <v>2693</v>
      </c>
      <c r="D723" s="14" t="s">
        <v>2911</v>
      </c>
      <c r="E723" s="14" t="s">
        <v>4154</v>
      </c>
      <c r="F723" s="13">
        <v>19.8</v>
      </c>
      <c r="G723" s="14" t="s">
        <v>4146</v>
      </c>
      <c r="H723" s="13" t="s">
        <v>2973</v>
      </c>
      <c r="I723" s="14" t="s">
        <v>4155</v>
      </c>
      <c r="J723" s="14" t="s">
        <v>4156</v>
      </c>
      <c r="K723" s="478">
        <f t="shared" si="788"/>
        <v>0.45454545454545453</v>
      </c>
      <c r="L723" s="220">
        <v>9</v>
      </c>
      <c r="M723" s="473" t="s">
        <v>4157</v>
      </c>
      <c r="N723" s="479" t="s">
        <v>2937</v>
      </c>
      <c r="O723" s="480" t="s">
        <v>2976</v>
      </c>
      <c r="P723" s="655" t="s">
        <v>2977</v>
      </c>
      <c r="Q723" s="527" t="s">
        <v>2978</v>
      </c>
      <c r="R723" s="14">
        <v>1</v>
      </c>
      <c r="S723" s="14">
        <f t="shared" si="556"/>
        <v>0.09</v>
      </c>
      <c r="T723" s="487">
        <f>SUM(R707:R729)</f>
        <v>100</v>
      </c>
      <c r="U723" s="14">
        <f t="shared" si="789"/>
        <v>1</v>
      </c>
      <c r="V723" s="220"/>
      <c r="W723" s="14" t="s">
        <v>227</v>
      </c>
      <c r="X723" s="14">
        <f t="shared" si="779"/>
        <v>0.45454545454545453</v>
      </c>
      <c r="Y723" s="220" t="s">
        <v>1624</v>
      </c>
      <c r="Z723" s="220">
        <f>SUM(X723,X743)</f>
        <v>0.73213046495489242</v>
      </c>
      <c r="AA723" s="792">
        <f t="shared" ref="AA723:AA735" si="798">Z723</f>
        <v>0.73213046495489242</v>
      </c>
      <c r="AB723" s="18" t="s">
        <v>227</v>
      </c>
      <c r="AC723" s="13" t="s">
        <v>55</v>
      </c>
      <c r="AD723" s="13" t="s">
        <v>2979</v>
      </c>
      <c r="AE723" s="12">
        <v>2.5055367220000002E-3</v>
      </c>
      <c r="AF723" s="12">
        <v>3.8459841414181101E-2</v>
      </c>
      <c r="AG723" s="12">
        <v>1.1035422343324251E-4</v>
      </c>
      <c r="AH723" s="12">
        <v>8.109653861711444E-4</v>
      </c>
    </row>
    <row r="724" spans="1:34" ht="14.25">
      <c r="A724" s="14" t="s">
        <v>4153</v>
      </c>
      <c r="B724" s="24" t="s">
        <v>2668</v>
      </c>
      <c r="C724" s="14" t="s">
        <v>2693</v>
      </c>
      <c r="D724" s="14" t="s">
        <v>2911</v>
      </c>
      <c r="E724" s="14" t="s">
        <v>4154</v>
      </c>
      <c r="F724" s="13">
        <v>19.8</v>
      </c>
      <c r="G724" s="14" t="s">
        <v>4146</v>
      </c>
      <c r="H724" s="13" t="s">
        <v>2973</v>
      </c>
      <c r="I724" s="14" t="s">
        <v>4155</v>
      </c>
      <c r="J724" s="14" t="s">
        <v>4156</v>
      </c>
      <c r="K724" s="478">
        <f t="shared" si="788"/>
        <v>0.45454545454545453</v>
      </c>
      <c r="L724" s="220">
        <v>9</v>
      </c>
      <c r="M724" s="473" t="s">
        <v>4157</v>
      </c>
      <c r="N724" s="479" t="s">
        <v>2937</v>
      </c>
      <c r="O724" s="480" t="s">
        <v>2976</v>
      </c>
      <c r="P724" s="14" t="s">
        <v>432</v>
      </c>
      <c r="Q724" s="486" t="s">
        <v>3028</v>
      </c>
      <c r="R724" s="14">
        <v>1</v>
      </c>
      <c r="S724" s="14">
        <f t="shared" si="556"/>
        <v>0.09</v>
      </c>
      <c r="T724" s="487">
        <f>SUM(R707:R729)</f>
        <v>100</v>
      </c>
      <c r="U724" s="14">
        <f t="shared" si="789"/>
        <v>1</v>
      </c>
      <c r="V724" s="220"/>
      <c r="W724" s="14" t="s">
        <v>432</v>
      </c>
      <c r="X724" s="14">
        <f t="shared" si="779"/>
        <v>0.45454545454545453</v>
      </c>
      <c r="Y724" s="220" t="s">
        <v>1666</v>
      </c>
      <c r="Z724" s="220">
        <f t="shared" ref="Z724:Z725" si="799">X724</f>
        <v>0.45454545454545453</v>
      </c>
      <c r="AA724" s="792">
        <f t="shared" si="798"/>
        <v>0.45454545454545453</v>
      </c>
      <c r="AB724" s="18" t="s">
        <v>432</v>
      </c>
      <c r="AC724" s="13" t="s">
        <v>4103</v>
      </c>
      <c r="AD724" s="13" t="s">
        <v>4104</v>
      </c>
      <c r="AE724" s="12">
        <v>2.2558902713754649E-4</v>
      </c>
      <c r="AF724" s="12">
        <v>9.3669250645994837E-3</v>
      </c>
      <c r="AG724" s="12">
        <v>3.8830162085976054E-4</v>
      </c>
      <c r="AH724" s="12">
        <v>3.0037166166469137E-4</v>
      </c>
    </row>
    <row r="725" spans="1:34" ht="14.25">
      <c r="A725" s="14" t="s">
        <v>4153</v>
      </c>
      <c r="B725" s="24" t="s">
        <v>2668</v>
      </c>
      <c r="C725" s="14" t="s">
        <v>2693</v>
      </c>
      <c r="D725" s="14" t="s">
        <v>2911</v>
      </c>
      <c r="E725" s="14" t="s">
        <v>4154</v>
      </c>
      <c r="F725" s="13">
        <v>19.8</v>
      </c>
      <c r="G725" s="14" t="s">
        <v>4146</v>
      </c>
      <c r="H725" s="13" t="s">
        <v>2973</v>
      </c>
      <c r="I725" s="14" t="s">
        <v>4155</v>
      </c>
      <c r="J725" s="14" t="s">
        <v>4156</v>
      </c>
      <c r="K725" s="478">
        <f t="shared" si="788"/>
        <v>0.45454545454545453</v>
      </c>
      <c r="L725" s="220">
        <v>9</v>
      </c>
      <c r="M725" s="473" t="s">
        <v>4157</v>
      </c>
      <c r="N725" s="479" t="s">
        <v>2937</v>
      </c>
      <c r="O725" s="480" t="s">
        <v>2976</v>
      </c>
      <c r="P725" s="14" t="s">
        <v>3873</v>
      </c>
      <c r="Q725" s="486" t="s">
        <v>4165</v>
      </c>
      <c r="R725" s="14">
        <v>1</v>
      </c>
      <c r="S725" s="14">
        <f t="shared" si="556"/>
        <v>0.09</v>
      </c>
      <c r="T725" s="487">
        <f>SUM(R707:R729)</f>
        <v>100</v>
      </c>
      <c r="U725" s="14">
        <f t="shared" si="789"/>
        <v>1</v>
      </c>
      <c r="V725" s="220"/>
      <c r="W725" s="14" t="s">
        <v>1124</v>
      </c>
      <c r="X725" s="14">
        <f t="shared" si="779"/>
        <v>0.45454545454545453</v>
      </c>
      <c r="Y725" s="499">
        <f>X725</f>
        <v>0.45454545454545453</v>
      </c>
      <c r="Z725" s="220">
        <f t="shared" si="799"/>
        <v>0.45454545454545453</v>
      </c>
      <c r="AA725" s="792">
        <f t="shared" si="798"/>
        <v>0.45454545454545453</v>
      </c>
      <c r="AB725" s="18" t="s">
        <v>1124</v>
      </c>
      <c r="AC725" s="13" t="s">
        <v>3875</v>
      </c>
      <c r="AD725" s="13" t="s">
        <v>3876</v>
      </c>
      <c r="AE725" s="12">
        <v>2.38916680630451E-3</v>
      </c>
      <c r="AF725" s="12">
        <v>0.16192713668914901</v>
      </c>
      <c r="AG725" s="12">
        <v>4.8714285714285716E-4</v>
      </c>
      <c r="AH725" s="12">
        <v>2.358948129596642E-3</v>
      </c>
    </row>
    <row r="726" spans="1:34" ht="14.25">
      <c r="A726" s="14" t="s">
        <v>4153</v>
      </c>
      <c r="B726" s="24" t="s">
        <v>2668</v>
      </c>
      <c r="C726" s="14" t="s">
        <v>2693</v>
      </c>
      <c r="D726" s="14" t="s">
        <v>2911</v>
      </c>
      <c r="E726" s="14" t="s">
        <v>4154</v>
      </c>
      <c r="F726" s="13">
        <v>19.8</v>
      </c>
      <c r="G726" s="14" t="s">
        <v>4146</v>
      </c>
      <c r="H726" s="13" t="s">
        <v>2973</v>
      </c>
      <c r="I726" s="14" t="s">
        <v>4155</v>
      </c>
      <c r="J726" s="14" t="s">
        <v>4156</v>
      </c>
      <c r="K726" s="478">
        <f t="shared" si="788"/>
        <v>0.45454545454545453</v>
      </c>
      <c r="L726" s="220">
        <v>9</v>
      </c>
      <c r="M726" s="473" t="s">
        <v>4157</v>
      </c>
      <c r="N726" s="479" t="s">
        <v>2937</v>
      </c>
      <c r="O726" s="480" t="s">
        <v>2976</v>
      </c>
      <c r="P726" s="14" t="s">
        <v>3973</v>
      </c>
      <c r="Q726" s="486" t="s">
        <v>4166</v>
      </c>
      <c r="R726" s="14">
        <v>0.75</v>
      </c>
      <c r="S726" s="14">
        <f t="shared" si="556"/>
        <v>6.7500000000000004E-2</v>
      </c>
      <c r="T726" s="487">
        <f>SUM(R707:R729)</f>
        <v>100</v>
      </c>
      <c r="U726" s="14">
        <f t="shared" si="789"/>
        <v>0.75</v>
      </c>
      <c r="V726" s="220"/>
      <c r="W726" s="14" t="s">
        <v>2703</v>
      </c>
      <c r="X726" s="14">
        <f t="shared" si="779"/>
        <v>0.34090909090909088</v>
      </c>
      <c r="Y726" s="220" t="s">
        <v>1666</v>
      </c>
      <c r="Z726" s="220" t="s">
        <v>1666</v>
      </c>
      <c r="AA726" s="792" t="str">
        <f t="shared" si="798"/>
        <v>*</v>
      </c>
      <c r="AB726" s="458" t="str">
        <f t="shared" ref="AB726:AH726" si="800">AA726</f>
        <v>*</v>
      </c>
      <c r="AC726" s="497" t="str">
        <f t="shared" si="800"/>
        <v>*</v>
      </c>
      <c r="AD726" s="497" t="str">
        <f t="shared" si="800"/>
        <v>*</v>
      </c>
      <c r="AE726" s="454" t="str">
        <f t="shared" si="800"/>
        <v>*</v>
      </c>
      <c r="AF726" s="454" t="str">
        <f t="shared" si="800"/>
        <v>*</v>
      </c>
      <c r="AG726" s="454" t="str">
        <f t="shared" si="800"/>
        <v>*</v>
      </c>
      <c r="AH726" s="454" t="str">
        <f t="shared" si="800"/>
        <v>*</v>
      </c>
    </row>
    <row r="727" spans="1:34" ht="14.25">
      <c r="A727" s="14" t="s">
        <v>4153</v>
      </c>
      <c r="B727" s="24" t="s">
        <v>2668</v>
      </c>
      <c r="C727" s="14" t="s">
        <v>2693</v>
      </c>
      <c r="D727" s="14" t="s">
        <v>2911</v>
      </c>
      <c r="E727" s="14" t="s">
        <v>4154</v>
      </c>
      <c r="F727" s="13">
        <v>19.8</v>
      </c>
      <c r="G727" s="14" t="s">
        <v>4146</v>
      </c>
      <c r="H727" s="13" t="s">
        <v>2973</v>
      </c>
      <c r="I727" s="14" t="s">
        <v>4155</v>
      </c>
      <c r="J727" s="14" t="s">
        <v>4156</v>
      </c>
      <c r="K727" s="478">
        <f t="shared" si="788"/>
        <v>0.45454545454545453</v>
      </c>
      <c r="L727" s="220">
        <v>9</v>
      </c>
      <c r="M727" s="473" t="s">
        <v>4157</v>
      </c>
      <c r="N727" s="479" t="s">
        <v>2937</v>
      </c>
      <c r="O727" s="480" t="s">
        <v>2976</v>
      </c>
      <c r="P727" s="14" t="s">
        <v>4167</v>
      </c>
      <c r="Q727" s="486" t="s">
        <v>4168</v>
      </c>
      <c r="R727" s="14">
        <v>0.5</v>
      </c>
      <c r="S727" s="14">
        <f t="shared" si="556"/>
        <v>4.4999999999999998E-2</v>
      </c>
      <c r="T727" s="487">
        <f>SUM(R707:R729)</f>
        <v>100</v>
      </c>
      <c r="U727" s="14">
        <f t="shared" si="789"/>
        <v>0.5</v>
      </c>
      <c r="V727" s="220"/>
      <c r="W727" s="14" t="s">
        <v>4167</v>
      </c>
      <c r="X727" s="14">
        <f t="shared" si="779"/>
        <v>0.22727272727272727</v>
      </c>
      <c r="Y727" s="499">
        <f t="shared" ref="Y727:Y728" si="801">X727</f>
        <v>0.22727272727272727</v>
      </c>
      <c r="Z727" s="220">
        <f t="shared" ref="Z727:Z728" si="802">X727</f>
        <v>0.22727272727272727</v>
      </c>
      <c r="AA727" s="792">
        <f t="shared" si="798"/>
        <v>0.22727272727272727</v>
      </c>
      <c r="AB727" s="809" t="s">
        <v>2695</v>
      </c>
      <c r="AC727" s="511" t="s">
        <v>3174</v>
      </c>
      <c r="AD727" s="511" t="s">
        <v>3174</v>
      </c>
      <c r="AE727" s="461">
        <v>2.2073766211046637E-2</v>
      </c>
      <c r="AF727" s="461">
        <v>8.7246004352723297E-2</v>
      </c>
      <c r="AG727" s="461">
        <v>5.8202330775582959E-4</v>
      </c>
      <c r="AH727" s="461">
        <v>2.670351142205461E-3</v>
      </c>
    </row>
    <row r="728" spans="1:34" ht="14.25">
      <c r="A728" s="14" t="s">
        <v>4153</v>
      </c>
      <c r="B728" s="24" t="s">
        <v>2668</v>
      </c>
      <c r="C728" s="14" t="s">
        <v>2693</v>
      </c>
      <c r="D728" s="14" t="s">
        <v>2911</v>
      </c>
      <c r="E728" s="14" t="s">
        <v>4154</v>
      </c>
      <c r="F728" s="13">
        <v>19.8</v>
      </c>
      <c r="G728" s="14" t="s">
        <v>4146</v>
      </c>
      <c r="H728" s="13" t="s">
        <v>2973</v>
      </c>
      <c r="I728" s="14" t="s">
        <v>4155</v>
      </c>
      <c r="J728" s="14" t="s">
        <v>4156</v>
      </c>
      <c r="K728" s="478">
        <f t="shared" si="788"/>
        <v>0.45454545454545453</v>
      </c>
      <c r="L728" s="220">
        <v>9</v>
      </c>
      <c r="M728" s="473" t="s">
        <v>4157</v>
      </c>
      <c r="N728" s="479" t="s">
        <v>2937</v>
      </c>
      <c r="O728" s="480" t="s">
        <v>2976</v>
      </c>
      <c r="P728" s="14" t="s">
        <v>79</v>
      </c>
      <c r="Q728" s="486" t="s">
        <v>4169</v>
      </c>
      <c r="R728" s="14">
        <v>0.25</v>
      </c>
      <c r="S728" s="14">
        <f t="shared" si="556"/>
        <v>2.2499999999999999E-2</v>
      </c>
      <c r="T728" s="487">
        <f>SUM(R707:R729)</f>
        <v>100</v>
      </c>
      <c r="U728" s="14">
        <f t="shared" si="789"/>
        <v>0.25</v>
      </c>
      <c r="V728" s="220"/>
      <c r="W728" s="14" t="s">
        <v>79</v>
      </c>
      <c r="X728" s="14">
        <f t="shared" si="779"/>
        <v>0.11363636363636363</v>
      </c>
      <c r="Y728" s="499">
        <f t="shared" si="801"/>
        <v>0.11363636363636363</v>
      </c>
      <c r="Z728" s="220">
        <f t="shared" si="802"/>
        <v>0.11363636363636363</v>
      </c>
      <c r="AA728" s="792">
        <f t="shared" si="798"/>
        <v>0.11363636363636363</v>
      </c>
      <c r="AB728" s="18" t="s">
        <v>79</v>
      </c>
      <c r="AC728" s="13" t="s">
        <v>18</v>
      </c>
      <c r="AD728" s="13" t="s">
        <v>18</v>
      </c>
      <c r="AE728" s="12">
        <v>1.3100000000000001E-2</v>
      </c>
      <c r="AF728" s="12">
        <v>0.27117000000000002</v>
      </c>
      <c r="AG728" s="12">
        <v>4.1E-5</v>
      </c>
      <c r="AH728" s="12">
        <v>1.8699999999999999E-3</v>
      </c>
    </row>
    <row r="729" spans="1:34" ht="14.25">
      <c r="A729" s="14" t="s">
        <v>4153</v>
      </c>
      <c r="B729" s="24" t="s">
        <v>2668</v>
      </c>
      <c r="C729" s="14" t="s">
        <v>2693</v>
      </c>
      <c r="D729" s="14" t="s">
        <v>2911</v>
      </c>
      <c r="E729" s="14" t="s">
        <v>4154</v>
      </c>
      <c r="F729" s="13">
        <v>19.8</v>
      </c>
      <c r="G729" s="14" t="s">
        <v>4146</v>
      </c>
      <c r="H729" s="13" t="s">
        <v>2973</v>
      </c>
      <c r="I729" s="135" t="s">
        <v>4155</v>
      </c>
      <c r="J729" s="135" t="s">
        <v>4156</v>
      </c>
      <c r="K729" s="475">
        <f t="shared" si="788"/>
        <v>0.45454545454545453</v>
      </c>
      <c r="L729" s="476">
        <v>9</v>
      </c>
      <c r="M729" s="492" t="s">
        <v>4157</v>
      </c>
      <c r="N729" s="493" t="s">
        <v>2937</v>
      </c>
      <c r="O729" s="494" t="s">
        <v>2976</v>
      </c>
      <c r="P729" s="135" t="s">
        <v>3072</v>
      </c>
      <c r="Q729" s="135" t="s">
        <v>3073</v>
      </c>
      <c r="R729" s="135">
        <v>0.25</v>
      </c>
      <c r="S729" s="135">
        <f t="shared" si="556"/>
        <v>2.2499999999999999E-2</v>
      </c>
      <c r="T729" s="476">
        <f>SUM(R707:R729)</f>
        <v>100</v>
      </c>
      <c r="U729" s="135">
        <f t="shared" si="789"/>
        <v>0.25</v>
      </c>
      <c r="V729" s="476"/>
      <c r="W729" s="135" t="s">
        <v>343</v>
      </c>
      <c r="X729" s="14">
        <f t="shared" si="779"/>
        <v>0.11363636363636363</v>
      </c>
      <c r="Y729" s="220" t="s">
        <v>1666</v>
      </c>
      <c r="Z729" s="220" t="s">
        <v>1666</v>
      </c>
      <c r="AA729" s="792" t="str">
        <f t="shared" si="798"/>
        <v>*</v>
      </c>
      <c r="AB729" s="458" t="str">
        <f t="shared" ref="AB729:AH729" si="803">AA729</f>
        <v>*</v>
      </c>
      <c r="AC729" s="497" t="str">
        <f t="shared" si="803"/>
        <v>*</v>
      </c>
      <c r="AD729" s="497" t="str">
        <f t="shared" si="803"/>
        <v>*</v>
      </c>
      <c r="AE729" s="454" t="str">
        <f t="shared" si="803"/>
        <v>*</v>
      </c>
      <c r="AF729" s="454" t="str">
        <f t="shared" si="803"/>
        <v>*</v>
      </c>
      <c r="AG729" s="454" t="str">
        <f t="shared" si="803"/>
        <v>*</v>
      </c>
      <c r="AH729" s="454" t="str">
        <f t="shared" si="803"/>
        <v>*</v>
      </c>
    </row>
    <row r="730" spans="1:34" ht="14.25">
      <c r="A730" s="14" t="s">
        <v>4153</v>
      </c>
      <c r="B730" s="24" t="s">
        <v>2668</v>
      </c>
      <c r="C730" s="14" t="s">
        <v>2693</v>
      </c>
      <c r="D730" s="14" t="s">
        <v>2911</v>
      </c>
      <c r="E730" s="14" t="s">
        <v>4154</v>
      </c>
      <c r="F730" s="13">
        <v>19.8</v>
      </c>
      <c r="G730" s="14" t="s">
        <v>4146</v>
      </c>
      <c r="H730" s="13" t="s">
        <v>2973</v>
      </c>
      <c r="I730" s="14" t="s">
        <v>4154</v>
      </c>
      <c r="J730" s="14" t="s">
        <v>4170</v>
      </c>
      <c r="K730" s="478">
        <f t="shared" ref="K730:K744" si="804">54/99</f>
        <v>0.54545454545454541</v>
      </c>
      <c r="L730" s="220">
        <v>10.8</v>
      </c>
      <c r="M730" s="473" t="s">
        <v>4171</v>
      </c>
      <c r="N730" s="479" t="s">
        <v>2937</v>
      </c>
      <c r="O730" s="480" t="s">
        <v>2976</v>
      </c>
      <c r="P730" s="655" t="s">
        <v>3005</v>
      </c>
      <c r="Q730" s="486" t="s">
        <v>3006</v>
      </c>
      <c r="R730" s="14">
        <v>66</v>
      </c>
      <c r="S730" s="14">
        <f t="shared" si="556"/>
        <v>7.128000000000001</v>
      </c>
      <c r="T730" s="487">
        <f>SUM(R730:R744)</f>
        <v>98.25</v>
      </c>
      <c r="U730" s="14">
        <f t="shared" si="789"/>
        <v>67.175572519083971</v>
      </c>
      <c r="V730" s="220"/>
      <c r="W730" s="14" t="s">
        <v>2779</v>
      </c>
      <c r="X730" s="14">
        <f t="shared" si="779"/>
        <v>36.641221374045799</v>
      </c>
      <c r="Y730" s="220" t="s">
        <v>1666</v>
      </c>
      <c r="Z730" s="220" t="s">
        <v>1666</v>
      </c>
      <c r="AA730" s="792" t="str">
        <f t="shared" si="798"/>
        <v>*</v>
      </c>
      <c r="AB730" s="458" t="str">
        <f t="shared" ref="AB730:AH730" si="805">AA730</f>
        <v>*</v>
      </c>
      <c r="AC730" s="497" t="str">
        <f t="shared" si="805"/>
        <v>*</v>
      </c>
      <c r="AD730" s="497" t="str">
        <f t="shared" si="805"/>
        <v>*</v>
      </c>
      <c r="AE730" s="454" t="str">
        <f t="shared" si="805"/>
        <v>*</v>
      </c>
      <c r="AF730" s="454" t="str">
        <f t="shared" si="805"/>
        <v>*</v>
      </c>
      <c r="AG730" s="454" t="str">
        <f t="shared" si="805"/>
        <v>*</v>
      </c>
      <c r="AH730" s="454" t="str">
        <f t="shared" si="805"/>
        <v>*</v>
      </c>
    </row>
    <row r="731" spans="1:34" ht="14.25">
      <c r="A731" s="14" t="s">
        <v>4153</v>
      </c>
      <c r="B731" s="24" t="s">
        <v>2668</v>
      </c>
      <c r="C731" s="14" t="s">
        <v>2693</v>
      </c>
      <c r="D731" s="14" t="s">
        <v>2911</v>
      </c>
      <c r="E731" s="14" t="s">
        <v>4154</v>
      </c>
      <c r="F731" s="13">
        <v>19.8</v>
      </c>
      <c r="G731" s="14" t="s">
        <v>4146</v>
      </c>
      <c r="H731" s="13" t="s">
        <v>2973</v>
      </c>
      <c r="I731" s="14" t="s">
        <v>4154</v>
      </c>
      <c r="J731" s="14" t="s">
        <v>4170</v>
      </c>
      <c r="K731" s="478">
        <f t="shared" si="804"/>
        <v>0.54545454545454541</v>
      </c>
      <c r="L731" s="220">
        <v>10.8</v>
      </c>
      <c r="M731" s="473" t="s">
        <v>4171</v>
      </c>
      <c r="N731" s="479" t="s">
        <v>2937</v>
      </c>
      <c r="O731" s="480" t="s">
        <v>2976</v>
      </c>
      <c r="P731" s="14" t="s">
        <v>3021</v>
      </c>
      <c r="Q731" s="486" t="s">
        <v>3022</v>
      </c>
      <c r="R731" s="14">
        <v>8.25</v>
      </c>
      <c r="S731" s="14">
        <f t="shared" si="556"/>
        <v>0.89100000000000013</v>
      </c>
      <c r="T731" s="487">
        <f>SUM(R730:R744)</f>
        <v>98.25</v>
      </c>
      <c r="U731" s="14">
        <f t="shared" si="789"/>
        <v>8.3969465648854964</v>
      </c>
      <c r="V731" s="220"/>
      <c r="W731" s="14" t="s">
        <v>346</v>
      </c>
      <c r="X731" s="14">
        <f t="shared" si="779"/>
        <v>4.5801526717557248</v>
      </c>
      <c r="Y731" s="220" t="s">
        <v>1666</v>
      </c>
      <c r="Z731" s="220" t="s">
        <v>1666</v>
      </c>
      <c r="AA731" s="792" t="str">
        <f t="shared" si="798"/>
        <v>*</v>
      </c>
      <c r="AB731" s="458" t="str">
        <f t="shared" ref="AB731:AH731" si="806">AA731</f>
        <v>*</v>
      </c>
      <c r="AC731" s="497" t="str">
        <f t="shared" si="806"/>
        <v>*</v>
      </c>
      <c r="AD731" s="497" t="str">
        <f t="shared" si="806"/>
        <v>*</v>
      </c>
      <c r="AE731" s="454" t="str">
        <f t="shared" si="806"/>
        <v>*</v>
      </c>
      <c r="AF731" s="454" t="str">
        <f t="shared" si="806"/>
        <v>*</v>
      </c>
      <c r="AG731" s="454" t="str">
        <f t="shared" si="806"/>
        <v>*</v>
      </c>
      <c r="AH731" s="454" t="str">
        <f t="shared" si="806"/>
        <v>*</v>
      </c>
    </row>
    <row r="732" spans="1:34" ht="14.25">
      <c r="A732" s="14" t="s">
        <v>4153</v>
      </c>
      <c r="B732" s="24" t="s">
        <v>2668</v>
      </c>
      <c r="C732" s="14" t="s">
        <v>2693</v>
      </c>
      <c r="D732" s="14" t="s">
        <v>2911</v>
      </c>
      <c r="E732" s="14" t="s">
        <v>4154</v>
      </c>
      <c r="F732" s="13">
        <v>19.8</v>
      </c>
      <c r="G732" s="14" t="s">
        <v>4146</v>
      </c>
      <c r="H732" s="13" t="s">
        <v>2973</v>
      </c>
      <c r="I732" s="14" t="s">
        <v>4154</v>
      </c>
      <c r="J732" s="14" t="s">
        <v>4170</v>
      </c>
      <c r="K732" s="478">
        <f t="shared" si="804"/>
        <v>0.54545454545454541</v>
      </c>
      <c r="L732" s="220">
        <v>10.8</v>
      </c>
      <c r="M732" s="473" t="s">
        <v>4171</v>
      </c>
      <c r="N732" s="479" t="s">
        <v>2937</v>
      </c>
      <c r="O732" s="480" t="s">
        <v>2976</v>
      </c>
      <c r="P732" s="655" t="s">
        <v>3212</v>
      </c>
      <c r="Q732" s="14" t="s">
        <v>4172</v>
      </c>
      <c r="R732" s="14">
        <v>6.5</v>
      </c>
      <c r="S732" s="14">
        <f t="shared" si="556"/>
        <v>0.70200000000000007</v>
      </c>
      <c r="T732" s="487">
        <f>SUM(R730:R744)</f>
        <v>98.25</v>
      </c>
      <c r="U732" s="14">
        <f t="shared" si="789"/>
        <v>6.6157760814249365</v>
      </c>
      <c r="V732" s="220"/>
      <c r="W732" s="14" t="s">
        <v>883</v>
      </c>
      <c r="X732" s="14">
        <f t="shared" si="779"/>
        <v>3.6086051353226924</v>
      </c>
      <c r="Y732" s="220">
        <f>SUM(X732:X733)</f>
        <v>6.662040249826509</v>
      </c>
      <c r="Z732" s="220">
        <f t="shared" ref="Z732:Z733" si="807">X732</f>
        <v>3.6086051353226924</v>
      </c>
      <c r="AA732" s="792">
        <f t="shared" si="798"/>
        <v>3.6086051353226924</v>
      </c>
      <c r="AB732" s="18" t="s">
        <v>2696</v>
      </c>
      <c r="AC732" s="13" t="s">
        <v>3218</v>
      </c>
      <c r="AD732" s="13" t="s">
        <v>3219</v>
      </c>
      <c r="AE732" s="12">
        <v>4.8143999999999999E-2</v>
      </c>
      <c r="AF732" s="12">
        <v>0.14155200000000001</v>
      </c>
      <c r="AG732" s="12">
        <v>9.4372800000000001E-4</v>
      </c>
      <c r="AH732" s="12">
        <v>8.8800000000000007E-3</v>
      </c>
    </row>
    <row r="733" spans="1:34" ht="14.25">
      <c r="A733" s="14" t="s">
        <v>4153</v>
      </c>
      <c r="B733" s="24" t="s">
        <v>2668</v>
      </c>
      <c r="C733" s="14" t="s">
        <v>2693</v>
      </c>
      <c r="D733" s="14" t="s">
        <v>2911</v>
      </c>
      <c r="E733" s="14" t="s">
        <v>4154</v>
      </c>
      <c r="F733" s="13">
        <v>19.8</v>
      </c>
      <c r="G733" s="14" t="s">
        <v>4146</v>
      </c>
      <c r="H733" s="13" t="s">
        <v>2973</v>
      </c>
      <c r="I733" s="14" t="s">
        <v>4154</v>
      </c>
      <c r="J733" s="14" t="s">
        <v>4170</v>
      </c>
      <c r="K733" s="478">
        <f t="shared" si="804"/>
        <v>0.54545454545454541</v>
      </c>
      <c r="L733" s="220">
        <v>10.8</v>
      </c>
      <c r="M733" s="473" t="s">
        <v>4171</v>
      </c>
      <c r="N733" s="479" t="s">
        <v>2937</v>
      </c>
      <c r="O733" s="480" t="s">
        <v>2976</v>
      </c>
      <c r="P733" s="14" t="s">
        <v>4173</v>
      </c>
      <c r="Q733" s="14" t="s">
        <v>4174</v>
      </c>
      <c r="R733" s="14">
        <v>5.5</v>
      </c>
      <c r="S733" s="14">
        <f t="shared" si="556"/>
        <v>0.59400000000000008</v>
      </c>
      <c r="T733" s="487">
        <f>SUM(R730:R744)</f>
        <v>98.25</v>
      </c>
      <c r="U733" s="14">
        <f t="shared" si="789"/>
        <v>5.5979643765903306</v>
      </c>
      <c r="V733" s="220"/>
      <c r="W733" s="14" t="s">
        <v>885</v>
      </c>
      <c r="X733" s="14">
        <f t="shared" si="779"/>
        <v>3.0534351145038165</v>
      </c>
      <c r="Y733" s="220" t="s">
        <v>1666</v>
      </c>
      <c r="Z733" s="220">
        <f t="shared" si="807"/>
        <v>3.0534351145038165</v>
      </c>
      <c r="AA733" s="792">
        <f t="shared" si="798"/>
        <v>3.0534351145038165</v>
      </c>
      <c r="AB733" s="18" t="s">
        <v>2697</v>
      </c>
      <c r="AC733" s="13" t="s">
        <v>4175</v>
      </c>
      <c r="AD733" s="13" t="s">
        <v>4176</v>
      </c>
      <c r="AE733" s="12">
        <v>2.1063000000000002E-2</v>
      </c>
      <c r="AF733" s="12">
        <v>6.1928999999999998E-2</v>
      </c>
      <c r="AG733" s="12">
        <v>4.1288100000000003E-4</v>
      </c>
      <c r="AH733" s="12">
        <v>3.885E-3</v>
      </c>
    </row>
    <row r="734" spans="1:34" ht="14.25">
      <c r="A734" s="14" t="s">
        <v>4153</v>
      </c>
      <c r="B734" s="24" t="s">
        <v>2668</v>
      </c>
      <c r="C734" s="14" t="s">
        <v>2693</v>
      </c>
      <c r="D734" s="14" t="s">
        <v>2911</v>
      </c>
      <c r="E734" s="14" t="s">
        <v>4154</v>
      </c>
      <c r="F734" s="13">
        <v>19.8</v>
      </c>
      <c r="G734" s="14" t="s">
        <v>4146</v>
      </c>
      <c r="H734" s="13" t="s">
        <v>2973</v>
      </c>
      <c r="I734" s="14" t="s">
        <v>4154</v>
      </c>
      <c r="J734" s="14" t="s">
        <v>4170</v>
      </c>
      <c r="K734" s="478">
        <f t="shared" si="804"/>
        <v>0.54545454545454541</v>
      </c>
      <c r="L734" s="220">
        <v>10.8</v>
      </c>
      <c r="M734" s="473" t="s">
        <v>4171</v>
      </c>
      <c r="N734" s="479" t="s">
        <v>2937</v>
      </c>
      <c r="O734" s="480" t="s">
        <v>2976</v>
      </c>
      <c r="P734" s="14" t="s">
        <v>2945</v>
      </c>
      <c r="Q734" s="10" t="s">
        <v>2946</v>
      </c>
      <c r="R734" s="14">
        <v>2.25</v>
      </c>
      <c r="S734" s="14">
        <f t="shared" si="556"/>
        <v>0.24299999999999999</v>
      </c>
      <c r="T734" s="487">
        <f>SUM(R730:R744)</f>
        <v>98.25</v>
      </c>
      <c r="U734" s="14">
        <f t="shared" si="789"/>
        <v>2.2900763358778624</v>
      </c>
      <c r="V734" s="220"/>
      <c r="W734" s="14" t="s">
        <v>433</v>
      </c>
      <c r="X734" s="14">
        <f t="shared" si="779"/>
        <v>1.2491325468424703</v>
      </c>
      <c r="Y734" s="220" t="s">
        <v>1666</v>
      </c>
      <c r="Z734" s="220" t="s">
        <v>1666</v>
      </c>
      <c r="AA734" s="792" t="str">
        <f t="shared" si="798"/>
        <v>*</v>
      </c>
      <c r="AB734" s="458" t="str">
        <f t="shared" ref="AB734:AH734" si="808">AA734</f>
        <v>*</v>
      </c>
      <c r="AC734" s="497" t="str">
        <f t="shared" si="808"/>
        <v>*</v>
      </c>
      <c r="AD734" s="497" t="str">
        <f t="shared" si="808"/>
        <v>*</v>
      </c>
      <c r="AE734" s="454" t="str">
        <f t="shared" si="808"/>
        <v>*</v>
      </c>
      <c r="AF734" s="454" t="str">
        <f t="shared" si="808"/>
        <v>*</v>
      </c>
      <c r="AG734" s="454" t="str">
        <f t="shared" si="808"/>
        <v>*</v>
      </c>
      <c r="AH734" s="454" t="str">
        <f t="shared" si="808"/>
        <v>*</v>
      </c>
    </row>
    <row r="735" spans="1:34" ht="14.25">
      <c r="A735" s="14" t="s">
        <v>4153</v>
      </c>
      <c r="B735" s="24" t="s">
        <v>2668</v>
      </c>
      <c r="C735" s="14" t="s">
        <v>2693</v>
      </c>
      <c r="D735" s="14" t="s">
        <v>2911</v>
      </c>
      <c r="E735" s="14" t="s">
        <v>4154</v>
      </c>
      <c r="F735" s="13">
        <v>19.8</v>
      </c>
      <c r="G735" s="14" t="s">
        <v>4146</v>
      </c>
      <c r="H735" s="13" t="s">
        <v>2973</v>
      </c>
      <c r="I735" s="14" t="s">
        <v>4154</v>
      </c>
      <c r="J735" s="14" t="s">
        <v>4170</v>
      </c>
      <c r="K735" s="478">
        <f t="shared" si="804"/>
        <v>0.54545454545454541</v>
      </c>
      <c r="L735" s="220">
        <v>10.8</v>
      </c>
      <c r="M735" s="473" t="s">
        <v>4171</v>
      </c>
      <c r="N735" s="479" t="s">
        <v>2937</v>
      </c>
      <c r="O735" s="480" t="s">
        <v>2976</v>
      </c>
      <c r="P735" s="14" t="s">
        <v>3862</v>
      </c>
      <c r="Q735" s="486" t="s">
        <v>3863</v>
      </c>
      <c r="R735" s="14">
        <v>0.75</v>
      </c>
      <c r="S735" s="14">
        <f t="shared" si="556"/>
        <v>8.1000000000000003E-2</v>
      </c>
      <c r="T735" s="487">
        <f>SUM(R730:R744)</f>
        <v>98.25</v>
      </c>
      <c r="U735" s="14">
        <f t="shared" si="789"/>
        <v>0.76335877862595425</v>
      </c>
      <c r="V735" s="220"/>
      <c r="W735" s="14" t="s">
        <v>4161</v>
      </c>
      <c r="X735" s="14">
        <f t="shared" si="779"/>
        <v>0.41637751561415681</v>
      </c>
      <c r="Y735" s="220" t="s">
        <v>1666</v>
      </c>
      <c r="Z735" s="220" t="s">
        <v>1666</v>
      </c>
      <c r="AA735" s="792" t="str">
        <f t="shared" si="798"/>
        <v>*</v>
      </c>
      <c r="AB735" s="458" t="str">
        <f t="shared" ref="AB735:AH735" si="809">AA735</f>
        <v>*</v>
      </c>
      <c r="AC735" s="497" t="str">
        <f t="shared" si="809"/>
        <v>*</v>
      </c>
      <c r="AD735" s="497" t="str">
        <f t="shared" si="809"/>
        <v>*</v>
      </c>
      <c r="AE735" s="454" t="str">
        <f t="shared" si="809"/>
        <v>*</v>
      </c>
      <c r="AF735" s="454" t="str">
        <f t="shared" si="809"/>
        <v>*</v>
      </c>
      <c r="AG735" s="454" t="str">
        <f t="shared" si="809"/>
        <v>*</v>
      </c>
      <c r="AH735" s="454" t="str">
        <f t="shared" si="809"/>
        <v>*</v>
      </c>
    </row>
    <row r="736" spans="1:34" ht="14.25">
      <c r="A736" s="14" t="s">
        <v>4153</v>
      </c>
      <c r="B736" s="24" t="s">
        <v>2668</v>
      </c>
      <c r="C736" s="14" t="s">
        <v>2693</v>
      </c>
      <c r="D736" s="14" t="s">
        <v>2911</v>
      </c>
      <c r="E736" s="14" t="s">
        <v>4154</v>
      </c>
      <c r="F736" s="13">
        <v>19.8</v>
      </c>
      <c r="G736" s="14" t="s">
        <v>4146</v>
      </c>
      <c r="H736" s="13" t="s">
        <v>2973</v>
      </c>
      <c r="I736" s="14" t="s">
        <v>4154</v>
      </c>
      <c r="J736" s="14" t="s">
        <v>4170</v>
      </c>
      <c r="K736" s="478">
        <f t="shared" si="804"/>
        <v>0.54545454545454541</v>
      </c>
      <c r="L736" s="220">
        <v>10.8</v>
      </c>
      <c r="M736" s="473" t="s">
        <v>4171</v>
      </c>
      <c r="N736" s="479" t="s">
        <v>2937</v>
      </c>
      <c r="O736" s="480" t="s">
        <v>2976</v>
      </c>
      <c r="P736" s="655" t="s">
        <v>2987</v>
      </c>
      <c r="Q736" s="486" t="s">
        <v>4177</v>
      </c>
      <c r="R736" s="14">
        <v>1</v>
      </c>
      <c r="S736" s="14">
        <f t="shared" si="556"/>
        <v>0.10800000000000001</v>
      </c>
      <c r="T736" s="487">
        <f>SUM(R730:R744)</f>
        <v>98.25</v>
      </c>
      <c r="U736" s="14">
        <f t="shared" si="789"/>
        <v>1.0178117048346056</v>
      </c>
      <c r="V736" s="220"/>
      <c r="W736" s="14" t="s">
        <v>349</v>
      </c>
      <c r="X736" s="14">
        <f t="shared" si="779"/>
        <v>0.55517002081887579</v>
      </c>
      <c r="Y736" s="220" t="s">
        <v>1666</v>
      </c>
      <c r="Z736" s="220" t="str">
        <f t="shared" ref="Z736:AH736" si="810">Y736</f>
        <v>*</v>
      </c>
      <c r="AA736" s="792" t="str">
        <f t="shared" si="810"/>
        <v>*</v>
      </c>
      <c r="AB736" s="458" t="str">
        <f t="shared" si="810"/>
        <v>*</v>
      </c>
      <c r="AC736" s="497" t="str">
        <f t="shared" si="810"/>
        <v>*</v>
      </c>
      <c r="AD736" s="497" t="str">
        <f t="shared" si="810"/>
        <v>*</v>
      </c>
      <c r="AE736" s="454" t="str">
        <f t="shared" si="810"/>
        <v>*</v>
      </c>
      <c r="AF736" s="454" t="str">
        <f t="shared" si="810"/>
        <v>*</v>
      </c>
      <c r="AG736" s="454" t="str">
        <f t="shared" si="810"/>
        <v>*</v>
      </c>
      <c r="AH736" s="454" t="str">
        <f t="shared" si="810"/>
        <v>*</v>
      </c>
    </row>
    <row r="737" spans="1:34" ht="14.25">
      <c r="A737" s="14" t="s">
        <v>4153</v>
      </c>
      <c r="B737" s="24" t="s">
        <v>2668</v>
      </c>
      <c r="C737" s="14" t="s">
        <v>2693</v>
      </c>
      <c r="D737" s="14" t="s">
        <v>2911</v>
      </c>
      <c r="E737" s="14" t="s">
        <v>4154</v>
      </c>
      <c r="F737" s="13">
        <v>19.8</v>
      </c>
      <c r="G737" s="14" t="s">
        <v>4146</v>
      </c>
      <c r="H737" s="13" t="s">
        <v>2973</v>
      </c>
      <c r="I737" s="14" t="s">
        <v>4154</v>
      </c>
      <c r="J737" s="14" t="s">
        <v>4170</v>
      </c>
      <c r="K737" s="478">
        <f t="shared" si="804"/>
        <v>0.54545454545454541</v>
      </c>
      <c r="L737" s="220">
        <v>10.8</v>
      </c>
      <c r="M737" s="473" t="s">
        <v>4171</v>
      </c>
      <c r="N737" s="479" t="s">
        <v>2937</v>
      </c>
      <c r="O737" s="480" t="s">
        <v>2976</v>
      </c>
      <c r="P737" s="14" t="s">
        <v>3853</v>
      </c>
      <c r="Q737" s="486" t="s">
        <v>2991</v>
      </c>
      <c r="R737" s="14">
        <v>1.5</v>
      </c>
      <c r="S737" s="14">
        <f t="shared" si="556"/>
        <v>0.16200000000000001</v>
      </c>
      <c r="T737" s="487">
        <f>SUM(R730:R744)</f>
        <v>98.25</v>
      </c>
      <c r="U737" s="14">
        <f t="shared" si="789"/>
        <v>1.5267175572519085</v>
      </c>
      <c r="V737" s="220"/>
      <c r="W737" s="14" t="s">
        <v>324</v>
      </c>
      <c r="X737" s="14">
        <f t="shared" si="779"/>
        <v>0.83275503122831362</v>
      </c>
      <c r="Y737" s="499">
        <f t="shared" ref="Y737:Y739" si="811">X737</f>
        <v>0.83275503122831362</v>
      </c>
      <c r="Z737" s="220">
        <f t="shared" ref="Z737:Z739" si="812">X737</f>
        <v>0.83275503122831362</v>
      </c>
      <c r="AA737" s="792">
        <f t="shared" ref="AA737:AA746" si="813">Z737</f>
        <v>0.83275503122831362</v>
      </c>
      <c r="AB737" s="18" t="s">
        <v>324</v>
      </c>
      <c r="AC737" s="13" t="s">
        <v>18</v>
      </c>
      <c r="AD737" s="13" t="s">
        <v>3144</v>
      </c>
      <c r="AE737" s="12">
        <v>1.0652903141570055E-3</v>
      </c>
      <c r="AF737" s="12">
        <v>1.7273631840796021E-2</v>
      </c>
      <c r="AG737" s="12">
        <v>1.3582399999999999E-4</v>
      </c>
      <c r="AH737" s="12">
        <v>2.14E-3</v>
      </c>
    </row>
    <row r="738" spans="1:34" ht="14.25">
      <c r="A738" s="14" t="s">
        <v>4153</v>
      </c>
      <c r="B738" s="24" t="s">
        <v>2668</v>
      </c>
      <c r="C738" s="14" t="s">
        <v>2693</v>
      </c>
      <c r="D738" s="14" t="s">
        <v>2911</v>
      </c>
      <c r="E738" s="14" t="s">
        <v>4154</v>
      </c>
      <c r="F738" s="13">
        <v>19.8</v>
      </c>
      <c r="G738" s="14" t="s">
        <v>4146</v>
      </c>
      <c r="H738" s="13" t="s">
        <v>2973</v>
      </c>
      <c r="I738" s="14" t="s">
        <v>4154</v>
      </c>
      <c r="J738" s="14" t="s">
        <v>4170</v>
      </c>
      <c r="K738" s="478">
        <f t="shared" si="804"/>
        <v>0.54545454545454541</v>
      </c>
      <c r="L738" s="220">
        <v>10.8</v>
      </c>
      <c r="M738" s="473" t="s">
        <v>4171</v>
      </c>
      <c r="N738" s="479" t="s">
        <v>2937</v>
      </c>
      <c r="O738" s="480" t="s">
        <v>2976</v>
      </c>
      <c r="P738" s="14" t="s">
        <v>3129</v>
      </c>
      <c r="Q738" s="486" t="s">
        <v>4178</v>
      </c>
      <c r="R738" s="14">
        <v>0.5</v>
      </c>
      <c r="S738" s="14">
        <f t="shared" si="556"/>
        <v>5.4000000000000006E-2</v>
      </c>
      <c r="T738" s="487">
        <f>SUM(R730:R744)</f>
        <v>98.25</v>
      </c>
      <c r="U738" s="14">
        <f t="shared" si="789"/>
        <v>0.5089058524173028</v>
      </c>
      <c r="V738" s="220"/>
      <c r="W738" s="14" t="s">
        <v>350</v>
      </c>
      <c r="X738" s="14">
        <f t="shared" si="779"/>
        <v>0.27758501040943789</v>
      </c>
      <c r="Y738" s="499">
        <f t="shared" si="811"/>
        <v>0.27758501040943789</v>
      </c>
      <c r="Z738" s="220">
        <f t="shared" si="812"/>
        <v>0.27758501040943789</v>
      </c>
      <c r="AA738" s="792">
        <f t="shared" si="813"/>
        <v>0.27758501040943789</v>
      </c>
      <c r="AB738" s="18" t="s">
        <v>350</v>
      </c>
      <c r="AC738" s="13" t="s">
        <v>18</v>
      </c>
      <c r="AD738" s="13" t="s">
        <v>2967</v>
      </c>
      <c r="AE738" s="12">
        <v>7.6923076923076919E-3</v>
      </c>
      <c r="AF738" s="12">
        <v>0.183</v>
      </c>
      <c r="AG738" s="12">
        <v>2.8673068893528183E-4</v>
      </c>
      <c r="AH738" s="12">
        <v>1.4770983615231311E-3</v>
      </c>
    </row>
    <row r="739" spans="1:34" ht="14.25">
      <c r="A739" s="14" t="s">
        <v>4153</v>
      </c>
      <c r="B739" s="24" t="s">
        <v>2668</v>
      </c>
      <c r="C739" s="14" t="s">
        <v>2693</v>
      </c>
      <c r="D739" s="14" t="s">
        <v>2911</v>
      </c>
      <c r="E739" s="14" t="s">
        <v>4154</v>
      </c>
      <c r="F739" s="13">
        <v>19.8</v>
      </c>
      <c r="G739" s="14" t="s">
        <v>4146</v>
      </c>
      <c r="H739" s="13" t="s">
        <v>2973</v>
      </c>
      <c r="I739" s="14" t="s">
        <v>4154</v>
      </c>
      <c r="J739" s="14" t="s">
        <v>4170</v>
      </c>
      <c r="K739" s="478">
        <f t="shared" si="804"/>
        <v>0.54545454545454541</v>
      </c>
      <c r="L739" s="220">
        <v>10.8</v>
      </c>
      <c r="M739" s="473" t="s">
        <v>4171</v>
      </c>
      <c r="N739" s="479" t="s">
        <v>2937</v>
      </c>
      <c r="O739" s="480" t="s">
        <v>2976</v>
      </c>
      <c r="P739" s="14" t="s">
        <v>1376</v>
      </c>
      <c r="Q739" s="486" t="s">
        <v>3114</v>
      </c>
      <c r="R739" s="14">
        <v>1</v>
      </c>
      <c r="S739" s="14">
        <f t="shared" si="556"/>
        <v>0.10800000000000001</v>
      </c>
      <c r="T739" s="487">
        <f>SUM(R730:R744)</f>
        <v>98.25</v>
      </c>
      <c r="U739" s="14">
        <f t="shared" si="789"/>
        <v>1.0178117048346056</v>
      </c>
      <c r="V739" s="220"/>
      <c r="W739" s="14" t="s">
        <v>4179</v>
      </c>
      <c r="X739" s="14">
        <f t="shared" si="779"/>
        <v>0.55517002081887579</v>
      </c>
      <c r="Y739" s="499">
        <f t="shared" si="811"/>
        <v>0.55517002081887579</v>
      </c>
      <c r="Z739" s="220">
        <f t="shared" si="812"/>
        <v>0.55517002081887579</v>
      </c>
      <c r="AA739" s="792">
        <f t="shared" si="813"/>
        <v>0.55517002081887579</v>
      </c>
      <c r="AB739" s="18" t="s">
        <v>340</v>
      </c>
      <c r="AC739" s="13" t="s">
        <v>3115</v>
      </c>
      <c r="AD739" s="13" t="s">
        <v>3116</v>
      </c>
      <c r="AE739" s="12">
        <v>2.1708241661196198E-2</v>
      </c>
      <c r="AF739" s="12">
        <v>0.36572952458380198</v>
      </c>
      <c r="AG739" s="12">
        <v>4.6350652173913045E-4</v>
      </c>
      <c r="AH739" s="12">
        <v>1.6975608035415088E-3</v>
      </c>
    </row>
    <row r="740" spans="1:34" ht="14.25">
      <c r="A740" s="14" t="s">
        <v>4153</v>
      </c>
      <c r="B740" s="24" t="s">
        <v>2668</v>
      </c>
      <c r="C740" s="14" t="s">
        <v>2693</v>
      </c>
      <c r="D740" s="14" t="s">
        <v>2911</v>
      </c>
      <c r="E740" s="14" t="s">
        <v>4154</v>
      </c>
      <c r="F740" s="13">
        <v>19.8</v>
      </c>
      <c r="G740" s="14" t="s">
        <v>4146</v>
      </c>
      <c r="H740" s="13" t="s">
        <v>2973</v>
      </c>
      <c r="I740" s="14" t="s">
        <v>4154</v>
      </c>
      <c r="J740" s="14" t="s">
        <v>4170</v>
      </c>
      <c r="K740" s="478">
        <f t="shared" si="804"/>
        <v>0.54545454545454541</v>
      </c>
      <c r="L740" s="220">
        <v>10.8</v>
      </c>
      <c r="M740" s="473" t="s">
        <v>4171</v>
      </c>
      <c r="N740" s="479" t="s">
        <v>2937</v>
      </c>
      <c r="O740" s="480" t="s">
        <v>2976</v>
      </c>
      <c r="P740" s="14" t="s">
        <v>83</v>
      </c>
      <c r="Q740" s="527" t="s">
        <v>3430</v>
      </c>
      <c r="R740" s="14">
        <v>2</v>
      </c>
      <c r="S740" s="14">
        <f t="shared" si="556"/>
        <v>0.21600000000000003</v>
      </c>
      <c r="T740" s="487">
        <f>SUM(R730:R744)</f>
        <v>98.25</v>
      </c>
      <c r="U740" s="14">
        <f t="shared" si="789"/>
        <v>2.0356234096692112</v>
      </c>
      <c r="V740" s="220"/>
      <c r="W740" s="14" t="s">
        <v>83</v>
      </c>
      <c r="X740" s="14">
        <f t="shared" si="779"/>
        <v>1.1103400416377516</v>
      </c>
      <c r="Y740" s="220" t="s">
        <v>1666</v>
      </c>
      <c r="Z740" s="220" t="s">
        <v>1666</v>
      </c>
      <c r="AA740" s="792" t="str">
        <f t="shared" si="813"/>
        <v>*</v>
      </c>
      <c r="AB740" s="458" t="str">
        <f t="shared" ref="AB740:AH740" si="814">AA740</f>
        <v>*</v>
      </c>
      <c r="AC740" s="497" t="str">
        <f t="shared" si="814"/>
        <v>*</v>
      </c>
      <c r="AD740" s="497" t="str">
        <f t="shared" si="814"/>
        <v>*</v>
      </c>
      <c r="AE740" s="454" t="str">
        <f t="shared" si="814"/>
        <v>*</v>
      </c>
      <c r="AF740" s="454" t="str">
        <f t="shared" si="814"/>
        <v>*</v>
      </c>
      <c r="AG740" s="454" t="str">
        <f t="shared" si="814"/>
        <v>*</v>
      </c>
      <c r="AH740" s="454" t="str">
        <f t="shared" si="814"/>
        <v>*</v>
      </c>
    </row>
    <row r="741" spans="1:34" ht="14.25">
      <c r="A741" s="14" t="s">
        <v>4153</v>
      </c>
      <c r="B741" s="24" t="s">
        <v>2668</v>
      </c>
      <c r="C741" s="14" t="s">
        <v>2693</v>
      </c>
      <c r="D741" s="14" t="s">
        <v>2911</v>
      </c>
      <c r="E741" s="14" t="s">
        <v>4154</v>
      </c>
      <c r="F741" s="13">
        <v>19.8</v>
      </c>
      <c r="G741" s="14" t="s">
        <v>4146</v>
      </c>
      <c r="H741" s="13" t="s">
        <v>2973</v>
      </c>
      <c r="I741" s="14" t="s">
        <v>4154</v>
      </c>
      <c r="J741" s="14" t="s">
        <v>4170</v>
      </c>
      <c r="K741" s="478">
        <f t="shared" si="804"/>
        <v>0.54545454545454541</v>
      </c>
      <c r="L741" s="220">
        <v>10.8</v>
      </c>
      <c r="M741" s="473" t="s">
        <v>4171</v>
      </c>
      <c r="N741" s="479" t="s">
        <v>2937</v>
      </c>
      <c r="O741" s="480" t="s">
        <v>2976</v>
      </c>
      <c r="P741" s="14" t="s">
        <v>330</v>
      </c>
      <c r="Q741" s="486" t="s">
        <v>4180</v>
      </c>
      <c r="R741" s="14">
        <v>1</v>
      </c>
      <c r="S741" s="14">
        <f t="shared" si="556"/>
        <v>0.10800000000000001</v>
      </c>
      <c r="T741" s="487">
        <f>SUM(R730:R744)</f>
        <v>98.25</v>
      </c>
      <c r="U741" s="14">
        <f t="shared" si="789"/>
        <v>1.0178117048346056</v>
      </c>
      <c r="V741" s="220"/>
      <c r="W741" s="14" t="s">
        <v>332</v>
      </c>
      <c r="X741" s="14">
        <f t="shared" si="779"/>
        <v>0.55517002081887579</v>
      </c>
      <c r="Y741" s="499">
        <f>X741</f>
        <v>0.55517002081887579</v>
      </c>
      <c r="Z741" s="220">
        <f>X741</f>
        <v>0.55517002081887579</v>
      </c>
      <c r="AA741" s="792">
        <f t="shared" si="813"/>
        <v>0.55517002081887579</v>
      </c>
      <c r="AB741" s="18" t="s">
        <v>332</v>
      </c>
      <c r="AC741" s="13" t="s">
        <v>18</v>
      </c>
      <c r="AD741" s="13" t="s">
        <v>3144</v>
      </c>
      <c r="AE741" s="12">
        <v>2.3E-3</v>
      </c>
      <c r="AF741" s="12">
        <v>4.7879999999999999E-2</v>
      </c>
      <c r="AG741" s="12">
        <v>9.9999999999999995E-7</v>
      </c>
      <c r="AH741" s="12">
        <v>4.4092488403675551E-4</v>
      </c>
    </row>
    <row r="742" spans="1:34" ht="14.25">
      <c r="A742" s="14" t="s">
        <v>4153</v>
      </c>
      <c r="B742" s="24" t="s">
        <v>2668</v>
      </c>
      <c r="C742" s="14" t="s">
        <v>2693</v>
      </c>
      <c r="D742" s="14" t="s">
        <v>2911</v>
      </c>
      <c r="E742" s="14" t="s">
        <v>4154</v>
      </c>
      <c r="F742" s="13">
        <v>19.8</v>
      </c>
      <c r="G742" s="14" t="s">
        <v>4146</v>
      </c>
      <c r="H742" s="13" t="s">
        <v>2973</v>
      </c>
      <c r="I742" s="14" t="s">
        <v>4154</v>
      </c>
      <c r="J742" s="14" t="s">
        <v>4170</v>
      </c>
      <c r="K742" s="478">
        <f t="shared" si="804"/>
        <v>0.54545454545454541</v>
      </c>
      <c r="L742" s="220">
        <v>10.8</v>
      </c>
      <c r="M742" s="473" t="s">
        <v>4171</v>
      </c>
      <c r="N742" s="479" t="s">
        <v>2937</v>
      </c>
      <c r="O742" s="480" t="s">
        <v>2976</v>
      </c>
      <c r="P742" s="14" t="s">
        <v>2962</v>
      </c>
      <c r="Q742" s="435" t="s">
        <v>2963</v>
      </c>
      <c r="R742" s="14">
        <v>1.25</v>
      </c>
      <c r="S742" s="14">
        <f t="shared" si="556"/>
        <v>0.13500000000000001</v>
      </c>
      <c r="T742" s="487">
        <f>SUM(R730:R744)</f>
        <v>98.25</v>
      </c>
      <c r="U742" s="14">
        <f t="shared" si="789"/>
        <v>1.272264631043257</v>
      </c>
      <c r="V742" s="220"/>
      <c r="W742" s="14" t="s">
        <v>425</v>
      </c>
      <c r="X742" s="14">
        <f t="shared" si="779"/>
        <v>0.69396252602359465</v>
      </c>
      <c r="Y742" s="220" t="s">
        <v>1666</v>
      </c>
      <c r="Z742" s="220" t="s">
        <v>1666</v>
      </c>
      <c r="AA742" s="792" t="str">
        <f t="shared" si="813"/>
        <v>*</v>
      </c>
      <c r="AB742" s="458" t="str">
        <f t="shared" ref="AB742:AH742" si="815">AA742</f>
        <v>*</v>
      </c>
      <c r="AC742" s="497" t="str">
        <f t="shared" si="815"/>
        <v>*</v>
      </c>
      <c r="AD742" s="497" t="str">
        <f t="shared" si="815"/>
        <v>*</v>
      </c>
      <c r="AE742" s="454" t="str">
        <f t="shared" si="815"/>
        <v>*</v>
      </c>
      <c r="AF742" s="454" t="str">
        <f t="shared" si="815"/>
        <v>*</v>
      </c>
      <c r="AG742" s="454" t="str">
        <f t="shared" si="815"/>
        <v>*</v>
      </c>
      <c r="AH742" s="454" t="str">
        <f t="shared" si="815"/>
        <v>*</v>
      </c>
    </row>
    <row r="743" spans="1:34" ht="14.25">
      <c r="A743" s="14" t="s">
        <v>4153</v>
      </c>
      <c r="B743" s="24" t="s">
        <v>2668</v>
      </c>
      <c r="C743" s="14" t="s">
        <v>2693</v>
      </c>
      <c r="D743" s="14" t="s">
        <v>2911</v>
      </c>
      <c r="E743" s="14" t="s">
        <v>4154</v>
      </c>
      <c r="F743" s="13">
        <v>19.8</v>
      </c>
      <c r="G743" s="14" t="s">
        <v>4146</v>
      </c>
      <c r="H743" s="13" t="s">
        <v>2973</v>
      </c>
      <c r="I743" s="14" t="s">
        <v>4154</v>
      </c>
      <c r="J743" s="14" t="s">
        <v>4170</v>
      </c>
      <c r="K743" s="478">
        <f t="shared" si="804"/>
        <v>0.54545454545454541</v>
      </c>
      <c r="L743" s="220">
        <v>10.8</v>
      </c>
      <c r="M743" s="473" t="s">
        <v>4171</v>
      </c>
      <c r="N743" s="479" t="s">
        <v>2937</v>
      </c>
      <c r="O743" s="480" t="s">
        <v>2976</v>
      </c>
      <c r="P743" s="655" t="s">
        <v>2977</v>
      </c>
      <c r="Q743" s="486" t="s">
        <v>2978</v>
      </c>
      <c r="R743" s="14">
        <v>0.5</v>
      </c>
      <c r="S743" s="14">
        <f t="shared" si="556"/>
        <v>5.4000000000000006E-2</v>
      </c>
      <c r="T743" s="487">
        <f>SUM(R730:R744)</f>
        <v>98.25</v>
      </c>
      <c r="U743" s="14">
        <f t="shared" si="789"/>
        <v>0.5089058524173028</v>
      </c>
      <c r="V743" s="220"/>
      <c r="W743" s="14" t="s">
        <v>227</v>
      </c>
      <c r="X743" s="14">
        <f t="shared" si="779"/>
        <v>0.27758501040943789</v>
      </c>
      <c r="Y743" s="220" t="s">
        <v>1666</v>
      </c>
      <c r="Z743" s="220" t="s">
        <v>1666</v>
      </c>
      <c r="AA743" s="792" t="str">
        <f t="shared" si="813"/>
        <v>*</v>
      </c>
      <c r="AB743" s="458" t="str">
        <f t="shared" ref="AB743:AH743" si="816">AA743</f>
        <v>*</v>
      </c>
      <c r="AC743" s="497" t="str">
        <f t="shared" si="816"/>
        <v>*</v>
      </c>
      <c r="AD743" s="497" t="str">
        <f t="shared" si="816"/>
        <v>*</v>
      </c>
      <c r="AE743" s="454" t="str">
        <f t="shared" si="816"/>
        <v>*</v>
      </c>
      <c r="AF743" s="454" t="str">
        <f t="shared" si="816"/>
        <v>*</v>
      </c>
      <c r="AG743" s="454" t="str">
        <f t="shared" si="816"/>
        <v>*</v>
      </c>
      <c r="AH743" s="454" t="str">
        <f t="shared" si="816"/>
        <v>*</v>
      </c>
    </row>
    <row r="744" spans="1:34" ht="14.25">
      <c r="A744" s="617" t="s">
        <v>4153</v>
      </c>
      <c r="B744" s="794" t="s">
        <v>2668</v>
      </c>
      <c r="C744" s="617" t="s">
        <v>2693</v>
      </c>
      <c r="D744" s="617" t="s">
        <v>2911</v>
      </c>
      <c r="E744" s="617" t="s">
        <v>4154</v>
      </c>
      <c r="F744" s="799">
        <v>19.8</v>
      </c>
      <c r="G744" s="617" t="s">
        <v>4146</v>
      </c>
      <c r="H744" s="799" t="s">
        <v>2973</v>
      </c>
      <c r="I744" s="617" t="s">
        <v>4154</v>
      </c>
      <c r="J744" s="617" t="s">
        <v>4170</v>
      </c>
      <c r="K744" s="838">
        <f t="shared" si="804"/>
        <v>0.54545454545454541</v>
      </c>
      <c r="L744" s="725">
        <v>10.8</v>
      </c>
      <c r="M744" s="850" t="s">
        <v>4171</v>
      </c>
      <c r="N744" s="841" t="s">
        <v>2937</v>
      </c>
      <c r="O744" s="842" t="s">
        <v>2976</v>
      </c>
      <c r="P744" s="617" t="s">
        <v>86</v>
      </c>
      <c r="Q744" s="617" t="s">
        <v>3442</v>
      </c>
      <c r="R744" s="617">
        <v>0.25</v>
      </c>
      <c r="S744" s="617">
        <f t="shared" si="556"/>
        <v>2.7000000000000003E-2</v>
      </c>
      <c r="T744" s="725">
        <f>SUM(R730:R744)</f>
        <v>98.25</v>
      </c>
      <c r="U744" s="617">
        <f t="shared" si="789"/>
        <v>0.2544529262086514</v>
      </c>
      <c r="V744" s="725"/>
      <c r="W744" s="617" t="s">
        <v>86</v>
      </c>
      <c r="X744" s="617">
        <f t="shared" si="779"/>
        <v>0.13879250520471895</v>
      </c>
      <c r="Y744" s="862">
        <f>X744</f>
        <v>0.13879250520471895</v>
      </c>
      <c r="Z744" s="725">
        <f>X744</f>
        <v>0.13879250520471895</v>
      </c>
      <c r="AA744" s="455">
        <f t="shared" si="813"/>
        <v>0.13879250520471895</v>
      </c>
      <c r="AB744" s="793" t="s">
        <v>86</v>
      </c>
      <c r="AC744" s="799" t="s">
        <v>18</v>
      </c>
      <c r="AD744" s="799" t="s">
        <v>18</v>
      </c>
      <c r="AE744" s="635">
        <v>0</v>
      </c>
      <c r="AF744" s="635">
        <v>0</v>
      </c>
      <c r="AG744" s="635">
        <v>0</v>
      </c>
      <c r="AH744" s="635">
        <v>0</v>
      </c>
    </row>
    <row r="745" spans="1:34" ht="12.75">
      <c r="A745" s="14" t="s">
        <v>4181</v>
      </c>
      <c r="B745" s="24" t="s">
        <v>2668</v>
      </c>
      <c r="C745" s="14" t="s">
        <v>2698</v>
      </c>
      <c r="D745" s="14" t="s">
        <v>2911</v>
      </c>
      <c r="E745" s="14" t="s">
        <v>4182</v>
      </c>
      <c r="F745" s="13">
        <v>69.61</v>
      </c>
      <c r="G745" s="14" t="s">
        <v>3704</v>
      </c>
      <c r="H745" s="13">
        <v>18258</v>
      </c>
      <c r="I745" s="14" t="s">
        <v>4182</v>
      </c>
      <c r="J745" s="14" t="s">
        <v>4183</v>
      </c>
      <c r="K745" s="478">
        <v>0.35</v>
      </c>
      <c r="L745" s="220">
        <v>28.93</v>
      </c>
      <c r="M745" s="473" t="s">
        <v>4184</v>
      </c>
      <c r="N745" s="565" t="s">
        <v>4185</v>
      </c>
      <c r="O745" s="473" t="s">
        <v>4186</v>
      </c>
      <c r="P745" s="14" t="s">
        <v>2658</v>
      </c>
      <c r="Q745" s="14" t="s">
        <v>4187</v>
      </c>
      <c r="R745">
        <v>58.2</v>
      </c>
      <c r="S745" s="14">
        <f t="shared" ref="S745:S999" si="817">(0.01*R745)*L745</f>
        <v>16.837260000000001</v>
      </c>
      <c r="T745" s="487">
        <f>SUM(R745:R750)</f>
        <v>100.00000000000001</v>
      </c>
      <c r="U745">
        <f t="shared" ref="U745:U750" si="818">R745</f>
        <v>58.2</v>
      </c>
      <c r="V745" s="220">
        <f>U745*100/SUM(U745:U746,U748:U750)</f>
        <v>82.203389830508456</v>
      </c>
      <c r="W745" s="14" t="s">
        <v>2658</v>
      </c>
      <c r="X745">
        <f t="shared" ref="X745:X887" si="819">V745*K745</f>
        <v>28.771186440677958</v>
      </c>
      <c r="Y745" s="220">
        <f>SUM(X745,X751,X754,X769,X775,X778,X779,X793,X798,X801,X804,X812,X756,X781,X760,X782,X796)</f>
        <v>75.044336541842938</v>
      </c>
      <c r="Z745" s="220">
        <f>SUM(X745,X751,X754,X769,X775,X778,X779,X793,X798,X801,X804,X812,X756,X781)</f>
        <v>74.368670445533553</v>
      </c>
      <c r="AA745" s="792">
        <f t="shared" si="813"/>
        <v>74.368670445533553</v>
      </c>
      <c r="AB745" s="18" t="s">
        <v>2699</v>
      </c>
      <c r="AC745" s="13" t="s">
        <v>215</v>
      </c>
      <c r="AD745" s="13" t="s">
        <v>3007</v>
      </c>
      <c r="AE745" s="12">
        <v>5.0851930036188197E-3</v>
      </c>
      <c r="AF745" s="12">
        <v>5.9995417730640897E-2</v>
      </c>
      <c r="AG745" s="12">
        <v>3.4699999999999998E-4</v>
      </c>
      <c r="AH745" s="12">
        <v>2.9762429672480995E-4</v>
      </c>
    </row>
    <row r="746" spans="1:34" ht="12.75">
      <c r="A746" s="14" t="s">
        <v>4181</v>
      </c>
      <c r="B746" s="24" t="s">
        <v>2668</v>
      </c>
      <c r="C746" s="14" t="s">
        <v>2698</v>
      </c>
      <c r="D746" s="14" t="s">
        <v>2911</v>
      </c>
      <c r="E746" s="14" t="s">
        <v>4182</v>
      </c>
      <c r="F746" s="13">
        <v>69.61</v>
      </c>
      <c r="G746" s="14" t="s">
        <v>3704</v>
      </c>
      <c r="H746" s="13">
        <v>18258</v>
      </c>
      <c r="I746" s="14" t="s">
        <v>4182</v>
      </c>
      <c r="J746" s="14" t="s">
        <v>4183</v>
      </c>
      <c r="K746" s="478">
        <v>0.35</v>
      </c>
      <c r="L746" s="220">
        <v>28.93</v>
      </c>
      <c r="M746" s="473" t="s">
        <v>4184</v>
      </c>
      <c r="N746" s="565" t="s">
        <v>4185</v>
      </c>
      <c r="O746" s="473" t="s">
        <v>4186</v>
      </c>
      <c r="P746" s="14" t="s">
        <v>2662</v>
      </c>
      <c r="Q746" s="14" t="s">
        <v>4187</v>
      </c>
      <c r="R746">
        <v>5.9</v>
      </c>
      <c r="S746" s="14">
        <f t="shared" si="817"/>
        <v>1.7068700000000001</v>
      </c>
      <c r="T746" s="487">
        <f>SUM(R745:R750)</f>
        <v>100.00000000000001</v>
      </c>
      <c r="U746">
        <f t="shared" si="818"/>
        <v>5.9</v>
      </c>
      <c r="V746" s="220">
        <f>U746*100/SUM(U745:U746,U748:U750)</f>
        <v>8.3333333333333321</v>
      </c>
      <c r="W746" s="14" t="s">
        <v>2662</v>
      </c>
      <c r="X746">
        <f t="shared" si="819"/>
        <v>2.9166666666666661</v>
      </c>
      <c r="Y746" s="220">
        <f>SUM(X746,X752,X765,X770,X776,X787,X813)</f>
        <v>8.4811209468126112</v>
      </c>
      <c r="Z746" s="220">
        <f>SUM(X746,X752,X765,X776,X787,X813)</f>
        <v>8.3753807655437296</v>
      </c>
      <c r="AA746" s="792">
        <f t="shared" si="813"/>
        <v>8.3753807655437296</v>
      </c>
      <c r="AB746" s="18" t="s">
        <v>2662</v>
      </c>
      <c r="AC746" s="13"/>
      <c r="AD746" s="13" t="s">
        <v>3864</v>
      </c>
      <c r="AE746" s="12">
        <v>6.399192301960112E-3</v>
      </c>
      <c r="AF746" s="12">
        <v>0.12411340117772937</v>
      </c>
      <c r="AG746" s="12">
        <v>9.8749999999999988E-5</v>
      </c>
      <c r="AH746" s="12">
        <v>3.8580927353216109E-4</v>
      </c>
    </row>
    <row r="747" spans="1:34" ht="12.75">
      <c r="A747" s="14" t="s">
        <v>4181</v>
      </c>
      <c r="B747" s="24" t="s">
        <v>2668</v>
      </c>
      <c r="C747" s="14" t="s">
        <v>2698</v>
      </c>
      <c r="D747" s="14" t="s">
        <v>2911</v>
      </c>
      <c r="E747" s="14" t="s">
        <v>4182</v>
      </c>
      <c r="F747" s="13">
        <v>69.61</v>
      </c>
      <c r="G747" s="14" t="s">
        <v>3704</v>
      </c>
      <c r="H747" s="13">
        <v>18258</v>
      </c>
      <c r="I747" s="14" t="s">
        <v>4182</v>
      </c>
      <c r="J747" s="14" t="s">
        <v>4183</v>
      </c>
      <c r="K747" s="478">
        <v>0.35</v>
      </c>
      <c r="L747" s="220">
        <v>28.93</v>
      </c>
      <c r="M747" s="473" t="s">
        <v>4184</v>
      </c>
      <c r="N747" s="565" t="s">
        <v>4185</v>
      </c>
      <c r="O747" s="473" t="s">
        <v>4186</v>
      </c>
      <c r="P747" s="14" t="s">
        <v>72</v>
      </c>
      <c r="Q747" s="14" t="s">
        <v>4187</v>
      </c>
      <c r="R747">
        <v>29.2</v>
      </c>
      <c r="S747" s="14">
        <f t="shared" si="817"/>
        <v>8.4475599999999993</v>
      </c>
      <c r="T747" s="487">
        <f>SUM(R745:R750)</f>
        <v>100.00000000000001</v>
      </c>
      <c r="U747" s="515">
        <f t="shared" si="818"/>
        <v>29.2</v>
      </c>
      <c r="V747" s="481">
        <f>U747</f>
        <v>29.2</v>
      </c>
      <c r="W747" s="482" t="s">
        <v>72</v>
      </c>
      <c r="X747" s="515">
        <f t="shared" si="819"/>
        <v>10.219999999999999</v>
      </c>
      <c r="Y747" s="470">
        <f>SUM(X747,X753,X777,X794,X814)</f>
        <v>28.726995017792117</v>
      </c>
      <c r="Z747" s="470">
        <f t="shared" ref="Z747:AA747" si="820">Y747</f>
        <v>28.726995017792117</v>
      </c>
      <c r="AA747" s="810">
        <f t="shared" si="820"/>
        <v>28.726995017792117</v>
      </c>
      <c r="AB747" s="811" t="s">
        <v>72</v>
      </c>
      <c r="AC747" s="469" t="s">
        <v>2938</v>
      </c>
      <c r="AD747" s="469" t="s">
        <v>2940</v>
      </c>
      <c r="AE747" s="457">
        <v>0</v>
      </c>
      <c r="AF747" s="457">
        <v>0</v>
      </c>
      <c r="AG747" s="457">
        <v>0</v>
      </c>
      <c r="AH747" s="457">
        <v>0</v>
      </c>
    </row>
    <row r="748" spans="1:34" ht="12.75">
      <c r="A748" s="14" t="s">
        <v>4181</v>
      </c>
      <c r="B748" s="24" t="s">
        <v>2668</v>
      </c>
      <c r="C748" s="14" t="s">
        <v>2698</v>
      </c>
      <c r="D748" s="14" t="s">
        <v>2911</v>
      </c>
      <c r="E748" s="14" t="s">
        <v>4182</v>
      </c>
      <c r="F748" s="13">
        <v>69.61</v>
      </c>
      <c r="G748" s="14" t="s">
        <v>3704</v>
      </c>
      <c r="H748" s="13">
        <v>18258</v>
      </c>
      <c r="I748" s="14" t="s">
        <v>4182</v>
      </c>
      <c r="J748" s="14" t="s">
        <v>4183</v>
      </c>
      <c r="K748" s="478">
        <v>0.35</v>
      </c>
      <c r="L748" s="220">
        <v>28.93</v>
      </c>
      <c r="M748" s="473" t="s">
        <v>4184</v>
      </c>
      <c r="N748" s="565" t="s">
        <v>4185</v>
      </c>
      <c r="O748" s="473" t="s">
        <v>4186</v>
      </c>
      <c r="P748" s="14" t="s">
        <v>124</v>
      </c>
      <c r="Q748" s="14" t="s">
        <v>4187</v>
      </c>
      <c r="R748">
        <v>4.5999999999999996</v>
      </c>
      <c r="S748" s="14">
        <f t="shared" si="817"/>
        <v>1.3307800000000001</v>
      </c>
      <c r="T748" s="487">
        <f>SUM(R745:R750)</f>
        <v>100.00000000000001</v>
      </c>
      <c r="U748">
        <f t="shared" si="818"/>
        <v>4.5999999999999996</v>
      </c>
      <c r="V748" s="220">
        <f>U748*100/SUM(U745:U746,U748:U750)</f>
        <v>6.4971751412429359</v>
      </c>
      <c r="W748" s="14" t="s">
        <v>4188</v>
      </c>
      <c r="X748">
        <f t="shared" si="819"/>
        <v>2.2740112994350272</v>
      </c>
      <c r="Y748" s="220">
        <f>SUM(X748,X772,X816,X774,X790,X808,X825,X792,X811,X821)</f>
        <v>5.2472248179856082</v>
      </c>
      <c r="Z748" s="220">
        <f>SUM(X748,X772,X816)</f>
        <v>4.2188319404740247</v>
      </c>
      <c r="AA748" s="792">
        <f t="shared" ref="AA748:AA750" si="821">Z748</f>
        <v>4.2188319404740247</v>
      </c>
      <c r="AB748" s="18" t="s">
        <v>2700</v>
      </c>
      <c r="AC748" s="13" t="s">
        <v>877</v>
      </c>
      <c r="AD748" s="14" t="s">
        <v>2916</v>
      </c>
      <c r="AE748" s="12">
        <v>3.9416473933649287E-3</v>
      </c>
      <c r="AF748" s="12">
        <v>1.1589150710900475E-2</v>
      </c>
      <c r="AG748" s="12">
        <v>7.7264934597156404E-5</v>
      </c>
      <c r="AH748" s="12">
        <v>7.2702369668246447E-4</v>
      </c>
    </row>
    <row r="749" spans="1:34" ht="12.75">
      <c r="A749" s="14" t="s">
        <v>4181</v>
      </c>
      <c r="B749" s="24" t="s">
        <v>2668</v>
      </c>
      <c r="C749" s="14" t="s">
        <v>2698</v>
      </c>
      <c r="D749" s="14" t="s">
        <v>2911</v>
      </c>
      <c r="E749" s="14" t="s">
        <v>4182</v>
      </c>
      <c r="F749" s="13">
        <v>69.61</v>
      </c>
      <c r="G749" s="14" t="s">
        <v>3704</v>
      </c>
      <c r="H749" s="13">
        <v>18258</v>
      </c>
      <c r="I749" s="14" t="s">
        <v>4182</v>
      </c>
      <c r="J749" s="14" t="s">
        <v>4183</v>
      </c>
      <c r="K749" s="478">
        <v>0.35</v>
      </c>
      <c r="L749" s="220">
        <v>28.93</v>
      </c>
      <c r="M749" s="473" t="s">
        <v>4184</v>
      </c>
      <c r="N749" s="565" t="s">
        <v>4185</v>
      </c>
      <c r="O749" s="473" t="s">
        <v>4186</v>
      </c>
      <c r="P749" s="622" t="s">
        <v>4189</v>
      </c>
      <c r="Q749" s="14" t="s">
        <v>4187</v>
      </c>
      <c r="R749">
        <v>0.9</v>
      </c>
      <c r="S749" s="14">
        <f t="shared" si="817"/>
        <v>0.26037000000000005</v>
      </c>
      <c r="T749" s="487">
        <f>SUM(R745:R750)</f>
        <v>100.00000000000001</v>
      </c>
      <c r="U749">
        <f t="shared" si="818"/>
        <v>0.9</v>
      </c>
      <c r="V749" s="220">
        <f>U749*100/SUM(U745:U746,U748:U750)</f>
        <v>1.2711864406779658</v>
      </c>
      <c r="W749" s="14" t="s">
        <v>346</v>
      </c>
      <c r="X749">
        <f t="shared" si="819"/>
        <v>0.444915254237288</v>
      </c>
      <c r="Y749" s="220">
        <f>SUM(X826,X749,X757,X803,X818,X750,X768,X773,X791,X809,X823,X786)</f>
        <v>2.7089164078735513</v>
      </c>
      <c r="Z749" s="220">
        <f>SUM(X749,X757,X786,X803,X818,X826)</f>
        <v>1.3404916323631371</v>
      </c>
      <c r="AA749" s="792">
        <f t="shared" si="821"/>
        <v>1.3404916323631371</v>
      </c>
      <c r="AB749" s="18" t="s">
        <v>346</v>
      </c>
      <c r="AC749" s="13" t="s">
        <v>2982</v>
      </c>
      <c r="AD749" s="13" t="s">
        <v>2983</v>
      </c>
      <c r="AE749" s="12">
        <v>2.9691872042618299E-2</v>
      </c>
      <c r="AF749" s="12">
        <v>7.5368545517799299E-2</v>
      </c>
      <c r="AG749" s="12">
        <v>2.9014018691588786E-4</v>
      </c>
      <c r="AH749" s="12">
        <v>1.4770983615231311E-3</v>
      </c>
    </row>
    <row r="750" spans="1:34" ht="12.75">
      <c r="A750" s="14" t="s">
        <v>4181</v>
      </c>
      <c r="B750" s="24" t="s">
        <v>2668</v>
      </c>
      <c r="C750" s="14" t="s">
        <v>2698</v>
      </c>
      <c r="D750" s="14" t="s">
        <v>2911</v>
      </c>
      <c r="E750" s="14" t="s">
        <v>4182</v>
      </c>
      <c r="F750" s="13">
        <v>69.61</v>
      </c>
      <c r="G750" s="14" t="s">
        <v>3704</v>
      </c>
      <c r="H750" s="13">
        <v>18258</v>
      </c>
      <c r="I750" s="135" t="s">
        <v>4182</v>
      </c>
      <c r="J750" s="135" t="s">
        <v>4183</v>
      </c>
      <c r="K750" s="475">
        <v>0.35</v>
      </c>
      <c r="L750" s="476">
        <v>28.93</v>
      </c>
      <c r="M750" s="492" t="s">
        <v>4184</v>
      </c>
      <c r="N750" s="566" t="s">
        <v>4185</v>
      </c>
      <c r="O750" s="492" t="s">
        <v>4186</v>
      </c>
      <c r="P750" s="135" t="s">
        <v>305</v>
      </c>
      <c r="Q750" s="135" t="s">
        <v>4187</v>
      </c>
      <c r="R750" s="135">
        <v>1.2</v>
      </c>
      <c r="S750" s="135">
        <f t="shared" si="817"/>
        <v>0.34716000000000002</v>
      </c>
      <c r="T750" s="476">
        <f>SUM(R745:R750)</f>
        <v>100.00000000000001</v>
      </c>
      <c r="U750" s="135">
        <f t="shared" si="818"/>
        <v>1.2</v>
      </c>
      <c r="V750" s="476">
        <f>U750*100/SUM(U745:U746,U748:U750)</f>
        <v>1.6949152542372878</v>
      </c>
      <c r="W750" s="135" t="s">
        <v>305</v>
      </c>
      <c r="X750">
        <f t="shared" si="819"/>
        <v>0.59322033898305071</v>
      </c>
      <c r="Y750" s="220" t="s">
        <v>1666</v>
      </c>
      <c r="Z750" s="220">
        <f>SUM(X750,X768,X773,X791,X809,X823)</f>
        <v>1.368424775510414</v>
      </c>
      <c r="AA750" s="792">
        <f t="shared" si="821"/>
        <v>1.368424775510414</v>
      </c>
      <c r="AB750" s="18" t="s">
        <v>305</v>
      </c>
      <c r="AC750" s="13" t="s">
        <v>3485</v>
      </c>
      <c r="AD750" s="13" t="s">
        <v>2944</v>
      </c>
      <c r="AE750" s="12">
        <v>4.7062756261925113E-3</v>
      </c>
      <c r="AF750" s="12">
        <v>3.8210906557435767E-2</v>
      </c>
      <c r="AG750" s="12">
        <v>8.2999999999999998E-5</v>
      </c>
      <c r="AH750" s="12">
        <v>5.9908272287602653E-4</v>
      </c>
    </row>
    <row r="751" spans="1:34" ht="12.75">
      <c r="A751" s="14" t="s">
        <v>4181</v>
      </c>
      <c r="B751" s="24" t="s">
        <v>2668</v>
      </c>
      <c r="C751" s="14" t="s">
        <v>2698</v>
      </c>
      <c r="D751" s="14" t="s">
        <v>2911</v>
      </c>
      <c r="E751" s="14" t="s">
        <v>4182</v>
      </c>
      <c r="F751" s="13">
        <v>69.61</v>
      </c>
      <c r="G751" s="14" t="s">
        <v>3704</v>
      </c>
      <c r="H751" s="567">
        <v>18258</v>
      </c>
      <c r="I751" s="14" t="s">
        <v>4190</v>
      </c>
      <c r="J751" s="14" t="s">
        <v>4191</v>
      </c>
      <c r="K751" s="478">
        <v>0.14000000000000001</v>
      </c>
      <c r="L751" s="220">
        <v>13.4</v>
      </c>
      <c r="M751" s="568" t="s">
        <v>4192</v>
      </c>
      <c r="N751" s="568"/>
      <c r="O751" s="569" t="s">
        <v>2976</v>
      </c>
      <c r="P751" s="655" t="s">
        <v>3005</v>
      </c>
      <c r="Q751" s="486" t="s">
        <v>3006</v>
      </c>
      <c r="R751" s="14">
        <v>45</v>
      </c>
      <c r="S751" s="14">
        <f t="shared" si="817"/>
        <v>6.03</v>
      </c>
      <c r="T751" s="487">
        <f>SUM(R751:R774)</f>
        <v>96.2</v>
      </c>
      <c r="U751">
        <f t="shared" ref="U751:U792" si="822">R751*100/T751</f>
        <v>46.777546777546775</v>
      </c>
      <c r="V751" s="220">
        <f>U751*100/SUM(U751:U752,U754:U774)</f>
        <v>67.975830815710012</v>
      </c>
      <c r="W751" s="14" t="s">
        <v>2526</v>
      </c>
      <c r="X751">
        <f t="shared" si="819"/>
        <v>9.5166163141994033</v>
      </c>
      <c r="Y751" s="220" t="s">
        <v>1666</v>
      </c>
      <c r="Z751" s="220" t="str">
        <f t="shared" ref="Z751:AH751" si="823">Y751</f>
        <v>*</v>
      </c>
      <c r="AA751" s="792" t="str">
        <f t="shared" si="823"/>
        <v>*</v>
      </c>
      <c r="AB751" s="458" t="str">
        <f t="shared" si="823"/>
        <v>*</v>
      </c>
      <c r="AC751" s="497" t="str">
        <f t="shared" si="823"/>
        <v>*</v>
      </c>
      <c r="AD751" s="497" t="str">
        <f t="shared" si="823"/>
        <v>*</v>
      </c>
      <c r="AE751" s="454" t="str">
        <f t="shared" si="823"/>
        <v>*</v>
      </c>
      <c r="AF751" s="454" t="str">
        <f t="shared" si="823"/>
        <v>*</v>
      </c>
      <c r="AG751" s="454" t="str">
        <f t="shared" si="823"/>
        <v>*</v>
      </c>
      <c r="AH751" s="454" t="str">
        <f t="shared" si="823"/>
        <v>*</v>
      </c>
    </row>
    <row r="752" spans="1:34" ht="12.75">
      <c r="A752" s="14" t="s">
        <v>4181</v>
      </c>
      <c r="B752" s="24" t="s">
        <v>2668</v>
      </c>
      <c r="C752" s="14" t="s">
        <v>2698</v>
      </c>
      <c r="D752" s="14" t="s">
        <v>2911</v>
      </c>
      <c r="E752" s="14" t="s">
        <v>4182</v>
      </c>
      <c r="F752" s="13">
        <v>69.61</v>
      </c>
      <c r="G752" s="14" t="s">
        <v>3704</v>
      </c>
      <c r="H752" s="567">
        <v>18258</v>
      </c>
      <c r="I752" s="14" t="s">
        <v>4190</v>
      </c>
      <c r="J752" s="14" t="s">
        <v>4191</v>
      </c>
      <c r="K752" s="478">
        <v>0.14000000000000001</v>
      </c>
      <c r="L752" s="220">
        <v>13.4</v>
      </c>
      <c r="M752" s="568" t="s">
        <v>4192</v>
      </c>
      <c r="N752" s="568"/>
      <c r="O752" s="569" t="s">
        <v>2976</v>
      </c>
      <c r="P752" s="14" t="s">
        <v>3862</v>
      </c>
      <c r="Q752" s="486" t="s">
        <v>3863</v>
      </c>
      <c r="R752" s="14">
        <v>4</v>
      </c>
      <c r="S752" s="14">
        <f t="shared" si="817"/>
        <v>0.53600000000000003</v>
      </c>
      <c r="T752" s="487">
        <f>SUM(R751:R774)</f>
        <v>96.2</v>
      </c>
      <c r="U752">
        <f t="shared" si="822"/>
        <v>4.1580041580041582</v>
      </c>
      <c r="V752" s="220">
        <f>U752*100/SUM(U751:U752,U754:U774)</f>
        <v>6.0422960725075576</v>
      </c>
      <c r="W752" s="14" t="s">
        <v>2662</v>
      </c>
      <c r="X752">
        <f t="shared" si="819"/>
        <v>0.84592145015105813</v>
      </c>
      <c r="Y752" s="220" t="s">
        <v>1666</v>
      </c>
      <c r="Z752" s="220" t="str">
        <f t="shared" ref="Z752:AH752" si="824">Y752</f>
        <v>*</v>
      </c>
      <c r="AA752" s="792" t="str">
        <f t="shared" si="824"/>
        <v>*</v>
      </c>
      <c r="AB752" s="458" t="str">
        <f t="shared" si="824"/>
        <v>*</v>
      </c>
      <c r="AC752" s="497" t="str">
        <f t="shared" si="824"/>
        <v>*</v>
      </c>
      <c r="AD752" s="497" t="str">
        <f t="shared" si="824"/>
        <v>*</v>
      </c>
      <c r="AE752" s="454" t="str">
        <f t="shared" si="824"/>
        <v>*</v>
      </c>
      <c r="AF752" s="454" t="str">
        <f t="shared" si="824"/>
        <v>*</v>
      </c>
      <c r="AG752" s="454" t="str">
        <f t="shared" si="824"/>
        <v>*</v>
      </c>
      <c r="AH752" s="454" t="str">
        <f t="shared" si="824"/>
        <v>*</v>
      </c>
    </row>
    <row r="753" spans="1:34" ht="12.75">
      <c r="A753" s="14" t="s">
        <v>4181</v>
      </c>
      <c r="B753" s="24" t="s">
        <v>2668</v>
      </c>
      <c r="C753" s="14" t="s">
        <v>2698</v>
      </c>
      <c r="D753" s="14" t="s">
        <v>2911</v>
      </c>
      <c r="E753" s="14" t="s">
        <v>4182</v>
      </c>
      <c r="F753" s="13">
        <v>69.61</v>
      </c>
      <c r="G753" s="14" t="s">
        <v>3704</v>
      </c>
      <c r="H753" s="567">
        <v>18258</v>
      </c>
      <c r="I753" s="14" t="s">
        <v>4190</v>
      </c>
      <c r="J753" s="14" t="s">
        <v>4191</v>
      </c>
      <c r="K753" s="478">
        <v>0.14000000000000001</v>
      </c>
      <c r="L753" s="220">
        <v>13.4</v>
      </c>
      <c r="M753" s="568" t="s">
        <v>4192</v>
      </c>
      <c r="N753" s="568"/>
      <c r="O753" s="569" t="s">
        <v>2976</v>
      </c>
      <c r="P753" s="14" t="s">
        <v>2938</v>
      </c>
      <c r="Q753" s="435" t="s">
        <v>2939</v>
      </c>
      <c r="R753" s="14">
        <v>30</v>
      </c>
      <c r="S753" s="14">
        <f t="shared" si="817"/>
        <v>4.0199999999999996</v>
      </c>
      <c r="T753" s="487">
        <f>SUM(R751:R774)</f>
        <v>96.2</v>
      </c>
      <c r="U753" s="515">
        <f t="shared" si="822"/>
        <v>31.185031185031185</v>
      </c>
      <c r="V753" s="470">
        <f>U753</f>
        <v>31.185031185031185</v>
      </c>
      <c r="W753" s="515" t="s">
        <v>72</v>
      </c>
      <c r="X753" s="515">
        <f t="shared" si="819"/>
        <v>4.3659043659043668</v>
      </c>
      <c r="Y753" s="470" t="s">
        <v>1666</v>
      </c>
      <c r="Z753" s="220" t="str">
        <f t="shared" ref="Z753:AH753" si="825">Y753</f>
        <v>*</v>
      </c>
      <c r="AA753" s="792" t="str">
        <f t="shared" si="825"/>
        <v>*</v>
      </c>
      <c r="AB753" s="458" t="str">
        <f t="shared" si="825"/>
        <v>*</v>
      </c>
      <c r="AC753" s="497" t="str">
        <f t="shared" si="825"/>
        <v>*</v>
      </c>
      <c r="AD753" s="497" t="str">
        <f t="shared" si="825"/>
        <v>*</v>
      </c>
      <c r="AE753" s="454" t="str">
        <f t="shared" si="825"/>
        <v>*</v>
      </c>
      <c r="AF753" s="454" t="str">
        <f t="shared" si="825"/>
        <v>*</v>
      </c>
      <c r="AG753" s="454" t="str">
        <f t="shared" si="825"/>
        <v>*</v>
      </c>
      <c r="AH753" s="454" t="str">
        <f t="shared" si="825"/>
        <v>*</v>
      </c>
    </row>
    <row r="754" spans="1:34" ht="12.75">
      <c r="A754" s="14" t="s">
        <v>4181</v>
      </c>
      <c r="B754" s="24" t="s">
        <v>2668</v>
      </c>
      <c r="C754" s="14" t="s">
        <v>2698</v>
      </c>
      <c r="D754" s="14" t="s">
        <v>2911</v>
      </c>
      <c r="E754" s="14" t="s">
        <v>4182</v>
      </c>
      <c r="F754" s="13">
        <v>69.61</v>
      </c>
      <c r="G754" s="14" t="s">
        <v>3704</v>
      </c>
      <c r="H754" s="567">
        <v>18258</v>
      </c>
      <c r="I754" s="14" t="s">
        <v>4190</v>
      </c>
      <c r="J754" s="14" t="s">
        <v>4191</v>
      </c>
      <c r="K754" s="478">
        <v>0.14000000000000001</v>
      </c>
      <c r="L754" s="220">
        <v>13.4</v>
      </c>
      <c r="M754" s="568" t="s">
        <v>4192</v>
      </c>
      <c r="N754" s="568"/>
      <c r="O754" s="569" t="s">
        <v>2976</v>
      </c>
      <c r="P754" s="655" t="s">
        <v>3978</v>
      </c>
      <c r="Q754" s="486" t="s">
        <v>3979</v>
      </c>
      <c r="R754" s="14">
        <v>4</v>
      </c>
      <c r="S754" s="14">
        <f t="shared" si="817"/>
        <v>0.53600000000000003</v>
      </c>
      <c r="T754" s="487">
        <f>SUM(R751:R774)</f>
        <v>96.2</v>
      </c>
      <c r="U754">
        <f t="shared" si="822"/>
        <v>4.1580041580041582</v>
      </c>
      <c r="V754" s="220">
        <f>U754*100/SUM(U751:U752,U754:U774)</f>
        <v>6.0422960725075576</v>
      </c>
      <c r="W754" s="14" t="s">
        <v>1164</v>
      </c>
      <c r="X754">
        <f t="shared" si="819"/>
        <v>0.84592145015105813</v>
      </c>
      <c r="Y754" s="220" t="s">
        <v>1666</v>
      </c>
      <c r="Z754" s="220" t="str">
        <f t="shared" ref="Z754:AH754" si="826">Y754</f>
        <v>*</v>
      </c>
      <c r="AA754" s="792" t="str">
        <f t="shared" si="826"/>
        <v>*</v>
      </c>
      <c r="AB754" s="458" t="str">
        <f t="shared" si="826"/>
        <v>*</v>
      </c>
      <c r="AC754" s="497" t="str">
        <f t="shared" si="826"/>
        <v>*</v>
      </c>
      <c r="AD754" s="497" t="str">
        <f t="shared" si="826"/>
        <v>*</v>
      </c>
      <c r="AE754" s="454" t="str">
        <f t="shared" si="826"/>
        <v>*</v>
      </c>
      <c r="AF754" s="454" t="str">
        <f t="shared" si="826"/>
        <v>*</v>
      </c>
      <c r="AG754" s="454" t="str">
        <f t="shared" si="826"/>
        <v>*</v>
      </c>
      <c r="AH754" s="454" t="str">
        <f t="shared" si="826"/>
        <v>*</v>
      </c>
    </row>
    <row r="755" spans="1:34" ht="12.75">
      <c r="A755" s="14" t="s">
        <v>4181</v>
      </c>
      <c r="B755" s="24" t="s">
        <v>2668</v>
      </c>
      <c r="C755" s="14" t="s">
        <v>2698</v>
      </c>
      <c r="D755" s="14" t="s">
        <v>2911</v>
      </c>
      <c r="E755" s="14" t="s">
        <v>4182</v>
      </c>
      <c r="F755" s="13">
        <v>69.61</v>
      </c>
      <c r="G755" s="14" t="s">
        <v>3704</v>
      </c>
      <c r="H755" s="567">
        <v>18258</v>
      </c>
      <c r="I755" s="14" t="s">
        <v>4190</v>
      </c>
      <c r="J755" s="14" t="s">
        <v>4191</v>
      </c>
      <c r="K755" s="478">
        <v>0.14000000000000001</v>
      </c>
      <c r="L755" s="220">
        <v>13.4</v>
      </c>
      <c r="M755" s="568" t="s">
        <v>4192</v>
      </c>
      <c r="N755" s="568"/>
      <c r="O755" s="569" t="s">
        <v>2976</v>
      </c>
      <c r="P755" s="14" t="s">
        <v>2945</v>
      </c>
      <c r="Q755" s="527" t="s">
        <v>2946</v>
      </c>
      <c r="R755" s="14">
        <v>1</v>
      </c>
      <c r="S755" s="14">
        <f t="shared" si="817"/>
        <v>0.13400000000000001</v>
      </c>
      <c r="T755" s="487">
        <f>SUM(R751:R774)</f>
        <v>96.2</v>
      </c>
      <c r="U755">
        <f t="shared" si="822"/>
        <v>1.0395010395010396</v>
      </c>
      <c r="V755" s="220">
        <f>U755*100/SUM(U751:U752,U754:U774)</f>
        <v>1.5105740181268894</v>
      </c>
      <c r="W755" s="14" t="s">
        <v>433</v>
      </c>
      <c r="X755">
        <f t="shared" si="819"/>
        <v>0.21148036253776453</v>
      </c>
      <c r="Y755" s="499">
        <f>SUM(X755,X828,X831)</f>
        <v>0.41837691426190254</v>
      </c>
      <c r="Z755" s="220">
        <f t="shared" ref="Z755:AA755" si="827">Y755</f>
        <v>0.41837691426190254</v>
      </c>
      <c r="AA755" s="792">
        <f t="shared" si="827"/>
        <v>0.41837691426190254</v>
      </c>
      <c r="AB755" s="18" t="s">
        <v>433</v>
      </c>
      <c r="AC755" s="13" t="s">
        <v>433</v>
      </c>
      <c r="AD755" s="13" t="s">
        <v>2947</v>
      </c>
      <c r="AE755" s="12">
        <v>3.0104466724907065E-4</v>
      </c>
      <c r="AF755" s="12">
        <v>1.2500000000000001E-2</v>
      </c>
      <c r="AG755" s="12">
        <v>5.1818181818181835E-4</v>
      </c>
      <c r="AH755" s="12">
        <v>4.0084080366977777E-4</v>
      </c>
    </row>
    <row r="756" spans="1:34" ht="12.75">
      <c r="A756" s="14" t="s">
        <v>4181</v>
      </c>
      <c r="B756" s="24" t="s">
        <v>2668</v>
      </c>
      <c r="C756" s="14" t="s">
        <v>2698</v>
      </c>
      <c r="D756" s="14" t="s">
        <v>2911</v>
      </c>
      <c r="E756" s="14" t="s">
        <v>4182</v>
      </c>
      <c r="F756" s="13">
        <v>69.61</v>
      </c>
      <c r="G756" s="14" t="s">
        <v>3704</v>
      </c>
      <c r="H756" s="567">
        <v>18258</v>
      </c>
      <c r="I756" s="14" t="s">
        <v>4190</v>
      </c>
      <c r="J756" s="14" t="s">
        <v>4191</v>
      </c>
      <c r="K756" s="478">
        <v>0.14000000000000001</v>
      </c>
      <c r="L756" s="220">
        <v>13.4</v>
      </c>
      <c r="M756" s="568" t="s">
        <v>4192</v>
      </c>
      <c r="N756" s="568"/>
      <c r="O756" s="569" t="s">
        <v>2976</v>
      </c>
      <c r="P756" s="14" t="s">
        <v>233</v>
      </c>
      <c r="Q756" s="486" t="s">
        <v>4193</v>
      </c>
      <c r="R756" s="14">
        <v>1</v>
      </c>
      <c r="S756" s="14">
        <f t="shared" si="817"/>
        <v>0.13400000000000001</v>
      </c>
      <c r="T756" s="487">
        <f>SUM(R751:R774)</f>
        <v>96.2</v>
      </c>
      <c r="U756">
        <f t="shared" si="822"/>
        <v>1.0395010395010396</v>
      </c>
      <c r="V756" s="220">
        <f>U756*100/SUM(U751:U752,U754:U774)</f>
        <v>1.5105740181268894</v>
      </c>
      <c r="W756" s="14" t="s">
        <v>233</v>
      </c>
      <c r="X756">
        <f t="shared" si="819"/>
        <v>0.21148036253776453</v>
      </c>
      <c r="Y756" s="220" t="s">
        <v>1666</v>
      </c>
      <c r="Z756" s="220" t="str">
        <f t="shared" ref="Z756:AH756" si="828">Y756</f>
        <v>*</v>
      </c>
      <c r="AA756" s="792" t="str">
        <f t="shared" si="828"/>
        <v>*</v>
      </c>
      <c r="AB756" s="458" t="str">
        <f t="shared" si="828"/>
        <v>*</v>
      </c>
      <c r="AC756" s="497" t="str">
        <f t="shared" si="828"/>
        <v>*</v>
      </c>
      <c r="AD756" s="497" t="str">
        <f t="shared" si="828"/>
        <v>*</v>
      </c>
      <c r="AE756" s="454" t="str">
        <f t="shared" si="828"/>
        <v>*</v>
      </c>
      <c r="AF756" s="454" t="str">
        <f t="shared" si="828"/>
        <v>*</v>
      </c>
      <c r="AG756" s="454" t="str">
        <f t="shared" si="828"/>
        <v>*</v>
      </c>
      <c r="AH756" s="454" t="str">
        <f t="shared" si="828"/>
        <v>*</v>
      </c>
    </row>
    <row r="757" spans="1:34" ht="12.75">
      <c r="A757" s="14" t="s">
        <v>4181</v>
      </c>
      <c r="B757" s="24" t="s">
        <v>2668</v>
      </c>
      <c r="C757" s="14" t="s">
        <v>2698</v>
      </c>
      <c r="D757" s="14" t="s">
        <v>2911</v>
      </c>
      <c r="E757" s="14" t="s">
        <v>4182</v>
      </c>
      <c r="F757" s="13">
        <v>69.61</v>
      </c>
      <c r="G757" s="14" t="s">
        <v>3704</v>
      </c>
      <c r="H757" s="567">
        <v>18258</v>
      </c>
      <c r="I757" s="14" t="s">
        <v>4190</v>
      </c>
      <c r="J757" s="14" t="s">
        <v>4191</v>
      </c>
      <c r="K757" s="478">
        <v>0.14000000000000001</v>
      </c>
      <c r="L757" s="220">
        <v>13.4</v>
      </c>
      <c r="M757" s="568" t="s">
        <v>4192</v>
      </c>
      <c r="N757" s="568"/>
      <c r="O757" s="569" t="s">
        <v>2976</v>
      </c>
      <c r="P757" s="14" t="s">
        <v>3021</v>
      </c>
      <c r="Q757" s="486" t="s">
        <v>3022</v>
      </c>
      <c r="R757" s="14">
        <v>0.5</v>
      </c>
      <c r="S757" s="14">
        <f t="shared" si="817"/>
        <v>6.7000000000000004E-2</v>
      </c>
      <c r="T757" s="487">
        <f>SUM(R751:R774)</f>
        <v>96.2</v>
      </c>
      <c r="U757">
        <f t="shared" si="822"/>
        <v>0.51975051975051978</v>
      </c>
      <c r="V757" s="220">
        <f>U757*100/SUM(U751:U752,U754:U774)</f>
        <v>0.7552870090634447</v>
      </c>
      <c r="W757" s="14" t="s">
        <v>346</v>
      </c>
      <c r="X757">
        <f t="shared" si="819"/>
        <v>0.10574018126888227</v>
      </c>
      <c r="Y757" s="220" t="s">
        <v>1666</v>
      </c>
      <c r="Z757" s="220" t="str">
        <f t="shared" ref="Z757:AH757" si="829">Y757</f>
        <v>*</v>
      </c>
      <c r="AA757" s="792" t="str">
        <f t="shared" si="829"/>
        <v>*</v>
      </c>
      <c r="AB757" s="458" t="str">
        <f t="shared" si="829"/>
        <v>*</v>
      </c>
      <c r="AC757" s="497" t="str">
        <f t="shared" si="829"/>
        <v>*</v>
      </c>
      <c r="AD757" s="497" t="str">
        <f t="shared" si="829"/>
        <v>*</v>
      </c>
      <c r="AE757" s="454" t="str">
        <f t="shared" si="829"/>
        <v>*</v>
      </c>
      <c r="AF757" s="454" t="str">
        <f t="shared" si="829"/>
        <v>*</v>
      </c>
      <c r="AG757" s="454" t="str">
        <f t="shared" si="829"/>
        <v>*</v>
      </c>
      <c r="AH757" s="454" t="str">
        <f t="shared" si="829"/>
        <v>*</v>
      </c>
    </row>
    <row r="758" spans="1:34" ht="12.75">
      <c r="A758" s="14" t="s">
        <v>4181</v>
      </c>
      <c r="B758" s="24" t="s">
        <v>2668</v>
      </c>
      <c r="C758" s="14" t="s">
        <v>2698</v>
      </c>
      <c r="D758" s="14" t="s">
        <v>2911</v>
      </c>
      <c r="E758" s="14" t="s">
        <v>4182</v>
      </c>
      <c r="F758" s="13">
        <v>69.61</v>
      </c>
      <c r="G758" s="14" t="s">
        <v>3704</v>
      </c>
      <c r="H758" s="567">
        <v>18258</v>
      </c>
      <c r="I758" s="14" t="s">
        <v>4190</v>
      </c>
      <c r="J758" s="14" t="s">
        <v>4191</v>
      </c>
      <c r="K758" s="478">
        <v>0.14000000000000001</v>
      </c>
      <c r="L758" s="220">
        <v>13.4</v>
      </c>
      <c r="M758" s="568" t="s">
        <v>4192</v>
      </c>
      <c r="N758" s="568"/>
      <c r="O758" s="569" t="s">
        <v>2976</v>
      </c>
      <c r="P758" s="14" t="s">
        <v>86</v>
      </c>
      <c r="Q758" s="14" t="s">
        <v>3442</v>
      </c>
      <c r="R758" s="14">
        <v>1.5</v>
      </c>
      <c r="S758" s="14">
        <f t="shared" si="817"/>
        <v>0.20099999999999998</v>
      </c>
      <c r="T758" s="487">
        <f>SUM(R751:R774)</f>
        <v>96.2</v>
      </c>
      <c r="U758">
        <f t="shared" si="822"/>
        <v>1.5592515592515592</v>
      </c>
      <c r="V758" s="220">
        <f>U758*100/SUM(U751:U752,U754:U774)</f>
        <v>2.2658610271903341</v>
      </c>
      <c r="W758" s="14" t="s">
        <v>86</v>
      </c>
      <c r="X758">
        <f t="shared" si="819"/>
        <v>0.31722054380664683</v>
      </c>
      <c r="Y758" s="220">
        <f>SUM(X758,X785,X795,X817)</f>
        <v>2.0549764411369753</v>
      </c>
      <c r="Z758" s="220">
        <f t="shared" ref="Z758:AA758" si="830">Y758</f>
        <v>2.0549764411369753</v>
      </c>
      <c r="AA758" s="792">
        <f t="shared" si="830"/>
        <v>2.0549764411369753</v>
      </c>
      <c r="AB758" s="18" t="s">
        <v>86</v>
      </c>
      <c r="AC758" s="14" t="s">
        <v>18</v>
      </c>
      <c r="AD758" s="14" t="s">
        <v>18</v>
      </c>
      <c r="AE758" s="12">
        <v>0</v>
      </c>
      <c r="AF758" s="12">
        <v>0</v>
      </c>
      <c r="AG758" s="12">
        <v>0</v>
      </c>
      <c r="AH758" s="12">
        <v>0</v>
      </c>
    </row>
    <row r="759" spans="1:34" ht="12.75">
      <c r="A759" s="14" t="s">
        <v>4181</v>
      </c>
      <c r="B759" s="24" t="s">
        <v>2668</v>
      </c>
      <c r="C759" s="14" t="s">
        <v>2698</v>
      </c>
      <c r="D759" s="14" t="s">
        <v>2911</v>
      </c>
      <c r="E759" s="14" t="s">
        <v>4182</v>
      </c>
      <c r="F759" s="13">
        <v>69.61</v>
      </c>
      <c r="G759" s="14" t="s">
        <v>3704</v>
      </c>
      <c r="H759" s="567">
        <v>18258</v>
      </c>
      <c r="I759" s="14" t="s">
        <v>4190</v>
      </c>
      <c r="J759" s="14" t="s">
        <v>4191</v>
      </c>
      <c r="K759" s="478">
        <v>0.14000000000000001</v>
      </c>
      <c r="L759" s="220">
        <v>13.4</v>
      </c>
      <c r="M759" s="568" t="s">
        <v>4192</v>
      </c>
      <c r="N759" s="568"/>
      <c r="O759" s="569" t="s">
        <v>2976</v>
      </c>
      <c r="P759" s="14" t="s">
        <v>236</v>
      </c>
      <c r="Q759" s="14" t="s">
        <v>4194</v>
      </c>
      <c r="R759" s="14">
        <v>0.7</v>
      </c>
      <c r="S759" s="14">
        <f t="shared" si="817"/>
        <v>9.3799999999999994E-2</v>
      </c>
      <c r="T759" s="487">
        <f>SUM(R751:R774)</f>
        <v>96.2</v>
      </c>
      <c r="U759">
        <f t="shared" si="822"/>
        <v>0.72765072765072758</v>
      </c>
      <c r="V759" s="220">
        <f>U759*100/SUM(U751:U752,U754:U774)</f>
        <v>1.0574018126888225</v>
      </c>
      <c r="W759" s="14" t="s">
        <v>236</v>
      </c>
      <c r="X759">
        <f t="shared" si="819"/>
        <v>0.14803625377643517</v>
      </c>
      <c r="Y759" s="499">
        <f t="shared" ref="Y759:AA759" si="831">X759</f>
        <v>0.14803625377643517</v>
      </c>
      <c r="Z759" s="220">
        <f t="shared" si="831"/>
        <v>0.14803625377643517</v>
      </c>
      <c r="AA759" s="792">
        <f t="shared" si="831"/>
        <v>0.14803625377643517</v>
      </c>
      <c r="AB759" s="18" t="s">
        <v>236</v>
      </c>
      <c r="AC759" s="13" t="s">
        <v>215</v>
      </c>
      <c r="AD759" s="13" t="s">
        <v>3007</v>
      </c>
      <c r="AE759" s="12">
        <v>5.0851930036188197E-3</v>
      </c>
      <c r="AF759" s="12">
        <v>5.9995417730640897E-2</v>
      </c>
      <c r="AG759" s="12">
        <v>3.4699999999999998E-4</v>
      </c>
      <c r="AH759" s="12">
        <v>2.9762429672480995E-4</v>
      </c>
    </row>
    <row r="760" spans="1:34" ht="12.75">
      <c r="A760" s="14" t="s">
        <v>4181</v>
      </c>
      <c r="B760" s="24" t="s">
        <v>2668</v>
      </c>
      <c r="C760" s="14" t="s">
        <v>2698</v>
      </c>
      <c r="D760" s="14" t="s">
        <v>2911</v>
      </c>
      <c r="E760" s="14" t="s">
        <v>4182</v>
      </c>
      <c r="F760" s="13">
        <v>69.61</v>
      </c>
      <c r="G760" s="14" t="s">
        <v>3704</v>
      </c>
      <c r="H760" s="567">
        <v>18258</v>
      </c>
      <c r="I760" s="14" t="s">
        <v>4190</v>
      </c>
      <c r="J760" s="14" t="s">
        <v>4191</v>
      </c>
      <c r="K760" s="478">
        <v>0.14000000000000001</v>
      </c>
      <c r="L760" s="220">
        <v>13.4</v>
      </c>
      <c r="M760" s="568" t="s">
        <v>4192</v>
      </c>
      <c r="N760" s="568"/>
      <c r="O760" s="569" t="s">
        <v>2976</v>
      </c>
      <c r="P760" s="14" t="s">
        <v>3865</v>
      </c>
      <c r="Q760" s="553" t="s">
        <v>4094</v>
      </c>
      <c r="R760" s="14">
        <v>1.5</v>
      </c>
      <c r="S760" s="14">
        <f t="shared" si="817"/>
        <v>0.20099999999999998</v>
      </c>
      <c r="T760" s="487">
        <f>SUM(R751:R774)</f>
        <v>96.2</v>
      </c>
      <c r="U760">
        <f t="shared" si="822"/>
        <v>1.5592515592515592</v>
      </c>
      <c r="V760" s="220">
        <f>U760*100/SUM(U751:U752,U754:U774)</f>
        <v>2.2658610271903341</v>
      </c>
      <c r="W760" s="14" t="s">
        <v>1165</v>
      </c>
      <c r="X760">
        <f t="shared" si="819"/>
        <v>0.31722054380664683</v>
      </c>
      <c r="Y760" s="220" t="s">
        <v>1666</v>
      </c>
      <c r="Z760" s="220">
        <f>SUM(X760,X782,X796)</f>
        <v>0.67566609630938868</v>
      </c>
      <c r="AA760" s="792">
        <f>Z760</f>
        <v>0.67566609630938868</v>
      </c>
      <c r="AB760" s="18" t="s">
        <v>2701</v>
      </c>
      <c r="AC760" s="13" t="s">
        <v>3867</v>
      </c>
      <c r="AD760" s="13" t="s">
        <v>3007</v>
      </c>
      <c r="AE760" s="12">
        <v>3.1660297063617504E-2</v>
      </c>
      <c r="AF760" s="12">
        <v>0.3735301190055475</v>
      </c>
      <c r="AG760" s="12">
        <v>2.1604141815772032E-3</v>
      </c>
      <c r="AH760" s="12">
        <v>1.8530021654934324E-3</v>
      </c>
    </row>
    <row r="761" spans="1:34" ht="12.75">
      <c r="A761" s="14" t="s">
        <v>4181</v>
      </c>
      <c r="B761" s="24" t="s">
        <v>2668</v>
      </c>
      <c r="C761" s="14" t="s">
        <v>2698</v>
      </c>
      <c r="D761" s="14" t="s">
        <v>2911</v>
      </c>
      <c r="E761" s="14" t="s">
        <v>4182</v>
      </c>
      <c r="F761" s="13">
        <v>69.61</v>
      </c>
      <c r="G761" s="14" t="s">
        <v>3704</v>
      </c>
      <c r="H761" s="567">
        <v>18258</v>
      </c>
      <c r="I761" s="14" t="s">
        <v>4190</v>
      </c>
      <c r="J761" s="14" t="s">
        <v>4191</v>
      </c>
      <c r="K761" s="478">
        <v>0.14000000000000001</v>
      </c>
      <c r="L761" s="220">
        <v>13.4</v>
      </c>
      <c r="M761" s="568" t="s">
        <v>4192</v>
      </c>
      <c r="N761" s="568"/>
      <c r="O761" s="569" t="s">
        <v>2976</v>
      </c>
      <c r="P761" s="14" t="s">
        <v>271</v>
      </c>
      <c r="Q761" s="486" t="s">
        <v>4022</v>
      </c>
      <c r="R761" s="14">
        <v>0.5</v>
      </c>
      <c r="S761" s="14">
        <f t="shared" si="817"/>
        <v>6.7000000000000004E-2</v>
      </c>
      <c r="T761" s="487">
        <f>SUM(R751:R774)</f>
        <v>96.2</v>
      </c>
      <c r="U761">
        <f t="shared" si="822"/>
        <v>0.51975051975051978</v>
      </c>
      <c r="V761" s="220">
        <f>U761*100/SUM(U751:U752,U754:U774)</f>
        <v>0.7552870090634447</v>
      </c>
      <c r="W761" s="14" t="s">
        <v>271</v>
      </c>
      <c r="X761">
        <f t="shared" si="819"/>
        <v>0.10574018126888227</v>
      </c>
      <c r="Y761" s="499">
        <f t="shared" ref="Y761:AA761" si="832">X761</f>
        <v>0.10574018126888227</v>
      </c>
      <c r="Z761" s="220">
        <f t="shared" si="832"/>
        <v>0.10574018126888227</v>
      </c>
      <c r="AA761" s="792">
        <f t="shared" si="832"/>
        <v>0.10574018126888227</v>
      </c>
      <c r="AB761" s="18" t="s">
        <v>271</v>
      </c>
      <c r="AC761" s="13" t="s">
        <v>271</v>
      </c>
      <c r="AD761" s="13" t="s">
        <v>4023</v>
      </c>
      <c r="AE761" s="12">
        <v>8.4188576965875186E-3</v>
      </c>
      <c r="AF761" s="12">
        <v>3.7019919874172996E-2</v>
      </c>
      <c r="AG761" s="12">
        <v>2.5000000000000001E-5</v>
      </c>
      <c r="AH761" s="12">
        <v>2.4250868622021553E-4</v>
      </c>
    </row>
    <row r="762" spans="1:34" ht="12.75">
      <c r="A762" s="14" t="s">
        <v>4181</v>
      </c>
      <c r="B762" s="24" t="s">
        <v>2668</v>
      </c>
      <c r="C762" s="14" t="s">
        <v>2698</v>
      </c>
      <c r="D762" s="14" t="s">
        <v>2911</v>
      </c>
      <c r="E762" s="14" t="s">
        <v>4182</v>
      </c>
      <c r="F762" s="13">
        <v>69.61</v>
      </c>
      <c r="G762" s="14" t="s">
        <v>3704</v>
      </c>
      <c r="H762" s="567">
        <v>18258</v>
      </c>
      <c r="I762" s="14" t="s">
        <v>4190</v>
      </c>
      <c r="J762" s="14" t="s">
        <v>4191</v>
      </c>
      <c r="K762" s="478">
        <v>0.14000000000000001</v>
      </c>
      <c r="L762" s="220">
        <v>13.4</v>
      </c>
      <c r="M762" s="568" t="s">
        <v>4192</v>
      </c>
      <c r="N762" s="568"/>
      <c r="O762" s="569" t="s">
        <v>2976</v>
      </c>
      <c r="P762" s="14" t="s">
        <v>4035</v>
      </c>
      <c r="Q762" s="486" t="s">
        <v>4195</v>
      </c>
      <c r="R762" s="14">
        <v>0.5</v>
      </c>
      <c r="S762" s="14">
        <f t="shared" si="817"/>
        <v>6.7000000000000004E-2</v>
      </c>
      <c r="T762" s="487">
        <f>SUM(R751:R774)</f>
        <v>96.2</v>
      </c>
      <c r="U762">
        <f t="shared" si="822"/>
        <v>0.51975051975051978</v>
      </c>
      <c r="V762" s="220">
        <f>U762*100/SUM(U751:U752,U754:U774)</f>
        <v>0.7552870090634447</v>
      </c>
      <c r="W762" s="14" t="s">
        <v>222</v>
      </c>
      <c r="X762">
        <f t="shared" si="819"/>
        <v>0.10574018126888227</v>
      </c>
      <c r="Y762" s="220">
        <f>SUM(X762:X764,X783,X799,X805,X824,X829,X784,X815,X830)</f>
        <v>2.978718870997314</v>
      </c>
      <c r="Z762" s="220">
        <f>SUM(X762:X764,X783,X799,X805,X824,X829)</f>
        <v>0.96882003492639002</v>
      </c>
      <c r="AA762" s="792">
        <f>Z762</f>
        <v>0.96882003492639002</v>
      </c>
      <c r="AB762" s="18" t="s">
        <v>222</v>
      </c>
      <c r="AC762" s="13" t="s">
        <v>55</v>
      </c>
      <c r="AD762" s="13" t="s">
        <v>2979</v>
      </c>
      <c r="AE762" s="12">
        <v>3.1468479298981202E-3</v>
      </c>
      <c r="AF762" s="12">
        <v>0.16906375764329037</v>
      </c>
      <c r="AG762" s="12">
        <v>9.759036144578314E-5</v>
      </c>
      <c r="AH762" s="12">
        <v>7.171669800597832E-4</v>
      </c>
    </row>
    <row r="763" spans="1:34" ht="12.75">
      <c r="A763" s="14" t="s">
        <v>4181</v>
      </c>
      <c r="B763" s="24" t="s">
        <v>2668</v>
      </c>
      <c r="C763" s="14" t="s">
        <v>2698</v>
      </c>
      <c r="D763" s="14" t="s">
        <v>2911</v>
      </c>
      <c r="E763" s="14" t="s">
        <v>4182</v>
      </c>
      <c r="F763" s="13">
        <v>69.61</v>
      </c>
      <c r="G763" s="14" t="s">
        <v>3704</v>
      </c>
      <c r="H763" s="567">
        <v>18258</v>
      </c>
      <c r="I763" s="14" t="s">
        <v>4190</v>
      </c>
      <c r="J763" s="14" t="s">
        <v>4191</v>
      </c>
      <c r="K763" s="478">
        <v>0.14000000000000001</v>
      </c>
      <c r="L763" s="220">
        <v>13.4</v>
      </c>
      <c r="M763" s="568" t="s">
        <v>4192</v>
      </c>
      <c r="N763" s="568"/>
      <c r="O763" s="569" t="s">
        <v>2976</v>
      </c>
      <c r="P763" s="655" t="s">
        <v>2977</v>
      </c>
      <c r="Q763" s="486" t="s">
        <v>4196</v>
      </c>
      <c r="R763" s="14">
        <v>0.5</v>
      </c>
      <c r="S763" s="14">
        <f t="shared" si="817"/>
        <v>6.7000000000000004E-2</v>
      </c>
      <c r="T763" s="487">
        <f>SUM(R751:R774)</f>
        <v>96.2</v>
      </c>
      <c r="U763">
        <f t="shared" si="822"/>
        <v>0.51975051975051978</v>
      </c>
      <c r="V763" s="220">
        <f>U763*100/SUM(U751:U752,U754:U774)</f>
        <v>0.7552870090634447</v>
      </c>
      <c r="W763" s="14" t="s">
        <v>227</v>
      </c>
      <c r="X763">
        <f t="shared" si="819"/>
        <v>0.10574018126888227</v>
      </c>
      <c r="Y763" s="220" t="s">
        <v>1666</v>
      </c>
      <c r="Z763" s="220" t="str">
        <f t="shared" ref="Z763:AH763" si="833">Y763</f>
        <v>*</v>
      </c>
      <c r="AA763" s="792" t="str">
        <f t="shared" si="833"/>
        <v>*</v>
      </c>
      <c r="AB763" s="458" t="str">
        <f t="shared" si="833"/>
        <v>*</v>
      </c>
      <c r="AC763" s="497" t="str">
        <f t="shared" si="833"/>
        <v>*</v>
      </c>
      <c r="AD763" s="497" t="str">
        <f t="shared" si="833"/>
        <v>*</v>
      </c>
      <c r="AE763" s="454" t="str">
        <f t="shared" si="833"/>
        <v>*</v>
      </c>
      <c r="AF763" s="454" t="str">
        <f t="shared" si="833"/>
        <v>*</v>
      </c>
      <c r="AG763" s="454" t="str">
        <f t="shared" si="833"/>
        <v>*</v>
      </c>
      <c r="AH763" s="454" t="str">
        <f t="shared" si="833"/>
        <v>*</v>
      </c>
    </row>
    <row r="764" spans="1:34" ht="12.75">
      <c r="A764" s="14" t="s">
        <v>4181</v>
      </c>
      <c r="B764" s="24" t="s">
        <v>2668</v>
      </c>
      <c r="C764" s="14" t="s">
        <v>2698</v>
      </c>
      <c r="D764" s="14" t="s">
        <v>2911</v>
      </c>
      <c r="E764" s="14" t="s">
        <v>4182</v>
      </c>
      <c r="F764" s="13">
        <v>69.61</v>
      </c>
      <c r="G764" s="14" t="s">
        <v>3704</v>
      </c>
      <c r="H764" s="567">
        <v>18258</v>
      </c>
      <c r="I764" s="14" t="s">
        <v>4190</v>
      </c>
      <c r="J764" s="14" t="s">
        <v>4191</v>
      </c>
      <c r="K764" s="478">
        <v>0.14000000000000001</v>
      </c>
      <c r="L764" s="220">
        <v>13.4</v>
      </c>
      <c r="M764" s="568" t="s">
        <v>4192</v>
      </c>
      <c r="N764" s="568"/>
      <c r="O764" s="569" t="s">
        <v>2976</v>
      </c>
      <c r="P764" s="14" t="s">
        <v>232</v>
      </c>
      <c r="Q764" s="486" t="s">
        <v>3997</v>
      </c>
      <c r="R764" s="14">
        <v>0.5</v>
      </c>
      <c r="S764" s="14">
        <f t="shared" si="817"/>
        <v>6.7000000000000004E-2</v>
      </c>
      <c r="T764" s="487">
        <f>SUM(R751:R774)</f>
        <v>96.2</v>
      </c>
      <c r="U764">
        <f t="shared" si="822"/>
        <v>0.51975051975051978</v>
      </c>
      <c r="V764" s="220">
        <f>U764*100/SUM(U751:U752,U754:U774)</f>
        <v>0.7552870090634447</v>
      </c>
      <c r="W764" s="14" t="s">
        <v>232</v>
      </c>
      <c r="X764">
        <f t="shared" si="819"/>
        <v>0.10574018126888227</v>
      </c>
      <c r="Y764" s="220" t="s">
        <v>1666</v>
      </c>
      <c r="Z764" s="220" t="str">
        <f t="shared" ref="Z764:AH764" si="834">Y764</f>
        <v>*</v>
      </c>
      <c r="AA764" s="792" t="str">
        <f t="shared" si="834"/>
        <v>*</v>
      </c>
      <c r="AB764" s="458" t="str">
        <f t="shared" si="834"/>
        <v>*</v>
      </c>
      <c r="AC764" s="497" t="str">
        <f t="shared" si="834"/>
        <v>*</v>
      </c>
      <c r="AD764" s="497" t="str">
        <f t="shared" si="834"/>
        <v>*</v>
      </c>
      <c r="AE764" s="454" t="str">
        <f t="shared" si="834"/>
        <v>*</v>
      </c>
      <c r="AF764" s="454" t="str">
        <f t="shared" si="834"/>
        <v>*</v>
      </c>
      <c r="AG764" s="454" t="str">
        <f t="shared" si="834"/>
        <v>*</v>
      </c>
      <c r="AH764" s="454" t="str">
        <f t="shared" si="834"/>
        <v>*</v>
      </c>
    </row>
    <row r="765" spans="1:34" ht="12.75">
      <c r="A765" s="14" t="s">
        <v>4181</v>
      </c>
      <c r="B765" s="24" t="s">
        <v>2668</v>
      </c>
      <c r="C765" s="14" t="s">
        <v>2698</v>
      </c>
      <c r="D765" s="14" t="s">
        <v>2911</v>
      </c>
      <c r="E765" s="14" t="s">
        <v>4182</v>
      </c>
      <c r="F765" s="13">
        <v>69.61</v>
      </c>
      <c r="G765" s="14" t="s">
        <v>3704</v>
      </c>
      <c r="H765" s="567">
        <v>18258</v>
      </c>
      <c r="I765" s="14" t="s">
        <v>4190</v>
      </c>
      <c r="J765" s="14" t="s">
        <v>4191</v>
      </c>
      <c r="K765" s="478">
        <v>0.14000000000000001</v>
      </c>
      <c r="L765" s="220">
        <v>13.4</v>
      </c>
      <c r="M765" s="568" t="s">
        <v>4192</v>
      </c>
      <c r="N765" s="568"/>
      <c r="O765" s="569" t="s">
        <v>2976</v>
      </c>
      <c r="P765" s="14" t="s">
        <v>3862</v>
      </c>
      <c r="Q765" s="486" t="s">
        <v>3863</v>
      </c>
      <c r="R765" s="14">
        <v>0.5</v>
      </c>
      <c r="S765" s="14">
        <f t="shared" si="817"/>
        <v>6.7000000000000004E-2</v>
      </c>
      <c r="T765" s="487">
        <f>SUM(R751:R774)</f>
        <v>96.2</v>
      </c>
      <c r="U765">
        <f t="shared" si="822"/>
        <v>0.51975051975051978</v>
      </c>
      <c r="V765" s="220">
        <f>U765*100/SUM(U751:U752,U754:U774)</f>
        <v>0.7552870090634447</v>
      </c>
      <c r="W765" s="14" t="s">
        <v>2662</v>
      </c>
      <c r="X765">
        <f t="shared" si="819"/>
        <v>0.10574018126888227</v>
      </c>
      <c r="Y765" s="220" t="s">
        <v>1666</v>
      </c>
      <c r="Z765" s="220" t="str">
        <f t="shared" ref="Z765:AH765" si="835">Y765</f>
        <v>*</v>
      </c>
      <c r="AA765" s="792" t="str">
        <f t="shared" si="835"/>
        <v>*</v>
      </c>
      <c r="AB765" s="458" t="str">
        <f t="shared" si="835"/>
        <v>*</v>
      </c>
      <c r="AC765" s="497" t="str">
        <f t="shared" si="835"/>
        <v>*</v>
      </c>
      <c r="AD765" s="497" t="str">
        <f t="shared" si="835"/>
        <v>*</v>
      </c>
      <c r="AE765" s="454" t="str">
        <f t="shared" si="835"/>
        <v>*</v>
      </c>
      <c r="AF765" s="454" t="str">
        <f t="shared" si="835"/>
        <v>*</v>
      </c>
      <c r="AG765" s="454" t="str">
        <f t="shared" si="835"/>
        <v>*</v>
      </c>
      <c r="AH765" s="454" t="str">
        <f t="shared" si="835"/>
        <v>*</v>
      </c>
    </row>
    <row r="766" spans="1:34" ht="12.75">
      <c r="A766" s="14" t="s">
        <v>4181</v>
      </c>
      <c r="B766" s="24" t="s">
        <v>2668</v>
      </c>
      <c r="C766" s="14" t="s">
        <v>2698</v>
      </c>
      <c r="D766" s="14" t="s">
        <v>2911</v>
      </c>
      <c r="E766" s="14" t="s">
        <v>4182</v>
      </c>
      <c r="F766" s="13">
        <v>69.61</v>
      </c>
      <c r="G766" s="14" t="s">
        <v>3704</v>
      </c>
      <c r="H766" s="567">
        <v>18258</v>
      </c>
      <c r="I766" s="14" t="s">
        <v>4190</v>
      </c>
      <c r="J766" s="14" t="s">
        <v>4191</v>
      </c>
      <c r="K766" s="478">
        <v>0.14000000000000001</v>
      </c>
      <c r="L766" s="220">
        <v>13.4</v>
      </c>
      <c r="M766" s="568" t="s">
        <v>4192</v>
      </c>
      <c r="N766" s="568"/>
      <c r="O766" s="569" t="s">
        <v>2976</v>
      </c>
      <c r="P766" s="14" t="s">
        <v>4016</v>
      </c>
      <c r="Q766" s="14" t="s">
        <v>4017</v>
      </c>
      <c r="R766" s="14">
        <v>0.5</v>
      </c>
      <c r="S766" s="14">
        <f t="shared" si="817"/>
        <v>6.7000000000000004E-2</v>
      </c>
      <c r="T766" s="487">
        <f>SUM(R751:R774)</f>
        <v>96.2</v>
      </c>
      <c r="U766">
        <f t="shared" si="822"/>
        <v>0.51975051975051978</v>
      </c>
      <c r="V766" s="220">
        <f>U766*100/SUM(U751:U752,U754:U774)</f>
        <v>0.7552870090634447</v>
      </c>
      <c r="W766" s="14" t="s">
        <v>2702</v>
      </c>
      <c r="X766">
        <f t="shared" si="819"/>
        <v>0.10574018126888227</v>
      </c>
      <c r="Y766" s="499">
        <f t="shared" ref="Y766:AA766" si="836">X766</f>
        <v>0.10574018126888227</v>
      </c>
      <c r="Z766" s="220">
        <f t="shared" si="836"/>
        <v>0.10574018126888227</v>
      </c>
      <c r="AA766" s="792">
        <f t="shared" si="836"/>
        <v>0.10574018126888227</v>
      </c>
      <c r="AB766" s="18" t="s">
        <v>2702</v>
      </c>
      <c r="AC766" s="13" t="s">
        <v>4018</v>
      </c>
      <c r="AD766" s="13" t="s">
        <v>3858</v>
      </c>
      <c r="AE766" s="23">
        <v>7.0063781342921748E-4</v>
      </c>
      <c r="AF766" s="23">
        <v>4.7486125575394174E-2</v>
      </c>
      <c r="AG766" s="12">
        <v>1.428576294277929E-4</v>
      </c>
      <c r="AH766" s="23">
        <v>7.2410198258570182E-4</v>
      </c>
    </row>
    <row r="767" spans="1:34" ht="12.75">
      <c r="A767" s="14" t="s">
        <v>4181</v>
      </c>
      <c r="B767" s="24" t="s">
        <v>2668</v>
      </c>
      <c r="C767" s="14" t="s">
        <v>2698</v>
      </c>
      <c r="D767" s="14" t="s">
        <v>2911</v>
      </c>
      <c r="E767" s="14" t="s">
        <v>4182</v>
      </c>
      <c r="F767" s="13">
        <v>69.61</v>
      </c>
      <c r="G767" s="14" t="s">
        <v>3704</v>
      </c>
      <c r="H767" s="567">
        <v>18258</v>
      </c>
      <c r="I767" s="14" t="s">
        <v>4190</v>
      </c>
      <c r="J767" s="14" t="s">
        <v>4191</v>
      </c>
      <c r="K767" s="478">
        <v>0.14000000000000001</v>
      </c>
      <c r="L767" s="220">
        <v>13.4</v>
      </c>
      <c r="M767" s="568" t="s">
        <v>4192</v>
      </c>
      <c r="N767" s="568"/>
      <c r="O767" s="569" t="s">
        <v>2976</v>
      </c>
      <c r="P767" s="14" t="s">
        <v>3973</v>
      </c>
      <c r="Q767" s="486" t="s">
        <v>3998</v>
      </c>
      <c r="R767" s="14">
        <v>0.5</v>
      </c>
      <c r="S767" s="14">
        <f t="shared" si="817"/>
        <v>6.7000000000000004E-2</v>
      </c>
      <c r="T767" s="487">
        <f>SUM(R751:R774)</f>
        <v>96.2</v>
      </c>
      <c r="U767">
        <f t="shared" si="822"/>
        <v>0.51975051975051978</v>
      </c>
      <c r="V767" s="220">
        <f>U767*100/SUM(U751:U752,U754:U774)</f>
        <v>0.7552870090634447</v>
      </c>
      <c r="W767" s="14" t="s">
        <v>2703</v>
      </c>
      <c r="X767">
        <f t="shared" si="819"/>
        <v>0.10574018126888227</v>
      </c>
      <c r="Y767" s="499">
        <f t="shared" ref="Y767:AA767" si="837">X767</f>
        <v>0.10574018126888227</v>
      </c>
      <c r="Z767" s="220">
        <f t="shared" si="837"/>
        <v>0.10574018126888227</v>
      </c>
      <c r="AA767" s="792">
        <f t="shared" si="837"/>
        <v>0.10574018126888227</v>
      </c>
      <c r="AB767" s="18" t="s">
        <v>2703</v>
      </c>
      <c r="AC767" s="13" t="s">
        <v>244</v>
      </c>
      <c r="AD767" s="13" t="s">
        <v>4197</v>
      </c>
      <c r="AE767" s="12">
        <v>7.6594132480302998E-3</v>
      </c>
      <c r="AF767" s="12">
        <v>0.25452159072024799</v>
      </c>
      <c r="AG767" s="12">
        <v>2.4499999999999999E-4</v>
      </c>
      <c r="AH767" s="12">
        <v>3.0864741882572887E-4</v>
      </c>
    </row>
    <row r="768" spans="1:34" ht="12.75">
      <c r="A768" s="14" t="s">
        <v>4181</v>
      </c>
      <c r="B768" s="24" t="s">
        <v>2668</v>
      </c>
      <c r="C768" s="14" t="s">
        <v>2698</v>
      </c>
      <c r="D768" s="14" t="s">
        <v>2911</v>
      </c>
      <c r="E768" s="14" t="s">
        <v>4182</v>
      </c>
      <c r="F768" s="13">
        <v>69.61</v>
      </c>
      <c r="G768" s="14" t="s">
        <v>3704</v>
      </c>
      <c r="H768" s="567">
        <v>18258</v>
      </c>
      <c r="I768" s="14" t="s">
        <v>4190</v>
      </c>
      <c r="J768" s="14" t="s">
        <v>4191</v>
      </c>
      <c r="K768" s="478">
        <v>0.14000000000000001</v>
      </c>
      <c r="L768" s="220">
        <v>13.4</v>
      </c>
      <c r="M768" s="568" t="s">
        <v>4192</v>
      </c>
      <c r="N768" s="568"/>
      <c r="O768" s="569" t="s">
        <v>2976</v>
      </c>
      <c r="P768" s="14" t="s">
        <v>4198</v>
      </c>
      <c r="Q768" s="486" t="s">
        <v>4199</v>
      </c>
      <c r="R768" s="14">
        <v>0.5</v>
      </c>
      <c r="S768" s="14">
        <f t="shared" si="817"/>
        <v>6.7000000000000004E-2</v>
      </c>
      <c r="T768" s="487">
        <f>SUM(R751:R774)</f>
        <v>96.2</v>
      </c>
      <c r="U768">
        <f t="shared" si="822"/>
        <v>0.51975051975051978</v>
      </c>
      <c r="V768" s="220">
        <f>U768*100/SUM(U751:U752,U754:U774)</f>
        <v>0.7552870090634447</v>
      </c>
      <c r="W768" s="14" t="s">
        <v>308</v>
      </c>
      <c r="X768">
        <f t="shared" si="819"/>
        <v>0.10574018126888227</v>
      </c>
      <c r="Y768" s="220" t="s">
        <v>1666</v>
      </c>
      <c r="Z768" s="220" t="str">
        <f t="shared" ref="Z768:AH768" si="838">Y768</f>
        <v>*</v>
      </c>
      <c r="AA768" s="792" t="str">
        <f t="shared" si="838"/>
        <v>*</v>
      </c>
      <c r="AB768" s="458" t="str">
        <f t="shared" si="838"/>
        <v>*</v>
      </c>
      <c r="AC768" s="497" t="str">
        <f t="shared" si="838"/>
        <v>*</v>
      </c>
      <c r="AD768" s="497" t="str">
        <f t="shared" si="838"/>
        <v>*</v>
      </c>
      <c r="AE768" s="454" t="str">
        <f t="shared" si="838"/>
        <v>*</v>
      </c>
      <c r="AF768" s="454" t="str">
        <f t="shared" si="838"/>
        <v>*</v>
      </c>
      <c r="AG768" s="454" t="str">
        <f t="shared" si="838"/>
        <v>*</v>
      </c>
      <c r="AH768" s="454" t="str">
        <f t="shared" si="838"/>
        <v>*</v>
      </c>
    </row>
    <row r="769" spans="1:34" ht="12.75">
      <c r="A769" s="14" t="s">
        <v>4181</v>
      </c>
      <c r="B769" s="24" t="s">
        <v>2668</v>
      </c>
      <c r="C769" s="14" t="s">
        <v>2698</v>
      </c>
      <c r="D769" s="14" t="s">
        <v>2911</v>
      </c>
      <c r="E769" s="14" t="s">
        <v>4182</v>
      </c>
      <c r="F769" s="13">
        <v>69.61</v>
      </c>
      <c r="G769" s="14" t="s">
        <v>3704</v>
      </c>
      <c r="H769" s="567">
        <v>18258</v>
      </c>
      <c r="I769" s="14" t="s">
        <v>4190</v>
      </c>
      <c r="J769" s="14" t="s">
        <v>4191</v>
      </c>
      <c r="K769" s="478">
        <v>0.14000000000000001</v>
      </c>
      <c r="L769" s="220">
        <v>13.4</v>
      </c>
      <c r="M769" s="568" t="s">
        <v>4192</v>
      </c>
      <c r="N769" s="568"/>
      <c r="O769" s="569" t="s">
        <v>2976</v>
      </c>
      <c r="P769" s="655" t="s">
        <v>3978</v>
      </c>
      <c r="Q769" s="486" t="s">
        <v>4200</v>
      </c>
      <c r="R769" s="14">
        <v>0.5</v>
      </c>
      <c r="S769" s="14">
        <f t="shared" si="817"/>
        <v>6.7000000000000004E-2</v>
      </c>
      <c r="T769" s="487">
        <f>SUM(R751:R774)</f>
        <v>96.2</v>
      </c>
      <c r="U769">
        <f t="shared" si="822"/>
        <v>0.51975051975051978</v>
      </c>
      <c r="V769" s="220">
        <f>U769*100/SUM(U751:U752,U754:U774)</f>
        <v>0.7552870090634447</v>
      </c>
      <c r="W769" s="14" t="s">
        <v>1164</v>
      </c>
      <c r="X769">
        <f t="shared" si="819"/>
        <v>0.10574018126888227</v>
      </c>
      <c r="Y769" s="220" t="s">
        <v>1666</v>
      </c>
      <c r="Z769" s="220" t="str">
        <f t="shared" ref="Z769:AH769" si="839">Y769</f>
        <v>*</v>
      </c>
      <c r="AA769" s="792" t="str">
        <f t="shared" si="839"/>
        <v>*</v>
      </c>
      <c r="AB769" s="458" t="str">
        <f t="shared" si="839"/>
        <v>*</v>
      </c>
      <c r="AC769" s="497" t="str">
        <f t="shared" si="839"/>
        <v>*</v>
      </c>
      <c r="AD769" s="497" t="str">
        <f t="shared" si="839"/>
        <v>*</v>
      </c>
      <c r="AE769" s="454" t="str">
        <f t="shared" si="839"/>
        <v>*</v>
      </c>
      <c r="AF769" s="454" t="str">
        <f t="shared" si="839"/>
        <v>*</v>
      </c>
      <c r="AG769" s="454" t="str">
        <f t="shared" si="839"/>
        <v>*</v>
      </c>
      <c r="AH769" s="454" t="str">
        <f t="shared" si="839"/>
        <v>*</v>
      </c>
    </row>
    <row r="770" spans="1:34" ht="12.75">
      <c r="A770" s="14" t="s">
        <v>4181</v>
      </c>
      <c r="B770" s="24" t="s">
        <v>2668</v>
      </c>
      <c r="C770" s="14" t="s">
        <v>2698</v>
      </c>
      <c r="D770" s="14" t="s">
        <v>2911</v>
      </c>
      <c r="E770" s="14" t="s">
        <v>4182</v>
      </c>
      <c r="F770" s="13">
        <v>69.61</v>
      </c>
      <c r="G770" s="14" t="s">
        <v>3704</v>
      </c>
      <c r="H770" s="567">
        <v>18258</v>
      </c>
      <c r="I770" s="14" t="s">
        <v>4190</v>
      </c>
      <c r="J770" s="14" t="s">
        <v>4191</v>
      </c>
      <c r="K770" s="478">
        <v>0.14000000000000001</v>
      </c>
      <c r="L770" s="220">
        <v>13.4</v>
      </c>
      <c r="M770" s="568" t="s">
        <v>4192</v>
      </c>
      <c r="N770" s="568"/>
      <c r="O770" s="569" t="s">
        <v>2976</v>
      </c>
      <c r="P770" s="14" t="s">
        <v>4019</v>
      </c>
      <c r="Q770" s="486" t="s">
        <v>4020</v>
      </c>
      <c r="R770" s="14">
        <v>0.5</v>
      </c>
      <c r="S770" s="14">
        <f t="shared" si="817"/>
        <v>6.7000000000000004E-2</v>
      </c>
      <c r="T770" s="487">
        <f>SUM(R751:R774)</f>
        <v>96.2</v>
      </c>
      <c r="U770">
        <f t="shared" si="822"/>
        <v>0.51975051975051978</v>
      </c>
      <c r="V770" s="220">
        <f>U770*100/SUM(U751:U752,U754:U774)</f>
        <v>0.7552870090634447</v>
      </c>
      <c r="W770" s="14" t="s">
        <v>4164</v>
      </c>
      <c r="X770">
        <f t="shared" si="819"/>
        <v>0.10574018126888227</v>
      </c>
      <c r="Y770" s="220" t="s">
        <v>1666</v>
      </c>
      <c r="Z770" s="220">
        <f t="shared" ref="Z770:Z771" si="840">X770</f>
        <v>0.10574018126888227</v>
      </c>
      <c r="AA770" s="792">
        <f t="shared" ref="AA770:AA771" si="841">Z770</f>
        <v>0.10574018126888227</v>
      </c>
      <c r="AB770" s="18" t="s">
        <v>206</v>
      </c>
      <c r="AC770" s="13" t="str">
        <f t="shared" ref="AC770:AD770" si="842">AB770</f>
        <v>barley, hulled</v>
      </c>
      <c r="AD770" s="13" t="str">
        <f t="shared" si="842"/>
        <v>barley, hulled</v>
      </c>
      <c r="AE770" s="12">
        <v>5.1193538415680896E-3</v>
      </c>
      <c r="AF770" s="12">
        <v>9.9290720942183497E-2</v>
      </c>
      <c r="AG770" s="12">
        <v>7.8999999999999996E-5</v>
      </c>
      <c r="AH770" s="12">
        <v>3.0864741882572887E-4</v>
      </c>
    </row>
    <row r="771" spans="1:34" ht="12.75">
      <c r="A771" s="14" t="s">
        <v>4181</v>
      </c>
      <c r="B771" s="24" t="s">
        <v>2668</v>
      </c>
      <c r="C771" s="14" t="s">
        <v>2698</v>
      </c>
      <c r="D771" s="14" t="s">
        <v>2911</v>
      </c>
      <c r="E771" s="14" t="s">
        <v>4182</v>
      </c>
      <c r="F771" s="13">
        <v>69.61</v>
      </c>
      <c r="G771" s="14" t="s">
        <v>3704</v>
      </c>
      <c r="H771" s="567">
        <v>18258</v>
      </c>
      <c r="I771" s="14" t="s">
        <v>4190</v>
      </c>
      <c r="J771" s="14" t="s">
        <v>4191</v>
      </c>
      <c r="K771" s="478">
        <v>0.14000000000000001</v>
      </c>
      <c r="L771" s="220">
        <v>13.4</v>
      </c>
      <c r="M771" s="568" t="s">
        <v>4192</v>
      </c>
      <c r="N771" s="568"/>
      <c r="O771" s="569" t="s">
        <v>2976</v>
      </c>
      <c r="P771" s="14" t="s">
        <v>4167</v>
      </c>
      <c r="Q771" s="486" t="s">
        <v>4168</v>
      </c>
      <c r="R771" s="14">
        <v>0.5</v>
      </c>
      <c r="S771" s="14">
        <f t="shared" si="817"/>
        <v>6.7000000000000004E-2</v>
      </c>
      <c r="T771" s="487">
        <f>SUM(R751:R774)</f>
        <v>96.2</v>
      </c>
      <c r="U771">
        <f t="shared" si="822"/>
        <v>0.51975051975051978</v>
      </c>
      <c r="V771" s="220">
        <f>U771*100/SUM(U751:U752,U754:U774)</f>
        <v>0.7552870090634447</v>
      </c>
      <c r="W771" s="14" t="s">
        <v>4167</v>
      </c>
      <c r="X771">
        <f t="shared" si="819"/>
        <v>0.10574018126888227</v>
      </c>
      <c r="Y771" s="499">
        <f>X771</f>
        <v>0.10574018126888227</v>
      </c>
      <c r="Z771" s="220">
        <f t="shared" si="840"/>
        <v>0.10574018126888227</v>
      </c>
      <c r="AA771" s="792">
        <f t="shared" si="841"/>
        <v>0.10574018126888227</v>
      </c>
      <c r="AB771" s="809" t="s">
        <v>2695</v>
      </c>
      <c r="AC771" s="511" t="s">
        <v>3174</v>
      </c>
      <c r="AD771" s="511" t="s">
        <v>3174</v>
      </c>
      <c r="AE771" s="461">
        <v>2.2073766211046637E-2</v>
      </c>
      <c r="AF771" s="461">
        <v>8.7246004352723297E-2</v>
      </c>
      <c r="AG771" s="461">
        <v>5.8202330775582959E-4</v>
      </c>
      <c r="AH771" s="461">
        <v>2.670351142205461E-3</v>
      </c>
    </row>
    <row r="772" spans="1:34" ht="12.75">
      <c r="A772" s="14" t="s">
        <v>4181</v>
      </c>
      <c r="B772" s="24" t="s">
        <v>2668</v>
      </c>
      <c r="C772" s="14" t="s">
        <v>2698</v>
      </c>
      <c r="D772" s="14" t="s">
        <v>2911</v>
      </c>
      <c r="E772" s="14" t="s">
        <v>4182</v>
      </c>
      <c r="F772" s="13">
        <v>69.61</v>
      </c>
      <c r="G772" s="14" t="s">
        <v>3704</v>
      </c>
      <c r="H772" s="567">
        <v>18258</v>
      </c>
      <c r="I772" s="14" t="s">
        <v>4190</v>
      </c>
      <c r="J772" s="14" t="s">
        <v>4191</v>
      </c>
      <c r="K772" s="478">
        <v>0.14000000000000001</v>
      </c>
      <c r="L772" s="220">
        <v>13.4</v>
      </c>
      <c r="M772" s="568" t="s">
        <v>4192</v>
      </c>
      <c r="N772" s="568"/>
      <c r="O772" s="569" t="s">
        <v>2976</v>
      </c>
      <c r="P772" s="14" t="s">
        <v>2912</v>
      </c>
      <c r="Q772" s="14" t="s">
        <v>2915</v>
      </c>
      <c r="R772" s="14">
        <v>0.5</v>
      </c>
      <c r="S772" s="14">
        <f t="shared" si="817"/>
        <v>6.7000000000000004E-2</v>
      </c>
      <c r="T772" s="487">
        <f>SUM(R751:R774)</f>
        <v>96.2</v>
      </c>
      <c r="U772">
        <f t="shared" si="822"/>
        <v>0.51975051975051978</v>
      </c>
      <c r="V772" s="220">
        <f>U772*100/SUM(U751:U752,U754:U774)</f>
        <v>0.7552870090634447</v>
      </c>
      <c r="W772" s="14" t="s">
        <v>124</v>
      </c>
      <c r="X772">
        <f t="shared" si="819"/>
        <v>0.10574018126888227</v>
      </c>
      <c r="Y772" s="220" t="s">
        <v>1666</v>
      </c>
      <c r="Z772" s="220" t="str">
        <f t="shared" ref="Z772:AH772" si="843">Y772</f>
        <v>*</v>
      </c>
      <c r="AA772" s="792" t="str">
        <f t="shared" si="843"/>
        <v>*</v>
      </c>
      <c r="AB772" s="458" t="str">
        <f t="shared" si="843"/>
        <v>*</v>
      </c>
      <c r="AC772" s="497" t="str">
        <f t="shared" si="843"/>
        <v>*</v>
      </c>
      <c r="AD772" s="497" t="str">
        <f t="shared" si="843"/>
        <v>*</v>
      </c>
      <c r="AE772" s="454" t="str">
        <f t="shared" si="843"/>
        <v>*</v>
      </c>
      <c r="AF772" s="454" t="str">
        <f t="shared" si="843"/>
        <v>*</v>
      </c>
      <c r="AG772" s="454" t="str">
        <f t="shared" si="843"/>
        <v>*</v>
      </c>
      <c r="AH772" s="454" t="str">
        <f t="shared" si="843"/>
        <v>*</v>
      </c>
    </row>
    <row r="773" spans="1:34" ht="12.75">
      <c r="A773" s="14" t="s">
        <v>4181</v>
      </c>
      <c r="B773" s="24" t="s">
        <v>2668</v>
      </c>
      <c r="C773" s="14" t="s">
        <v>2698</v>
      </c>
      <c r="D773" s="14" t="s">
        <v>2911</v>
      </c>
      <c r="E773" s="14" t="s">
        <v>4182</v>
      </c>
      <c r="F773" s="13">
        <v>69.61</v>
      </c>
      <c r="G773" s="14" t="s">
        <v>3704</v>
      </c>
      <c r="H773" s="567">
        <v>18258</v>
      </c>
      <c r="I773" s="14" t="s">
        <v>4190</v>
      </c>
      <c r="J773" s="14" t="s">
        <v>4191</v>
      </c>
      <c r="K773" s="478">
        <v>0.14000000000000001</v>
      </c>
      <c r="L773" s="220">
        <v>13.4</v>
      </c>
      <c r="M773" s="568" t="s">
        <v>4192</v>
      </c>
      <c r="N773" s="568"/>
      <c r="O773" s="569" t="s">
        <v>2976</v>
      </c>
      <c r="P773" s="14" t="s">
        <v>2948</v>
      </c>
      <c r="Q773" s="14" t="s">
        <v>2949</v>
      </c>
      <c r="R773" s="14">
        <v>0.5</v>
      </c>
      <c r="S773" s="14">
        <f t="shared" si="817"/>
        <v>6.7000000000000004E-2</v>
      </c>
      <c r="T773" s="487">
        <f>SUM(R751:R774)</f>
        <v>96.2</v>
      </c>
      <c r="U773">
        <f t="shared" si="822"/>
        <v>0.51975051975051978</v>
      </c>
      <c r="V773" s="220">
        <f>U773*100/SUM(U751:U752,U754:U774)</f>
        <v>0.7552870090634447</v>
      </c>
      <c r="W773" s="14" t="s">
        <v>305</v>
      </c>
      <c r="X773">
        <f t="shared" si="819"/>
        <v>0.10574018126888227</v>
      </c>
      <c r="Y773" s="220" t="s">
        <v>1666</v>
      </c>
      <c r="Z773" s="220" t="str">
        <f t="shared" ref="Z773:AH773" si="844">Y773</f>
        <v>*</v>
      </c>
      <c r="AA773" s="792" t="str">
        <f t="shared" si="844"/>
        <v>*</v>
      </c>
      <c r="AB773" s="458" t="str">
        <f t="shared" si="844"/>
        <v>*</v>
      </c>
      <c r="AC773" s="497" t="str">
        <f t="shared" si="844"/>
        <v>*</v>
      </c>
      <c r="AD773" s="497" t="str">
        <f t="shared" si="844"/>
        <v>*</v>
      </c>
      <c r="AE773" s="454" t="str">
        <f t="shared" si="844"/>
        <v>*</v>
      </c>
      <c r="AF773" s="454" t="str">
        <f t="shared" si="844"/>
        <v>*</v>
      </c>
      <c r="AG773" s="454" t="str">
        <f t="shared" si="844"/>
        <v>*</v>
      </c>
      <c r="AH773" s="454" t="str">
        <f t="shared" si="844"/>
        <v>*</v>
      </c>
    </row>
    <row r="774" spans="1:34" ht="12.75">
      <c r="A774" s="14" t="s">
        <v>4181</v>
      </c>
      <c r="B774" s="24" t="s">
        <v>2668</v>
      </c>
      <c r="C774" s="14" t="s">
        <v>2698</v>
      </c>
      <c r="D774" s="14" t="s">
        <v>2911</v>
      </c>
      <c r="E774" s="14" t="s">
        <v>4182</v>
      </c>
      <c r="F774" s="13">
        <v>69.61</v>
      </c>
      <c r="G774" s="14" t="s">
        <v>3704</v>
      </c>
      <c r="H774" s="567">
        <v>18258</v>
      </c>
      <c r="I774" s="135" t="s">
        <v>4190</v>
      </c>
      <c r="J774" s="135" t="s">
        <v>4191</v>
      </c>
      <c r="K774" s="475">
        <v>0.14000000000000001</v>
      </c>
      <c r="L774" s="476">
        <v>13.4</v>
      </c>
      <c r="M774" s="570" t="s">
        <v>4192</v>
      </c>
      <c r="N774" s="570"/>
      <c r="O774" s="571" t="s">
        <v>2976</v>
      </c>
      <c r="P774" s="135" t="s">
        <v>3051</v>
      </c>
      <c r="Q774" s="495" t="s">
        <v>3084</v>
      </c>
      <c r="R774" s="135">
        <v>0.5</v>
      </c>
      <c r="S774" s="135">
        <f t="shared" si="817"/>
        <v>6.7000000000000004E-2</v>
      </c>
      <c r="T774" s="898">
        <f>SUM(R751:R774)</f>
        <v>96.2</v>
      </c>
      <c r="U774" s="135">
        <f t="shared" si="822"/>
        <v>0.51975051975051978</v>
      </c>
      <c r="V774" s="476">
        <f>U774*100/SUM(U751:U752,U754:U774)</f>
        <v>0.7552870090634447</v>
      </c>
      <c r="W774" s="135" t="s">
        <v>134</v>
      </c>
      <c r="X774">
        <f t="shared" si="819"/>
        <v>0.10574018126888227</v>
      </c>
      <c r="Y774" s="220" t="s">
        <v>1666</v>
      </c>
      <c r="Z774" s="220">
        <f>SUM(X774,X790,X808,X825)</f>
        <v>0.46466880352198359</v>
      </c>
      <c r="AA774" s="792">
        <f>Z774</f>
        <v>0.46466880352198359</v>
      </c>
      <c r="AB774" s="18" t="s">
        <v>2533</v>
      </c>
      <c r="AC774" s="14" t="s">
        <v>134</v>
      </c>
      <c r="AD774" s="14" t="s">
        <v>3053</v>
      </c>
      <c r="AE774" s="12">
        <v>3.0177940758293843E-3</v>
      </c>
      <c r="AF774" s="12">
        <v>8.8728561611374421E-3</v>
      </c>
      <c r="AG774" s="12">
        <v>5.9155383175355464E-5</v>
      </c>
      <c r="AH774" s="12">
        <v>5.56622037914692E-4</v>
      </c>
    </row>
    <row r="775" spans="1:34" ht="12.75">
      <c r="A775" s="14" t="s">
        <v>4181</v>
      </c>
      <c r="B775" s="24" t="s">
        <v>2668</v>
      </c>
      <c r="C775" s="14" t="s">
        <v>2698</v>
      </c>
      <c r="D775" s="14" t="s">
        <v>2911</v>
      </c>
      <c r="E775" s="14" t="s">
        <v>4182</v>
      </c>
      <c r="F775" s="13">
        <v>69.61</v>
      </c>
      <c r="G775" s="14" t="s">
        <v>3704</v>
      </c>
      <c r="H775" s="567">
        <v>18258</v>
      </c>
      <c r="I775" s="14" t="s">
        <v>4201</v>
      </c>
      <c r="J775" s="14" t="s">
        <v>4202</v>
      </c>
      <c r="K775" s="478">
        <v>0.1</v>
      </c>
      <c r="L775" s="220">
        <v>8.26</v>
      </c>
      <c r="M775" s="568" t="s">
        <v>4203</v>
      </c>
      <c r="N775" s="568"/>
      <c r="O775" s="569" t="s">
        <v>2976</v>
      </c>
      <c r="P775" s="655" t="s">
        <v>3005</v>
      </c>
      <c r="Q775" s="486" t="s">
        <v>3006</v>
      </c>
      <c r="R775" s="14">
        <v>13</v>
      </c>
      <c r="S775" s="14">
        <f t="shared" si="817"/>
        <v>1.0738000000000001</v>
      </c>
      <c r="T775" s="487">
        <f>SUM(R775:R792)</f>
        <v>93.4</v>
      </c>
      <c r="U775">
        <f t="shared" si="822"/>
        <v>13.918629550321198</v>
      </c>
      <c r="V775" s="220">
        <f>U775*100/SUM(U775:U776,U778:U792)</f>
        <v>20.504731861198731</v>
      </c>
      <c r="W775" s="14" t="s">
        <v>2779</v>
      </c>
      <c r="X775">
        <f t="shared" si="819"/>
        <v>2.0504731861198731</v>
      </c>
      <c r="Y775" s="220" t="s">
        <v>1666</v>
      </c>
      <c r="Z775" s="220" t="str">
        <f t="shared" ref="Z775:AH775" si="845">Y775</f>
        <v>*</v>
      </c>
      <c r="AA775" s="792" t="str">
        <f t="shared" si="845"/>
        <v>*</v>
      </c>
      <c r="AB775" s="458" t="str">
        <f t="shared" si="845"/>
        <v>*</v>
      </c>
      <c r="AC775" s="497" t="str">
        <f t="shared" si="845"/>
        <v>*</v>
      </c>
      <c r="AD775" s="497" t="str">
        <f t="shared" si="845"/>
        <v>*</v>
      </c>
      <c r="AE775" s="454" t="str">
        <f t="shared" si="845"/>
        <v>*</v>
      </c>
      <c r="AF775" s="454" t="str">
        <f t="shared" si="845"/>
        <v>*</v>
      </c>
      <c r="AG775" s="454" t="str">
        <f t="shared" si="845"/>
        <v>*</v>
      </c>
      <c r="AH775" s="454" t="str">
        <f t="shared" si="845"/>
        <v>*</v>
      </c>
    </row>
    <row r="776" spans="1:34" ht="12.75">
      <c r="A776" s="14" t="s">
        <v>4181</v>
      </c>
      <c r="B776" s="24" t="s">
        <v>2668</v>
      </c>
      <c r="C776" s="14" t="s">
        <v>2698</v>
      </c>
      <c r="D776" s="14" t="s">
        <v>2911</v>
      </c>
      <c r="E776" s="14" t="s">
        <v>4182</v>
      </c>
      <c r="F776" s="13">
        <v>69.61</v>
      </c>
      <c r="G776" s="14" t="s">
        <v>3704</v>
      </c>
      <c r="H776" s="567">
        <v>18258</v>
      </c>
      <c r="I776" s="14" t="s">
        <v>4201</v>
      </c>
      <c r="J776" s="14" t="s">
        <v>4202</v>
      </c>
      <c r="K776" s="478">
        <v>0.1</v>
      </c>
      <c r="L776" s="220">
        <v>8.26</v>
      </c>
      <c r="M776" s="568" t="s">
        <v>4203</v>
      </c>
      <c r="N776" s="568"/>
      <c r="O776" s="569" t="s">
        <v>2976</v>
      </c>
      <c r="P776" s="14" t="s">
        <v>3862</v>
      </c>
      <c r="Q776" s="486" t="s">
        <v>3863</v>
      </c>
      <c r="R776" s="14">
        <v>13</v>
      </c>
      <c r="S776" s="14">
        <f t="shared" si="817"/>
        <v>1.0738000000000001</v>
      </c>
      <c r="T776" s="487">
        <f>SUM(R775:R792)</f>
        <v>93.4</v>
      </c>
      <c r="U776">
        <f t="shared" si="822"/>
        <v>13.918629550321198</v>
      </c>
      <c r="V776" s="220">
        <f>U776*100/SUM(U775:U776,U778:U792)</f>
        <v>20.504731861198731</v>
      </c>
      <c r="W776" s="14" t="s">
        <v>2662</v>
      </c>
      <c r="X776">
        <f t="shared" si="819"/>
        <v>2.0504731861198731</v>
      </c>
      <c r="Y776" s="220" t="s">
        <v>1666</v>
      </c>
      <c r="Z776" s="220" t="str">
        <f t="shared" ref="Z776:AH776" si="846">Y776</f>
        <v>*</v>
      </c>
      <c r="AA776" s="792" t="str">
        <f t="shared" si="846"/>
        <v>*</v>
      </c>
      <c r="AB776" s="458" t="str">
        <f t="shared" si="846"/>
        <v>*</v>
      </c>
      <c r="AC776" s="497" t="str">
        <f t="shared" si="846"/>
        <v>*</v>
      </c>
      <c r="AD776" s="497" t="str">
        <f t="shared" si="846"/>
        <v>*</v>
      </c>
      <c r="AE776" s="454" t="str">
        <f t="shared" si="846"/>
        <v>*</v>
      </c>
      <c r="AF776" s="454" t="str">
        <f t="shared" si="846"/>
        <v>*</v>
      </c>
      <c r="AG776" s="454" t="str">
        <f t="shared" si="846"/>
        <v>*</v>
      </c>
      <c r="AH776" s="454" t="str">
        <f t="shared" si="846"/>
        <v>*</v>
      </c>
    </row>
    <row r="777" spans="1:34" ht="12.75">
      <c r="A777" s="14" t="s">
        <v>4181</v>
      </c>
      <c r="B777" s="24" t="s">
        <v>2668</v>
      </c>
      <c r="C777" s="14" t="s">
        <v>2698</v>
      </c>
      <c r="D777" s="14" t="s">
        <v>2911</v>
      </c>
      <c r="E777" s="14" t="s">
        <v>4182</v>
      </c>
      <c r="F777" s="13">
        <v>69.61</v>
      </c>
      <c r="G777" s="14" t="s">
        <v>3704</v>
      </c>
      <c r="H777" s="567">
        <v>18258</v>
      </c>
      <c r="I777" s="14" t="s">
        <v>4201</v>
      </c>
      <c r="J777" s="14" t="s">
        <v>4202</v>
      </c>
      <c r="K777" s="478">
        <v>0.1</v>
      </c>
      <c r="L777" s="220">
        <v>8.26</v>
      </c>
      <c r="M777" s="568" t="s">
        <v>4203</v>
      </c>
      <c r="N777" s="568"/>
      <c r="O777" s="569" t="s">
        <v>2976</v>
      </c>
      <c r="P777" s="14" t="s">
        <v>2938</v>
      </c>
      <c r="Q777" s="435" t="s">
        <v>2939</v>
      </c>
      <c r="R777" s="14">
        <v>30</v>
      </c>
      <c r="S777" s="14">
        <f t="shared" si="817"/>
        <v>2.4779999999999998</v>
      </c>
      <c r="T777" s="487">
        <f>SUM(R775:R792)</f>
        <v>93.4</v>
      </c>
      <c r="U777" s="515">
        <f t="shared" si="822"/>
        <v>32.119914346895072</v>
      </c>
      <c r="V777" s="470">
        <f>U777</f>
        <v>32.119914346895072</v>
      </c>
      <c r="W777" s="515" t="s">
        <v>72</v>
      </c>
      <c r="X777" s="515">
        <f t="shared" si="819"/>
        <v>3.2119914346895073</v>
      </c>
      <c r="Y777" s="470" t="s">
        <v>1666</v>
      </c>
      <c r="Z777" s="220" t="str">
        <f t="shared" ref="Z777:AH777" si="847">Y777</f>
        <v>*</v>
      </c>
      <c r="AA777" s="792" t="str">
        <f t="shared" si="847"/>
        <v>*</v>
      </c>
      <c r="AB777" s="458" t="str">
        <f t="shared" si="847"/>
        <v>*</v>
      </c>
      <c r="AC777" s="497" t="str">
        <f t="shared" si="847"/>
        <v>*</v>
      </c>
      <c r="AD777" s="497" t="str">
        <f t="shared" si="847"/>
        <v>*</v>
      </c>
      <c r="AE777" s="454" t="str">
        <f t="shared" si="847"/>
        <v>*</v>
      </c>
      <c r="AF777" s="454" t="str">
        <f t="shared" si="847"/>
        <v>*</v>
      </c>
      <c r="AG777" s="454" t="str">
        <f t="shared" si="847"/>
        <v>*</v>
      </c>
      <c r="AH777" s="454" t="str">
        <f t="shared" si="847"/>
        <v>*</v>
      </c>
    </row>
    <row r="778" spans="1:34" ht="12.75">
      <c r="A778" s="14" t="s">
        <v>4181</v>
      </c>
      <c r="B778" s="24" t="s">
        <v>2668</v>
      </c>
      <c r="C778" s="14" t="s">
        <v>2698</v>
      </c>
      <c r="D778" s="14" t="s">
        <v>2911</v>
      </c>
      <c r="E778" s="14" t="s">
        <v>4182</v>
      </c>
      <c r="F778" s="13">
        <v>69.61</v>
      </c>
      <c r="G778" s="14" t="s">
        <v>3704</v>
      </c>
      <c r="H778" s="567">
        <v>18258</v>
      </c>
      <c r="I778" s="14" t="s">
        <v>4201</v>
      </c>
      <c r="J778" s="14" t="s">
        <v>4202</v>
      </c>
      <c r="K778" s="478">
        <v>0.1</v>
      </c>
      <c r="L778" s="220">
        <v>8.26</v>
      </c>
      <c r="M778" s="568" t="s">
        <v>4203</v>
      </c>
      <c r="N778" s="568"/>
      <c r="O778" s="569" t="s">
        <v>2976</v>
      </c>
      <c r="P778" s="655" t="s">
        <v>3978</v>
      </c>
      <c r="Q778" s="486" t="s">
        <v>3979</v>
      </c>
      <c r="R778" s="14">
        <v>22</v>
      </c>
      <c r="S778" s="14">
        <f t="shared" si="817"/>
        <v>1.8171999999999999</v>
      </c>
      <c r="T778" s="487">
        <f>SUM(R775:R792)</f>
        <v>93.4</v>
      </c>
      <c r="U778">
        <f t="shared" si="822"/>
        <v>23.554603854389722</v>
      </c>
      <c r="V778" s="220">
        <f>U778*100/SUM(U775:U776,U778:U792)</f>
        <v>34.70031545741324</v>
      </c>
      <c r="W778" s="14" t="s">
        <v>1164</v>
      </c>
      <c r="X778">
        <f t="shared" si="819"/>
        <v>3.4700315457413242</v>
      </c>
      <c r="Y778" s="220" t="s">
        <v>1666</v>
      </c>
      <c r="Z778" s="220" t="str">
        <f t="shared" ref="Z778:AH778" si="848">Y778</f>
        <v>*</v>
      </c>
      <c r="AA778" s="792" t="str">
        <f t="shared" si="848"/>
        <v>*</v>
      </c>
      <c r="AB778" s="458" t="str">
        <f t="shared" si="848"/>
        <v>*</v>
      </c>
      <c r="AC778" s="497" t="str">
        <f t="shared" si="848"/>
        <v>*</v>
      </c>
      <c r="AD778" s="497" t="str">
        <f t="shared" si="848"/>
        <v>*</v>
      </c>
      <c r="AE778" s="454" t="str">
        <f t="shared" si="848"/>
        <v>*</v>
      </c>
      <c r="AF778" s="454" t="str">
        <f t="shared" si="848"/>
        <v>*</v>
      </c>
      <c r="AG778" s="454" t="str">
        <f t="shared" si="848"/>
        <v>*</v>
      </c>
      <c r="AH778" s="454" t="str">
        <f t="shared" si="848"/>
        <v>*</v>
      </c>
    </row>
    <row r="779" spans="1:34" ht="12.75">
      <c r="A779" s="14" t="s">
        <v>4181</v>
      </c>
      <c r="B779" s="24" t="s">
        <v>2668</v>
      </c>
      <c r="C779" s="14" t="s">
        <v>2698</v>
      </c>
      <c r="D779" s="14" t="s">
        <v>2911</v>
      </c>
      <c r="E779" s="14" t="s">
        <v>4182</v>
      </c>
      <c r="F779" s="13">
        <v>69.61</v>
      </c>
      <c r="G779" s="14" t="s">
        <v>3704</v>
      </c>
      <c r="H779" s="567">
        <v>18258</v>
      </c>
      <c r="I779" s="14" t="s">
        <v>4201</v>
      </c>
      <c r="J779" s="14" t="s">
        <v>4202</v>
      </c>
      <c r="K779" s="478">
        <v>0.1</v>
      </c>
      <c r="L779" s="220">
        <v>8.26</v>
      </c>
      <c r="M779" s="568" t="s">
        <v>4203</v>
      </c>
      <c r="N779" s="568"/>
      <c r="O779" s="569" t="s">
        <v>2976</v>
      </c>
      <c r="P779" s="655" t="s">
        <v>3005</v>
      </c>
      <c r="Q779" s="486" t="s">
        <v>3006</v>
      </c>
      <c r="R779" s="14">
        <v>4</v>
      </c>
      <c r="S779" s="14">
        <f t="shared" si="817"/>
        <v>0.33039999999999997</v>
      </c>
      <c r="T779" s="487">
        <f>SUM(R775:R792)</f>
        <v>93.4</v>
      </c>
      <c r="U779">
        <f t="shared" si="822"/>
        <v>4.2826552462526761</v>
      </c>
      <c r="V779" s="220">
        <f>U779*100/SUM(U775:U776,U778:U792)</f>
        <v>6.3091482649842252</v>
      </c>
      <c r="W779" s="14" t="s">
        <v>2779</v>
      </c>
      <c r="X779">
        <f t="shared" si="819"/>
        <v>0.63091482649842257</v>
      </c>
      <c r="Y779" s="220" t="s">
        <v>1666</v>
      </c>
      <c r="Z779" s="220" t="str">
        <f t="shared" ref="Z779:AH779" si="849">Y779</f>
        <v>*</v>
      </c>
      <c r="AA779" s="792" t="str">
        <f t="shared" si="849"/>
        <v>*</v>
      </c>
      <c r="AB779" s="458" t="str">
        <f t="shared" si="849"/>
        <v>*</v>
      </c>
      <c r="AC779" s="497" t="str">
        <f t="shared" si="849"/>
        <v>*</v>
      </c>
      <c r="AD779" s="497" t="str">
        <f t="shared" si="849"/>
        <v>*</v>
      </c>
      <c r="AE779" s="454" t="str">
        <f t="shared" si="849"/>
        <v>*</v>
      </c>
      <c r="AF779" s="454" t="str">
        <f t="shared" si="849"/>
        <v>*</v>
      </c>
      <c r="AG779" s="454" t="str">
        <f t="shared" si="849"/>
        <v>*</v>
      </c>
      <c r="AH779" s="454" t="str">
        <f t="shared" si="849"/>
        <v>*</v>
      </c>
    </row>
    <row r="780" spans="1:34" ht="12.75">
      <c r="A780" s="14" t="s">
        <v>4181</v>
      </c>
      <c r="B780" s="24" t="s">
        <v>2668</v>
      </c>
      <c r="C780" s="14" t="s">
        <v>2698</v>
      </c>
      <c r="D780" s="14" t="s">
        <v>2911</v>
      </c>
      <c r="E780" s="14" t="s">
        <v>4182</v>
      </c>
      <c r="F780" s="13">
        <v>69.61</v>
      </c>
      <c r="G780" s="14" t="s">
        <v>3704</v>
      </c>
      <c r="H780" s="567">
        <v>18258</v>
      </c>
      <c r="I780" s="14" t="s">
        <v>4201</v>
      </c>
      <c r="J780" s="14" t="s">
        <v>4202</v>
      </c>
      <c r="K780" s="478">
        <v>0.1</v>
      </c>
      <c r="L780" s="220">
        <v>8.26</v>
      </c>
      <c r="M780" s="568" t="s">
        <v>4203</v>
      </c>
      <c r="N780" s="568"/>
      <c r="O780" s="569" t="s">
        <v>2976</v>
      </c>
      <c r="P780" s="14" t="s">
        <v>430</v>
      </c>
      <c r="Q780" s="527" t="s">
        <v>4086</v>
      </c>
      <c r="R780" s="14">
        <v>2.5</v>
      </c>
      <c r="S780" s="14">
        <f t="shared" si="817"/>
        <v>0.20650000000000002</v>
      </c>
      <c r="T780" s="487">
        <f>SUM(R775:R792)</f>
        <v>93.4</v>
      </c>
      <c r="U780">
        <f t="shared" si="822"/>
        <v>2.6766595289079227</v>
      </c>
      <c r="V780" s="220">
        <f>U780*100/SUM(U775:U776,U778:U792)</f>
        <v>3.9432176656151405</v>
      </c>
      <c r="W780" s="14" t="s">
        <v>430</v>
      </c>
      <c r="X780">
        <f t="shared" si="819"/>
        <v>0.39432176656151408</v>
      </c>
      <c r="Y780" s="499">
        <f>SUM(X780,X797,X822)</f>
        <v>1.0548087273821791</v>
      </c>
      <c r="Z780" s="220">
        <f t="shared" ref="Z780:AA780" si="850">Y780</f>
        <v>1.0548087273821791</v>
      </c>
      <c r="AA780" s="792">
        <f t="shared" si="850"/>
        <v>1.0548087273821791</v>
      </c>
      <c r="AB780" s="18" t="s">
        <v>430</v>
      </c>
      <c r="AC780" s="13" t="s">
        <v>18</v>
      </c>
      <c r="AD780" s="13" t="s">
        <v>18</v>
      </c>
      <c r="AE780" s="12">
        <v>0</v>
      </c>
      <c r="AF780" s="12">
        <v>0</v>
      </c>
      <c r="AG780" s="12">
        <v>0</v>
      </c>
      <c r="AH780" s="12">
        <v>0</v>
      </c>
    </row>
    <row r="781" spans="1:34" ht="12.75">
      <c r="A781" s="14" t="s">
        <v>4181</v>
      </c>
      <c r="B781" s="24" t="s">
        <v>2668</v>
      </c>
      <c r="C781" s="14" t="s">
        <v>2698</v>
      </c>
      <c r="D781" s="14" t="s">
        <v>2911</v>
      </c>
      <c r="E781" s="14" t="s">
        <v>4182</v>
      </c>
      <c r="F781" s="13">
        <v>69.61</v>
      </c>
      <c r="G781" s="14" t="s">
        <v>3704</v>
      </c>
      <c r="H781" s="567">
        <v>18258</v>
      </c>
      <c r="I781" s="14" t="s">
        <v>4201</v>
      </c>
      <c r="J781" s="14" t="s">
        <v>4202</v>
      </c>
      <c r="K781" s="478">
        <v>0.1</v>
      </c>
      <c r="L781" s="220">
        <v>8.26</v>
      </c>
      <c r="M781" s="568" t="s">
        <v>4203</v>
      </c>
      <c r="N781" s="568"/>
      <c r="O781" s="569" t="s">
        <v>2976</v>
      </c>
      <c r="P781" s="14" t="s">
        <v>233</v>
      </c>
      <c r="Q781" s="486" t="s">
        <v>4193</v>
      </c>
      <c r="R781" s="14">
        <v>1</v>
      </c>
      <c r="S781" s="14">
        <f t="shared" si="817"/>
        <v>8.2599999999999993E-2</v>
      </c>
      <c r="T781" s="487">
        <f>SUM(R775:R792)</f>
        <v>93.4</v>
      </c>
      <c r="U781">
        <f t="shared" si="822"/>
        <v>1.070663811563169</v>
      </c>
      <c r="V781" s="220">
        <f>U781*100/SUM(U775:U776,U778:U792)</f>
        <v>1.5772870662460563</v>
      </c>
      <c r="W781" s="14" t="s">
        <v>233</v>
      </c>
      <c r="X781">
        <f t="shared" si="819"/>
        <v>0.15772870662460564</v>
      </c>
      <c r="Y781" s="220" t="s">
        <v>1666</v>
      </c>
      <c r="Z781" s="220" t="str">
        <f t="shared" ref="Z781:AH781" si="851">Y781</f>
        <v>*</v>
      </c>
      <c r="AA781" s="792" t="str">
        <f t="shared" si="851"/>
        <v>*</v>
      </c>
      <c r="AB781" s="458" t="str">
        <f t="shared" si="851"/>
        <v>*</v>
      </c>
      <c r="AC781" s="497" t="str">
        <f t="shared" si="851"/>
        <v>*</v>
      </c>
      <c r="AD781" s="497" t="str">
        <f t="shared" si="851"/>
        <v>*</v>
      </c>
      <c r="AE781" s="454" t="str">
        <f t="shared" si="851"/>
        <v>*</v>
      </c>
      <c r="AF781" s="454" t="str">
        <f t="shared" si="851"/>
        <v>*</v>
      </c>
      <c r="AG781" s="454" t="str">
        <f t="shared" si="851"/>
        <v>*</v>
      </c>
      <c r="AH781" s="454" t="str">
        <f t="shared" si="851"/>
        <v>*</v>
      </c>
    </row>
    <row r="782" spans="1:34" ht="12.75">
      <c r="A782" s="14" t="s">
        <v>4181</v>
      </c>
      <c r="B782" s="24" t="s">
        <v>2668</v>
      </c>
      <c r="C782" s="14" t="s">
        <v>2698</v>
      </c>
      <c r="D782" s="14" t="s">
        <v>2911</v>
      </c>
      <c r="E782" s="14" t="s">
        <v>4182</v>
      </c>
      <c r="F782" s="13">
        <v>69.61</v>
      </c>
      <c r="G782" s="14" t="s">
        <v>3704</v>
      </c>
      <c r="H782" s="567">
        <v>18258</v>
      </c>
      <c r="I782" s="14" t="s">
        <v>4201</v>
      </c>
      <c r="J782" s="14" t="s">
        <v>4202</v>
      </c>
      <c r="K782" s="478">
        <v>0.1</v>
      </c>
      <c r="L782" s="220">
        <v>8.26</v>
      </c>
      <c r="M782" s="568" t="s">
        <v>4203</v>
      </c>
      <c r="N782" s="568"/>
      <c r="O782" s="569" t="s">
        <v>2976</v>
      </c>
      <c r="P782" s="14" t="s">
        <v>3865</v>
      </c>
      <c r="Q782" s="553" t="s">
        <v>4094</v>
      </c>
      <c r="R782" s="14">
        <v>1</v>
      </c>
      <c r="S782" s="14">
        <f t="shared" si="817"/>
        <v>8.2599999999999993E-2</v>
      </c>
      <c r="T782" s="487">
        <f>SUM(R775:R792)</f>
        <v>93.4</v>
      </c>
      <c r="U782">
        <f t="shared" si="822"/>
        <v>1.070663811563169</v>
      </c>
      <c r="V782" s="220">
        <f>U782*100/SUM(U775:U776,U778:U792)</f>
        <v>1.5772870662460563</v>
      </c>
      <c r="W782" s="14" t="s">
        <v>1165</v>
      </c>
      <c r="X782">
        <f t="shared" si="819"/>
        <v>0.15772870662460564</v>
      </c>
      <c r="Y782" s="220" t="s">
        <v>1666</v>
      </c>
      <c r="Z782" s="220" t="str">
        <f t="shared" ref="Z782:AH782" si="852">Y782</f>
        <v>*</v>
      </c>
      <c r="AA782" s="792" t="str">
        <f t="shared" si="852"/>
        <v>*</v>
      </c>
      <c r="AB782" s="458" t="str">
        <f t="shared" si="852"/>
        <v>*</v>
      </c>
      <c r="AC782" s="497" t="str">
        <f t="shared" si="852"/>
        <v>*</v>
      </c>
      <c r="AD782" s="497" t="str">
        <f t="shared" si="852"/>
        <v>*</v>
      </c>
      <c r="AE782" s="454" t="str">
        <f t="shared" si="852"/>
        <v>*</v>
      </c>
      <c r="AF782" s="454" t="str">
        <f t="shared" si="852"/>
        <v>*</v>
      </c>
      <c r="AG782" s="454" t="str">
        <f t="shared" si="852"/>
        <v>*</v>
      </c>
      <c r="AH782" s="454" t="str">
        <f t="shared" si="852"/>
        <v>*</v>
      </c>
    </row>
    <row r="783" spans="1:34" ht="12.75">
      <c r="A783" s="14" t="s">
        <v>4181</v>
      </c>
      <c r="B783" s="24" t="s">
        <v>2668</v>
      </c>
      <c r="C783" s="14" t="s">
        <v>2698</v>
      </c>
      <c r="D783" s="14" t="s">
        <v>2911</v>
      </c>
      <c r="E783" s="14" t="s">
        <v>4182</v>
      </c>
      <c r="F783" s="13">
        <v>69.61</v>
      </c>
      <c r="G783" s="14" t="s">
        <v>3704</v>
      </c>
      <c r="H783" s="567">
        <v>18258</v>
      </c>
      <c r="I783" s="14" t="s">
        <v>4201</v>
      </c>
      <c r="J783" s="14" t="s">
        <v>4202</v>
      </c>
      <c r="K783" s="478">
        <v>0.1</v>
      </c>
      <c r="L783" s="220">
        <v>8.26</v>
      </c>
      <c r="M783" s="568" t="s">
        <v>4203</v>
      </c>
      <c r="N783" s="568"/>
      <c r="O783" s="569" t="s">
        <v>2976</v>
      </c>
      <c r="P783" s="655" t="s">
        <v>2977</v>
      </c>
      <c r="Q783" s="486" t="s">
        <v>4204</v>
      </c>
      <c r="R783" s="14">
        <v>0.5</v>
      </c>
      <c r="S783" s="14">
        <f t="shared" si="817"/>
        <v>4.1299999999999996E-2</v>
      </c>
      <c r="T783" s="487">
        <f>SUM(R775:R792)</f>
        <v>93.4</v>
      </c>
      <c r="U783">
        <f t="shared" si="822"/>
        <v>0.53533190578158452</v>
      </c>
      <c r="V783" s="220">
        <f>U783*100/SUM(U775:U776,U778:U792)</f>
        <v>0.78864353312302815</v>
      </c>
      <c r="W783" s="14" t="s">
        <v>227</v>
      </c>
      <c r="X783">
        <f t="shared" si="819"/>
        <v>7.8864353312302821E-2</v>
      </c>
      <c r="Y783" s="220" t="s">
        <v>1666</v>
      </c>
      <c r="Z783" s="220" t="str">
        <f t="shared" ref="Z783:AH783" si="853">Y783</f>
        <v>*</v>
      </c>
      <c r="AA783" s="792" t="str">
        <f t="shared" si="853"/>
        <v>*</v>
      </c>
      <c r="AB783" s="458" t="str">
        <f t="shared" si="853"/>
        <v>*</v>
      </c>
      <c r="AC783" s="497" t="str">
        <f t="shared" si="853"/>
        <v>*</v>
      </c>
      <c r="AD783" s="497" t="str">
        <f t="shared" si="853"/>
        <v>*</v>
      </c>
      <c r="AE783" s="454" t="str">
        <f t="shared" si="853"/>
        <v>*</v>
      </c>
      <c r="AF783" s="454" t="str">
        <f t="shared" si="853"/>
        <v>*</v>
      </c>
      <c r="AG783" s="454" t="str">
        <f t="shared" si="853"/>
        <v>*</v>
      </c>
      <c r="AH783" s="454" t="str">
        <f t="shared" si="853"/>
        <v>*</v>
      </c>
    </row>
    <row r="784" spans="1:34" ht="12.75">
      <c r="A784" s="14" t="s">
        <v>4181</v>
      </c>
      <c r="B784" s="24" t="s">
        <v>2668</v>
      </c>
      <c r="C784" s="14" t="s">
        <v>2698</v>
      </c>
      <c r="D784" s="14" t="s">
        <v>2911</v>
      </c>
      <c r="E784" s="14" t="s">
        <v>4182</v>
      </c>
      <c r="F784" s="13">
        <v>69.61</v>
      </c>
      <c r="G784" s="14" t="s">
        <v>3704</v>
      </c>
      <c r="H784" s="567">
        <v>18258</v>
      </c>
      <c r="I784" s="14" t="s">
        <v>4201</v>
      </c>
      <c r="J784" s="14" t="s">
        <v>4202</v>
      </c>
      <c r="K784" s="478">
        <v>0.1</v>
      </c>
      <c r="L784" s="220">
        <v>8.26</v>
      </c>
      <c r="M784" s="568" t="s">
        <v>4203</v>
      </c>
      <c r="N784" s="568"/>
      <c r="O784" s="569" t="s">
        <v>2976</v>
      </c>
      <c r="P784" s="14" t="s">
        <v>2962</v>
      </c>
      <c r="Q784" s="435" t="s">
        <v>2963</v>
      </c>
      <c r="R784" s="14">
        <v>0.5</v>
      </c>
      <c r="S784" s="14">
        <f t="shared" si="817"/>
        <v>4.1299999999999996E-2</v>
      </c>
      <c r="T784" s="487">
        <f>SUM(R775:R792)</f>
        <v>93.4</v>
      </c>
      <c r="U784">
        <f t="shared" si="822"/>
        <v>0.53533190578158452</v>
      </c>
      <c r="V784" s="220">
        <f>U784*100/SUM(U775:U776,U778:U792)</f>
        <v>0.78864353312302815</v>
      </c>
      <c r="W784" s="14" t="s">
        <v>425</v>
      </c>
      <c r="X784">
        <f t="shared" si="819"/>
        <v>7.8864353312302821E-2</v>
      </c>
      <c r="Y784" s="220" t="s">
        <v>1666</v>
      </c>
      <c r="Z784" s="220">
        <f>SUM(X784,X815,X830)</f>
        <v>2.0098988360709242</v>
      </c>
      <c r="AA784" s="792">
        <f>Z784</f>
        <v>2.0098988360709242</v>
      </c>
      <c r="AB784" s="18" t="s">
        <v>425</v>
      </c>
      <c r="AC784" s="13" t="s">
        <v>2964</v>
      </c>
      <c r="AD784" s="13" t="s">
        <v>2965</v>
      </c>
      <c r="AE784" s="12">
        <v>3.8102374934982654E-3</v>
      </c>
      <c r="AF784" s="12">
        <v>0.20470422547079484</v>
      </c>
      <c r="AG784" s="12">
        <v>1.210810810810811E-4</v>
      </c>
      <c r="AH784" s="12">
        <v>1.0002400855855065E-3</v>
      </c>
    </row>
    <row r="785" spans="1:34" ht="12.75">
      <c r="A785" s="14" t="s">
        <v>4181</v>
      </c>
      <c r="B785" s="24" t="s">
        <v>2668</v>
      </c>
      <c r="C785" s="14" t="s">
        <v>2698</v>
      </c>
      <c r="D785" s="14" t="s">
        <v>2911</v>
      </c>
      <c r="E785" s="14" t="s">
        <v>4182</v>
      </c>
      <c r="F785" s="13">
        <v>69.61</v>
      </c>
      <c r="G785" s="14" t="s">
        <v>3704</v>
      </c>
      <c r="H785" s="567">
        <v>18258</v>
      </c>
      <c r="I785" s="14" t="s">
        <v>4201</v>
      </c>
      <c r="J785" s="14" t="s">
        <v>4202</v>
      </c>
      <c r="K785" s="478">
        <v>0.1</v>
      </c>
      <c r="L785" s="220">
        <v>8.26</v>
      </c>
      <c r="M785" s="568" t="s">
        <v>4203</v>
      </c>
      <c r="N785" s="568"/>
      <c r="O785" s="569" t="s">
        <v>2976</v>
      </c>
      <c r="P785" s="14" t="s">
        <v>86</v>
      </c>
      <c r="Q785" s="14" t="s">
        <v>3442</v>
      </c>
      <c r="R785" s="14">
        <v>1</v>
      </c>
      <c r="S785" s="14">
        <f t="shared" si="817"/>
        <v>8.2599999999999993E-2</v>
      </c>
      <c r="T785" s="487">
        <f>SUM(R775:R792)</f>
        <v>93.4</v>
      </c>
      <c r="U785">
        <f t="shared" si="822"/>
        <v>1.070663811563169</v>
      </c>
      <c r="V785" s="220">
        <f>U785*100/SUM(U775:U776,U778:U792)</f>
        <v>1.5772870662460563</v>
      </c>
      <c r="W785" s="14" t="s">
        <v>86</v>
      </c>
      <c r="X785">
        <f t="shared" si="819"/>
        <v>0.15772870662460564</v>
      </c>
      <c r="Y785" s="220" t="s">
        <v>1666</v>
      </c>
      <c r="Z785" s="220" t="str">
        <f t="shared" ref="Z785:AH785" si="854">Y785</f>
        <v>*</v>
      </c>
      <c r="AA785" s="792" t="str">
        <f t="shared" si="854"/>
        <v>*</v>
      </c>
      <c r="AB785" s="458" t="str">
        <f t="shared" si="854"/>
        <v>*</v>
      </c>
      <c r="AC785" s="497" t="str">
        <f t="shared" si="854"/>
        <v>*</v>
      </c>
      <c r="AD785" s="497" t="str">
        <f t="shared" si="854"/>
        <v>*</v>
      </c>
      <c r="AE785" s="454" t="str">
        <f t="shared" si="854"/>
        <v>*</v>
      </c>
      <c r="AF785" s="454" t="str">
        <f t="shared" si="854"/>
        <v>*</v>
      </c>
      <c r="AG785" s="454" t="str">
        <f t="shared" si="854"/>
        <v>*</v>
      </c>
      <c r="AH785" s="454" t="str">
        <f t="shared" si="854"/>
        <v>*</v>
      </c>
    </row>
    <row r="786" spans="1:34" ht="12.75">
      <c r="A786" s="14" t="s">
        <v>4181</v>
      </c>
      <c r="B786" s="24" t="s">
        <v>2668</v>
      </c>
      <c r="C786" s="14" t="s">
        <v>2698</v>
      </c>
      <c r="D786" s="14" t="s">
        <v>2911</v>
      </c>
      <c r="E786" s="14" t="s">
        <v>4182</v>
      </c>
      <c r="F786" s="13">
        <v>69.61</v>
      </c>
      <c r="G786" s="14" t="s">
        <v>3704</v>
      </c>
      <c r="H786" s="567">
        <v>18258</v>
      </c>
      <c r="I786" s="14" t="s">
        <v>4201</v>
      </c>
      <c r="J786" s="14" t="s">
        <v>4202</v>
      </c>
      <c r="K786" s="478">
        <v>0.1</v>
      </c>
      <c r="L786" s="220">
        <v>8.26</v>
      </c>
      <c r="M786" s="568" t="s">
        <v>4203</v>
      </c>
      <c r="N786" s="568"/>
      <c r="O786" s="569" t="s">
        <v>2976</v>
      </c>
      <c r="P786" s="14" t="s">
        <v>3021</v>
      </c>
      <c r="Q786" s="486" t="s">
        <v>3022</v>
      </c>
      <c r="R786" s="14">
        <v>0.9</v>
      </c>
      <c r="S786" s="14">
        <f t="shared" si="817"/>
        <v>7.4340000000000003E-2</v>
      </c>
      <c r="T786" s="487">
        <f>SUM(R775:R792)</f>
        <v>93.4</v>
      </c>
      <c r="U786">
        <f t="shared" si="822"/>
        <v>0.9635974304068522</v>
      </c>
      <c r="V786" s="220">
        <f>U786*100/SUM(U775:U776,U778:U792)</f>
        <v>1.4195583596214507</v>
      </c>
      <c r="W786" s="14" t="s">
        <v>346</v>
      </c>
      <c r="X786">
        <f t="shared" si="819"/>
        <v>0.14195583596214509</v>
      </c>
      <c r="Y786" s="220" t="s">
        <v>1666</v>
      </c>
      <c r="Z786" s="220" t="str">
        <f t="shared" ref="Z786:AH786" si="855">Y786</f>
        <v>*</v>
      </c>
      <c r="AA786" s="792" t="str">
        <f t="shared" si="855"/>
        <v>*</v>
      </c>
      <c r="AB786" s="458" t="str">
        <f t="shared" si="855"/>
        <v>*</v>
      </c>
      <c r="AC786" s="497" t="str">
        <f t="shared" si="855"/>
        <v>*</v>
      </c>
      <c r="AD786" s="497" t="str">
        <f t="shared" si="855"/>
        <v>*</v>
      </c>
      <c r="AE786" s="454" t="str">
        <f t="shared" si="855"/>
        <v>*</v>
      </c>
      <c r="AF786" s="454" t="str">
        <f t="shared" si="855"/>
        <v>*</v>
      </c>
      <c r="AG786" s="454" t="str">
        <f t="shared" si="855"/>
        <v>*</v>
      </c>
      <c r="AH786" s="454" t="str">
        <f t="shared" si="855"/>
        <v>*</v>
      </c>
    </row>
    <row r="787" spans="1:34" ht="12.75">
      <c r="A787" s="14" t="s">
        <v>4181</v>
      </c>
      <c r="B787" s="24" t="s">
        <v>2668</v>
      </c>
      <c r="C787" s="14" t="s">
        <v>2698</v>
      </c>
      <c r="D787" s="14" t="s">
        <v>2911</v>
      </c>
      <c r="E787" s="14" t="s">
        <v>4182</v>
      </c>
      <c r="F787" s="13">
        <v>69.61</v>
      </c>
      <c r="G787" s="14" t="s">
        <v>3704</v>
      </c>
      <c r="H787" s="567">
        <v>18258</v>
      </c>
      <c r="I787" s="14" t="s">
        <v>4201</v>
      </c>
      <c r="J787" s="14" t="s">
        <v>4202</v>
      </c>
      <c r="K787" s="478">
        <v>0.1</v>
      </c>
      <c r="L787" s="220">
        <v>8.26</v>
      </c>
      <c r="M787" s="568" t="s">
        <v>4203</v>
      </c>
      <c r="N787" s="568"/>
      <c r="O787" s="569" t="s">
        <v>2976</v>
      </c>
      <c r="P787" s="14" t="s">
        <v>3862</v>
      </c>
      <c r="Q787" s="486" t="s">
        <v>4205</v>
      </c>
      <c r="R787" s="14">
        <v>1</v>
      </c>
      <c r="S787" s="14">
        <f t="shared" si="817"/>
        <v>8.2599999999999993E-2</v>
      </c>
      <c r="T787" s="487">
        <f>SUM(R775:R792)</f>
        <v>93.4</v>
      </c>
      <c r="U787">
        <f t="shared" si="822"/>
        <v>1.070663811563169</v>
      </c>
      <c r="V787" s="220">
        <f>U787*100/SUM(U775:U776,U778:U792)</f>
        <v>1.5772870662460563</v>
      </c>
      <c r="W787" s="14" t="s">
        <v>2662</v>
      </c>
      <c r="X787">
        <f t="shared" si="819"/>
        <v>0.15772870662460564</v>
      </c>
      <c r="Y787" s="220" t="s">
        <v>1666</v>
      </c>
      <c r="Z787" s="220" t="str">
        <f t="shared" ref="Z787:AH787" si="856">Y787</f>
        <v>*</v>
      </c>
      <c r="AA787" s="792" t="str">
        <f t="shared" si="856"/>
        <v>*</v>
      </c>
      <c r="AB787" s="458" t="str">
        <f t="shared" si="856"/>
        <v>*</v>
      </c>
      <c r="AC787" s="497" t="str">
        <f t="shared" si="856"/>
        <v>*</v>
      </c>
      <c r="AD787" s="497" t="str">
        <f t="shared" si="856"/>
        <v>*</v>
      </c>
      <c r="AE787" s="454" t="str">
        <f t="shared" si="856"/>
        <v>*</v>
      </c>
      <c r="AF787" s="454" t="str">
        <f t="shared" si="856"/>
        <v>*</v>
      </c>
      <c r="AG787" s="454" t="str">
        <f t="shared" si="856"/>
        <v>*</v>
      </c>
      <c r="AH787" s="454" t="str">
        <f t="shared" si="856"/>
        <v>*</v>
      </c>
    </row>
    <row r="788" spans="1:34" ht="12.75">
      <c r="A788" s="14" t="s">
        <v>4181</v>
      </c>
      <c r="B788" s="24" t="s">
        <v>2668</v>
      </c>
      <c r="C788" s="14" t="s">
        <v>2698</v>
      </c>
      <c r="D788" s="14" t="s">
        <v>2911</v>
      </c>
      <c r="E788" s="14" t="s">
        <v>4182</v>
      </c>
      <c r="F788" s="13">
        <v>69.61</v>
      </c>
      <c r="G788" s="14" t="s">
        <v>3704</v>
      </c>
      <c r="H788" s="567">
        <v>18258</v>
      </c>
      <c r="I788" s="14" t="s">
        <v>4201</v>
      </c>
      <c r="J788" s="14" t="s">
        <v>4202</v>
      </c>
      <c r="K788" s="478">
        <v>0.1</v>
      </c>
      <c r="L788" s="220">
        <v>8.26</v>
      </c>
      <c r="M788" s="568" t="s">
        <v>4203</v>
      </c>
      <c r="N788" s="568"/>
      <c r="O788" s="569" t="s">
        <v>2976</v>
      </c>
      <c r="P788" s="14" t="s">
        <v>3041</v>
      </c>
      <c r="Q788" s="486" t="s">
        <v>3089</v>
      </c>
      <c r="R788" s="14">
        <v>1</v>
      </c>
      <c r="S788" s="14">
        <f t="shared" si="817"/>
        <v>8.2599999999999993E-2</v>
      </c>
      <c r="T788" s="487">
        <f>SUM(R775:R792)</f>
        <v>93.4</v>
      </c>
      <c r="U788">
        <f t="shared" si="822"/>
        <v>1.070663811563169</v>
      </c>
      <c r="V788" s="220">
        <f>U788*100/SUM(U775:U776,U778:U792)</f>
        <v>1.5772870662460563</v>
      </c>
      <c r="W788" s="14" t="s">
        <v>81</v>
      </c>
      <c r="X788">
        <f t="shared" si="819"/>
        <v>0.15772870662460564</v>
      </c>
      <c r="Y788" s="499">
        <f>SUM(X788,X806)</f>
        <v>0.20790791809413969</v>
      </c>
      <c r="Z788" s="220">
        <f t="shared" ref="Z788:AA788" si="857">Y788</f>
        <v>0.20790791809413969</v>
      </c>
      <c r="AA788" s="792">
        <f t="shared" si="857"/>
        <v>0.20790791809413969</v>
      </c>
      <c r="AB788" s="18" t="s">
        <v>81</v>
      </c>
      <c r="AC788" s="13" t="s">
        <v>18</v>
      </c>
      <c r="AD788" s="13" t="s">
        <v>18</v>
      </c>
      <c r="AE788" s="12">
        <v>1.9912385503783353E-2</v>
      </c>
      <c r="AF788" s="12">
        <v>5.6949422540820388E-2</v>
      </c>
      <c r="AG788" s="12">
        <v>3.8829151732377542E-3</v>
      </c>
      <c r="AH788" s="12">
        <v>5.6321186778176026E-3</v>
      </c>
    </row>
    <row r="789" spans="1:34" ht="12.75">
      <c r="A789" s="14" t="s">
        <v>4181</v>
      </c>
      <c r="B789" s="24" t="s">
        <v>2668</v>
      </c>
      <c r="C789" s="14" t="s">
        <v>2698</v>
      </c>
      <c r="D789" s="14" t="s">
        <v>2911</v>
      </c>
      <c r="E789" s="14" t="s">
        <v>4182</v>
      </c>
      <c r="F789" s="13">
        <v>69.61</v>
      </c>
      <c r="G789" s="14" t="s">
        <v>3704</v>
      </c>
      <c r="H789" s="567">
        <v>18258</v>
      </c>
      <c r="I789" s="14" t="s">
        <v>4201</v>
      </c>
      <c r="J789" s="14" t="s">
        <v>4202</v>
      </c>
      <c r="K789" s="478">
        <v>0.1</v>
      </c>
      <c r="L789" s="220">
        <v>8.26</v>
      </c>
      <c r="M789" s="568" t="s">
        <v>4203</v>
      </c>
      <c r="N789" s="568"/>
      <c r="O789" s="569" t="s">
        <v>2976</v>
      </c>
      <c r="P789" s="14" t="s">
        <v>438</v>
      </c>
      <c r="Q789" s="14" t="s">
        <v>4206</v>
      </c>
      <c r="R789" s="14">
        <v>0.5</v>
      </c>
      <c r="S789" s="14">
        <f t="shared" si="817"/>
        <v>4.1299999999999996E-2</v>
      </c>
      <c r="T789" s="487">
        <f>SUM(R775:R792)</f>
        <v>93.4</v>
      </c>
      <c r="U789">
        <f t="shared" si="822"/>
        <v>0.53533190578158452</v>
      </c>
      <c r="V789" s="220">
        <f>U789*100/SUM(U775:U776,U778:U792)</f>
        <v>0.78864353312302815</v>
      </c>
      <c r="W789" s="14" t="s">
        <v>438</v>
      </c>
      <c r="X789">
        <f t="shared" si="819"/>
        <v>7.8864353312302821E-2</v>
      </c>
      <c r="Y789" s="499">
        <f>SUM(X789,X810)</f>
        <v>0.12904356478183687</v>
      </c>
      <c r="Z789" s="220">
        <f t="shared" ref="Z789:AA789" si="858">Y789</f>
        <v>0.12904356478183687</v>
      </c>
      <c r="AA789" s="792">
        <f t="shared" si="858"/>
        <v>0.12904356478183687</v>
      </c>
      <c r="AB789" s="18" t="s">
        <v>438</v>
      </c>
      <c r="AC789" s="13" t="s">
        <v>3056</v>
      </c>
      <c r="AD789" s="13" t="s">
        <v>3057</v>
      </c>
      <c r="AE789" s="12">
        <v>0</v>
      </c>
      <c r="AF789" s="12">
        <v>0</v>
      </c>
      <c r="AG789" s="12">
        <v>0</v>
      </c>
      <c r="AH789" s="12">
        <v>0</v>
      </c>
    </row>
    <row r="790" spans="1:34" ht="12.75">
      <c r="A790" s="14" t="s">
        <v>4181</v>
      </c>
      <c r="B790" s="24" t="s">
        <v>2668</v>
      </c>
      <c r="C790" s="14" t="s">
        <v>2698</v>
      </c>
      <c r="D790" s="14" t="s">
        <v>2911</v>
      </c>
      <c r="E790" s="14" t="s">
        <v>4182</v>
      </c>
      <c r="F790" s="13">
        <v>69.61</v>
      </c>
      <c r="G790" s="14" t="s">
        <v>3704</v>
      </c>
      <c r="H790" s="567">
        <v>18258</v>
      </c>
      <c r="I790" s="14" t="s">
        <v>4201</v>
      </c>
      <c r="J790" s="14" t="s">
        <v>4202</v>
      </c>
      <c r="K790" s="478">
        <v>0.1</v>
      </c>
      <c r="L790" s="220">
        <v>8.26</v>
      </c>
      <c r="M790" s="568" t="s">
        <v>4203</v>
      </c>
      <c r="N790" s="568"/>
      <c r="O790" s="569" t="s">
        <v>2976</v>
      </c>
      <c r="P790" s="14" t="s">
        <v>3051</v>
      </c>
      <c r="Q790" s="486" t="s">
        <v>3084</v>
      </c>
      <c r="R790" s="14">
        <v>0.5</v>
      </c>
      <c r="S790" s="14">
        <f t="shared" si="817"/>
        <v>4.1299999999999996E-2</v>
      </c>
      <c r="T790" s="487">
        <f>SUM(R775:R792)</f>
        <v>93.4</v>
      </c>
      <c r="U790">
        <f t="shared" si="822"/>
        <v>0.53533190578158452</v>
      </c>
      <c r="V790" s="220">
        <f>U790*100/SUM(U775:U776,U778:U792)</f>
        <v>0.78864353312302815</v>
      </c>
      <c r="W790" s="14" t="s">
        <v>134</v>
      </c>
      <c r="X790">
        <f t="shared" si="819"/>
        <v>7.8864353312302821E-2</v>
      </c>
      <c r="Y790" s="220" t="s">
        <v>1666</v>
      </c>
      <c r="Z790" s="220" t="str">
        <f t="shared" ref="Z790:AH790" si="859">Y790</f>
        <v>*</v>
      </c>
      <c r="AA790" s="792" t="str">
        <f t="shared" si="859"/>
        <v>*</v>
      </c>
      <c r="AB790" s="458" t="str">
        <f t="shared" si="859"/>
        <v>*</v>
      </c>
      <c r="AC790" s="497" t="str">
        <f t="shared" si="859"/>
        <v>*</v>
      </c>
      <c r="AD790" s="497" t="str">
        <f t="shared" si="859"/>
        <v>*</v>
      </c>
      <c r="AE790" s="454" t="str">
        <f t="shared" si="859"/>
        <v>*</v>
      </c>
      <c r="AF790" s="454" t="str">
        <f t="shared" si="859"/>
        <v>*</v>
      </c>
      <c r="AG790" s="454" t="str">
        <f t="shared" si="859"/>
        <v>*</v>
      </c>
      <c r="AH790" s="454" t="str">
        <f t="shared" si="859"/>
        <v>*</v>
      </c>
    </row>
    <row r="791" spans="1:34" ht="12.75">
      <c r="A791" s="14" t="s">
        <v>4181</v>
      </c>
      <c r="B791" s="24" t="s">
        <v>2668</v>
      </c>
      <c r="C791" s="14" t="s">
        <v>2698</v>
      </c>
      <c r="D791" s="14" t="s">
        <v>2911</v>
      </c>
      <c r="E791" s="14" t="s">
        <v>4182</v>
      </c>
      <c r="F791" s="13">
        <v>69.61</v>
      </c>
      <c r="G791" s="14" t="s">
        <v>3704</v>
      </c>
      <c r="H791" s="567">
        <v>18258</v>
      </c>
      <c r="I791" s="14" t="s">
        <v>4201</v>
      </c>
      <c r="J791" s="14" t="s">
        <v>4202</v>
      </c>
      <c r="K791" s="478">
        <v>0.1</v>
      </c>
      <c r="L791" s="220">
        <v>8.26</v>
      </c>
      <c r="M791" s="568" t="s">
        <v>4203</v>
      </c>
      <c r="N791" s="568"/>
      <c r="O791" s="569" t="s">
        <v>2976</v>
      </c>
      <c r="P791" s="14" t="s">
        <v>2948</v>
      </c>
      <c r="Q791" s="14" t="s">
        <v>2949</v>
      </c>
      <c r="R791" s="14">
        <v>0.5</v>
      </c>
      <c r="S791" s="14">
        <f t="shared" si="817"/>
        <v>4.1299999999999996E-2</v>
      </c>
      <c r="T791" s="487">
        <f>SUM(R775:R792)</f>
        <v>93.4</v>
      </c>
      <c r="U791">
        <f t="shared" si="822"/>
        <v>0.53533190578158452</v>
      </c>
      <c r="V791" s="220">
        <f>U791*100/SUM(U775:U776,U778:U792)</f>
        <v>0.78864353312302815</v>
      </c>
      <c r="W791" s="14" t="s">
        <v>305</v>
      </c>
      <c r="X791">
        <f t="shared" si="819"/>
        <v>7.8864353312302821E-2</v>
      </c>
      <c r="Y791" s="220" t="s">
        <v>1666</v>
      </c>
      <c r="Z791" s="220" t="str">
        <f t="shared" ref="Z791:AH791" si="860">Y791</f>
        <v>*</v>
      </c>
      <c r="AA791" s="792" t="str">
        <f t="shared" si="860"/>
        <v>*</v>
      </c>
      <c r="AB791" s="458" t="str">
        <f t="shared" si="860"/>
        <v>*</v>
      </c>
      <c r="AC791" s="497" t="str">
        <f t="shared" si="860"/>
        <v>*</v>
      </c>
      <c r="AD791" s="497" t="str">
        <f t="shared" si="860"/>
        <v>*</v>
      </c>
      <c r="AE791" s="454" t="str">
        <f t="shared" si="860"/>
        <v>*</v>
      </c>
      <c r="AF791" s="454" t="str">
        <f t="shared" si="860"/>
        <v>*</v>
      </c>
      <c r="AG791" s="454" t="str">
        <f t="shared" si="860"/>
        <v>*</v>
      </c>
      <c r="AH791" s="454" t="str">
        <f t="shared" si="860"/>
        <v>*</v>
      </c>
    </row>
    <row r="792" spans="1:34" ht="12.75">
      <c r="A792" s="14" t="s">
        <v>4181</v>
      </c>
      <c r="B792" s="24" t="s">
        <v>2668</v>
      </c>
      <c r="C792" s="14" t="s">
        <v>2698</v>
      </c>
      <c r="D792" s="14" t="s">
        <v>2911</v>
      </c>
      <c r="E792" s="14" t="s">
        <v>4182</v>
      </c>
      <c r="F792" s="13">
        <v>69.61</v>
      </c>
      <c r="G792" s="14" t="s">
        <v>3704</v>
      </c>
      <c r="H792" s="567">
        <v>18258</v>
      </c>
      <c r="I792" s="135" t="s">
        <v>4201</v>
      </c>
      <c r="J792" s="135" t="s">
        <v>4202</v>
      </c>
      <c r="K792" s="475">
        <v>0.1</v>
      </c>
      <c r="L792" s="476">
        <v>8.26</v>
      </c>
      <c r="M792" s="570" t="s">
        <v>4203</v>
      </c>
      <c r="N792" s="570"/>
      <c r="O792" s="571" t="s">
        <v>2976</v>
      </c>
      <c r="P792" s="135" t="s">
        <v>2994</v>
      </c>
      <c r="Q792" s="135" t="s">
        <v>2995</v>
      </c>
      <c r="R792" s="135">
        <v>0.5</v>
      </c>
      <c r="S792" s="135">
        <f t="shared" si="817"/>
        <v>4.1299999999999996E-2</v>
      </c>
      <c r="T792" s="898">
        <f>SUM(R775:R792)</f>
        <v>93.4</v>
      </c>
      <c r="U792" s="135">
        <f t="shared" si="822"/>
        <v>0.53533190578158452</v>
      </c>
      <c r="V792" s="476">
        <f>U792*100/SUM(U775:U776,U778:U792)</f>
        <v>0.78864353312302815</v>
      </c>
      <c r="W792" s="135" t="s">
        <v>121</v>
      </c>
      <c r="X792">
        <f t="shared" si="819"/>
        <v>7.8864353312302821E-2</v>
      </c>
      <c r="Y792" s="220" t="s">
        <v>1666</v>
      </c>
      <c r="Z792" s="220">
        <f>SUM(X792,X811)</f>
        <v>0.10395395904706985</v>
      </c>
      <c r="AA792" s="792">
        <f>Z792</f>
        <v>0.10395395904706985</v>
      </c>
      <c r="AB792" s="18" t="s">
        <v>2523</v>
      </c>
      <c r="AC792" s="14" t="s">
        <v>121</v>
      </c>
      <c r="AD792" s="14" t="s">
        <v>3016</v>
      </c>
      <c r="AE792" s="12">
        <v>4.1127278199052132E-2</v>
      </c>
      <c r="AF792" s="12">
        <v>0.12092157867298578</v>
      </c>
      <c r="AG792" s="12">
        <v>8.0618486208530824E-4</v>
      </c>
      <c r="AH792" s="12">
        <v>7.5857890995260661E-3</v>
      </c>
    </row>
    <row r="793" spans="1:34" ht="12.75">
      <c r="A793" s="14" t="s">
        <v>4181</v>
      </c>
      <c r="B793" s="24" t="s">
        <v>2668</v>
      </c>
      <c r="C793" s="14" t="s">
        <v>2698</v>
      </c>
      <c r="D793" s="14" t="s">
        <v>2911</v>
      </c>
      <c r="E793" s="14" t="s">
        <v>4182</v>
      </c>
      <c r="F793" s="13">
        <v>69.61</v>
      </c>
      <c r="G793" s="14" t="s">
        <v>3704</v>
      </c>
      <c r="H793" s="567">
        <v>18258</v>
      </c>
      <c r="I793" s="655" t="s">
        <v>4207</v>
      </c>
      <c r="J793" s="14" t="s">
        <v>4208</v>
      </c>
      <c r="K793" s="478">
        <v>7.0000000000000007E-2</v>
      </c>
      <c r="L793" s="220">
        <v>6.7</v>
      </c>
      <c r="M793" s="568" t="s">
        <v>4209</v>
      </c>
      <c r="N793" s="568"/>
      <c r="O793" s="569" t="s">
        <v>2976</v>
      </c>
      <c r="P793" s="655" t="s">
        <v>3978</v>
      </c>
      <c r="Q793" s="486" t="s">
        <v>3979</v>
      </c>
      <c r="R793" s="14">
        <v>51.5</v>
      </c>
      <c r="S793" s="14">
        <f t="shared" si="817"/>
        <v>3.4505000000000003</v>
      </c>
      <c r="T793" s="487">
        <f>SUM(R793:R811)</f>
        <v>104.75</v>
      </c>
      <c r="U793">
        <f t="shared" ref="U793:U811" si="861">R793/1.0475</f>
        <v>49.164677804295941</v>
      </c>
      <c r="V793" s="220">
        <f>U793*100/SUM(U793,U795:U811)</f>
        <v>73.835125448028677</v>
      </c>
      <c r="W793" s="14" t="s">
        <v>1164</v>
      </c>
      <c r="X793">
        <f t="shared" si="819"/>
        <v>5.1684587813620082</v>
      </c>
      <c r="Y793" s="220" t="s">
        <v>1666</v>
      </c>
      <c r="Z793" s="220" t="str">
        <f t="shared" ref="Z793:AH793" si="862">Y793</f>
        <v>*</v>
      </c>
      <c r="AA793" s="792" t="str">
        <f t="shared" si="862"/>
        <v>*</v>
      </c>
      <c r="AB793" s="458" t="str">
        <f t="shared" si="862"/>
        <v>*</v>
      </c>
      <c r="AC793" s="497" t="str">
        <f t="shared" si="862"/>
        <v>*</v>
      </c>
      <c r="AD793" s="497" t="str">
        <f t="shared" si="862"/>
        <v>*</v>
      </c>
      <c r="AE793" s="454" t="str">
        <f t="shared" si="862"/>
        <v>*</v>
      </c>
      <c r="AF793" s="454" t="str">
        <f t="shared" si="862"/>
        <v>*</v>
      </c>
      <c r="AG793" s="454" t="str">
        <f t="shared" si="862"/>
        <v>*</v>
      </c>
      <c r="AH793" s="454" t="str">
        <f t="shared" si="862"/>
        <v>*</v>
      </c>
    </row>
    <row r="794" spans="1:34" ht="12.75">
      <c r="A794" s="14" t="s">
        <v>4181</v>
      </c>
      <c r="B794" s="24" t="s">
        <v>2668</v>
      </c>
      <c r="C794" s="14" t="s">
        <v>2698</v>
      </c>
      <c r="D794" s="14" t="s">
        <v>2911</v>
      </c>
      <c r="E794" s="14" t="s">
        <v>4182</v>
      </c>
      <c r="F794" s="13">
        <v>69.61</v>
      </c>
      <c r="G794" s="14" t="s">
        <v>3704</v>
      </c>
      <c r="H794" s="567">
        <v>18258</v>
      </c>
      <c r="I794" s="655" t="s">
        <v>4207</v>
      </c>
      <c r="J794" s="14" t="s">
        <v>4208</v>
      </c>
      <c r="K794" s="478">
        <v>7.0000000000000007E-2</v>
      </c>
      <c r="L794" s="220">
        <v>6.7</v>
      </c>
      <c r="M794" s="568" t="s">
        <v>4209</v>
      </c>
      <c r="N794" s="568"/>
      <c r="O794" s="569" t="s">
        <v>2976</v>
      </c>
      <c r="P794" s="14" t="s">
        <v>2938</v>
      </c>
      <c r="Q794" s="435" t="s">
        <v>2939</v>
      </c>
      <c r="R794" s="14">
        <v>35</v>
      </c>
      <c r="S794" s="14">
        <f t="shared" si="817"/>
        <v>2.3450000000000002</v>
      </c>
      <c r="T794" s="487">
        <f>SUM(R793:R811)</f>
        <v>104.75</v>
      </c>
      <c r="U794" s="515">
        <f t="shared" si="861"/>
        <v>33.41288782816229</v>
      </c>
      <c r="V794" s="470">
        <f>U794</f>
        <v>33.41288782816229</v>
      </c>
      <c r="W794" s="515" t="s">
        <v>72</v>
      </c>
      <c r="X794" s="515">
        <f t="shared" si="819"/>
        <v>2.3389021479713605</v>
      </c>
      <c r="Y794" s="470" t="s">
        <v>1666</v>
      </c>
      <c r="Z794" s="220" t="str">
        <f t="shared" ref="Z794:AH794" si="863">Y794</f>
        <v>*</v>
      </c>
      <c r="AA794" s="792" t="str">
        <f t="shared" si="863"/>
        <v>*</v>
      </c>
      <c r="AB794" s="458" t="str">
        <f t="shared" si="863"/>
        <v>*</v>
      </c>
      <c r="AC794" s="497" t="str">
        <f t="shared" si="863"/>
        <v>*</v>
      </c>
      <c r="AD794" s="497" t="str">
        <f t="shared" si="863"/>
        <v>*</v>
      </c>
      <c r="AE794" s="454" t="str">
        <f t="shared" si="863"/>
        <v>*</v>
      </c>
      <c r="AF794" s="454" t="str">
        <f t="shared" si="863"/>
        <v>*</v>
      </c>
      <c r="AG794" s="454" t="str">
        <f t="shared" si="863"/>
        <v>*</v>
      </c>
      <c r="AH794" s="454" t="str">
        <f t="shared" si="863"/>
        <v>*</v>
      </c>
    </row>
    <row r="795" spans="1:34" ht="12.75">
      <c r="A795" s="14" t="s">
        <v>4181</v>
      </c>
      <c r="B795" s="24" t="s">
        <v>2668</v>
      </c>
      <c r="C795" s="14" t="s">
        <v>2698</v>
      </c>
      <c r="D795" s="14" t="s">
        <v>2911</v>
      </c>
      <c r="E795" s="14" t="s">
        <v>4182</v>
      </c>
      <c r="F795" s="13">
        <v>69.61</v>
      </c>
      <c r="G795" s="14" t="s">
        <v>3704</v>
      </c>
      <c r="H795" s="567">
        <v>18258</v>
      </c>
      <c r="I795" s="655" t="s">
        <v>4207</v>
      </c>
      <c r="J795" s="14" t="s">
        <v>4208</v>
      </c>
      <c r="K795" s="478">
        <v>7.0000000000000007E-2</v>
      </c>
      <c r="L795" s="220">
        <v>6.7</v>
      </c>
      <c r="M795" s="568" t="s">
        <v>4209</v>
      </c>
      <c r="N795" s="568"/>
      <c r="O795" s="569" t="s">
        <v>2976</v>
      </c>
      <c r="P795" s="14" t="s">
        <v>86</v>
      </c>
      <c r="Q795" s="14" t="s">
        <v>3442</v>
      </c>
      <c r="R795" s="14">
        <v>2</v>
      </c>
      <c r="S795" s="14">
        <f t="shared" si="817"/>
        <v>0.13400000000000001</v>
      </c>
      <c r="T795" s="487">
        <f>SUM(R793:R811)</f>
        <v>104.75</v>
      </c>
      <c r="U795">
        <f t="shared" si="861"/>
        <v>1.909307875894988</v>
      </c>
      <c r="V795" s="220">
        <f>U795*100/SUM(U793,U795:U811)</f>
        <v>2.8673835125448033</v>
      </c>
      <c r="W795" s="14" t="s">
        <v>86</v>
      </c>
      <c r="X795">
        <f t="shared" si="819"/>
        <v>0.20071684587813624</v>
      </c>
      <c r="Y795" s="220" t="s">
        <v>1666</v>
      </c>
      <c r="Z795" s="220" t="str">
        <f t="shared" ref="Z795:AH795" si="864">Y795</f>
        <v>*</v>
      </c>
      <c r="AA795" s="792" t="str">
        <f t="shared" si="864"/>
        <v>*</v>
      </c>
      <c r="AB795" s="458" t="str">
        <f t="shared" si="864"/>
        <v>*</v>
      </c>
      <c r="AC795" s="497" t="str">
        <f t="shared" si="864"/>
        <v>*</v>
      </c>
      <c r="AD795" s="497" t="str">
        <f t="shared" si="864"/>
        <v>*</v>
      </c>
      <c r="AE795" s="454" t="str">
        <f t="shared" si="864"/>
        <v>*</v>
      </c>
      <c r="AF795" s="454" t="str">
        <f t="shared" si="864"/>
        <v>*</v>
      </c>
      <c r="AG795" s="454" t="str">
        <f t="shared" si="864"/>
        <v>*</v>
      </c>
      <c r="AH795" s="454" t="str">
        <f t="shared" si="864"/>
        <v>*</v>
      </c>
    </row>
    <row r="796" spans="1:34" ht="12.75">
      <c r="A796" s="14" t="s">
        <v>4181</v>
      </c>
      <c r="B796" s="24" t="s">
        <v>2668</v>
      </c>
      <c r="C796" s="14" t="s">
        <v>2698</v>
      </c>
      <c r="D796" s="14" t="s">
        <v>2911</v>
      </c>
      <c r="E796" s="14" t="s">
        <v>4182</v>
      </c>
      <c r="F796" s="13">
        <v>69.61</v>
      </c>
      <c r="G796" s="14" t="s">
        <v>3704</v>
      </c>
      <c r="H796" s="567">
        <v>18258</v>
      </c>
      <c r="I796" s="655" t="s">
        <v>4207</v>
      </c>
      <c r="J796" s="14" t="s">
        <v>4208</v>
      </c>
      <c r="K796" s="478">
        <v>7.0000000000000007E-2</v>
      </c>
      <c r="L796" s="220">
        <v>6.7</v>
      </c>
      <c r="M796" s="568" t="s">
        <v>4209</v>
      </c>
      <c r="N796" s="568"/>
      <c r="O796" s="569" t="s">
        <v>2976</v>
      </c>
      <c r="P796" s="14" t="s">
        <v>3865</v>
      </c>
      <c r="Q796" s="553" t="s">
        <v>4094</v>
      </c>
      <c r="R796" s="14">
        <v>2</v>
      </c>
      <c r="S796" s="14">
        <f t="shared" si="817"/>
        <v>0.13400000000000001</v>
      </c>
      <c r="T796" s="487">
        <f>SUM(R793:R811)</f>
        <v>104.75</v>
      </c>
      <c r="U796">
        <f t="shared" si="861"/>
        <v>1.909307875894988</v>
      </c>
      <c r="V796" s="220">
        <f>U796*100/SUM(U793,U795:U811)</f>
        <v>2.8673835125448033</v>
      </c>
      <c r="W796" s="14" t="s">
        <v>1165</v>
      </c>
      <c r="X796">
        <f t="shared" si="819"/>
        <v>0.20071684587813624</v>
      </c>
      <c r="Y796" s="220" t="s">
        <v>1666</v>
      </c>
      <c r="Z796" s="220" t="str">
        <f t="shared" ref="Z796:AH796" si="865">Y796</f>
        <v>*</v>
      </c>
      <c r="AA796" s="792" t="str">
        <f t="shared" si="865"/>
        <v>*</v>
      </c>
      <c r="AB796" s="458" t="str">
        <f t="shared" si="865"/>
        <v>*</v>
      </c>
      <c r="AC796" s="497" t="str">
        <f t="shared" si="865"/>
        <v>*</v>
      </c>
      <c r="AD796" s="497" t="str">
        <f t="shared" si="865"/>
        <v>*</v>
      </c>
      <c r="AE796" s="454" t="str">
        <f t="shared" si="865"/>
        <v>*</v>
      </c>
      <c r="AF796" s="454" t="str">
        <f t="shared" si="865"/>
        <v>*</v>
      </c>
      <c r="AG796" s="454" t="str">
        <f t="shared" si="865"/>
        <v>*</v>
      </c>
      <c r="AH796" s="454" t="str">
        <f t="shared" si="865"/>
        <v>*</v>
      </c>
    </row>
    <row r="797" spans="1:34" ht="12.75">
      <c r="A797" s="14" t="s">
        <v>4181</v>
      </c>
      <c r="B797" s="24" t="s">
        <v>2668</v>
      </c>
      <c r="C797" s="14" t="s">
        <v>2698</v>
      </c>
      <c r="D797" s="14" t="s">
        <v>2911</v>
      </c>
      <c r="E797" s="14" t="s">
        <v>4182</v>
      </c>
      <c r="F797" s="13">
        <v>69.61</v>
      </c>
      <c r="G797" s="14" t="s">
        <v>3704</v>
      </c>
      <c r="H797" s="567">
        <v>18258</v>
      </c>
      <c r="I797" s="655" t="s">
        <v>4207</v>
      </c>
      <c r="J797" s="14" t="s">
        <v>4208</v>
      </c>
      <c r="K797" s="478">
        <v>7.0000000000000007E-2</v>
      </c>
      <c r="L797" s="220">
        <v>6.7</v>
      </c>
      <c r="M797" s="568" t="s">
        <v>4209</v>
      </c>
      <c r="N797" s="568"/>
      <c r="O797" s="569" t="s">
        <v>2976</v>
      </c>
      <c r="P797" s="14" t="s">
        <v>430</v>
      </c>
      <c r="Q797" s="527" t="s">
        <v>4086</v>
      </c>
      <c r="R797" s="14">
        <v>2</v>
      </c>
      <c r="S797" s="14">
        <f t="shared" si="817"/>
        <v>0.13400000000000001</v>
      </c>
      <c r="T797" s="487">
        <f>SUM(R793:R811)</f>
        <v>104.75</v>
      </c>
      <c r="U797">
        <f t="shared" si="861"/>
        <v>1.909307875894988</v>
      </c>
      <c r="V797" s="220">
        <f>U797*100/SUM(U793,U795:U811)</f>
        <v>2.8673835125448033</v>
      </c>
      <c r="W797" s="14" t="s">
        <v>430</v>
      </c>
      <c r="X797">
        <f t="shared" si="819"/>
        <v>0.20071684587813624</v>
      </c>
      <c r="Y797" s="220" t="s">
        <v>1666</v>
      </c>
      <c r="Z797" s="220" t="str">
        <f t="shared" ref="Z797:AH797" si="866">Y797</f>
        <v>*</v>
      </c>
      <c r="AA797" s="792" t="str">
        <f t="shared" si="866"/>
        <v>*</v>
      </c>
      <c r="AB797" s="458" t="str">
        <f t="shared" si="866"/>
        <v>*</v>
      </c>
      <c r="AC797" s="497" t="str">
        <f t="shared" si="866"/>
        <v>*</v>
      </c>
      <c r="AD797" s="497" t="str">
        <f t="shared" si="866"/>
        <v>*</v>
      </c>
      <c r="AE797" s="454" t="str">
        <f t="shared" si="866"/>
        <v>*</v>
      </c>
      <c r="AF797" s="454" t="str">
        <f t="shared" si="866"/>
        <v>*</v>
      </c>
      <c r="AG797" s="454" t="str">
        <f t="shared" si="866"/>
        <v>*</v>
      </c>
      <c r="AH797" s="454" t="str">
        <f t="shared" si="866"/>
        <v>*</v>
      </c>
    </row>
    <row r="798" spans="1:34" ht="12.75">
      <c r="A798" s="14" t="s">
        <v>4181</v>
      </c>
      <c r="B798" s="24" t="s">
        <v>2668</v>
      </c>
      <c r="C798" s="14" t="s">
        <v>2698</v>
      </c>
      <c r="D798" s="14" t="s">
        <v>2911</v>
      </c>
      <c r="E798" s="14" t="s">
        <v>4182</v>
      </c>
      <c r="F798" s="13">
        <v>69.61</v>
      </c>
      <c r="G798" s="14" t="s">
        <v>3704</v>
      </c>
      <c r="H798" s="567">
        <v>18258</v>
      </c>
      <c r="I798" s="655" t="s">
        <v>4207</v>
      </c>
      <c r="J798" s="14" t="s">
        <v>4208</v>
      </c>
      <c r="K798" s="478">
        <v>7.0000000000000007E-2</v>
      </c>
      <c r="L798" s="220">
        <v>6.7</v>
      </c>
      <c r="M798" s="568" t="s">
        <v>4209</v>
      </c>
      <c r="N798" s="568"/>
      <c r="O798" s="569" t="s">
        <v>2976</v>
      </c>
      <c r="P798" s="14" t="s">
        <v>4210</v>
      </c>
      <c r="Q798" s="14" t="s">
        <v>4211</v>
      </c>
      <c r="R798" s="14">
        <v>2</v>
      </c>
      <c r="S798" s="14">
        <f t="shared" si="817"/>
        <v>0.13400000000000001</v>
      </c>
      <c r="T798" s="487">
        <f>SUM(R793:R811)</f>
        <v>104.75</v>
      </c>
      <c r="U798">
        <f t="shared" si="861"/>
        <v>1.909307875894988</v>
      </c>
      <c r="V798" s="220">
        <f>U798*100/SUM(U793,U795:U811)</f>
        <v>2.8673835125448033</v>
      </c>
      <c r="W798" s="14" t="s">
        <v>4212</v>
      </c>
      <c r="X798">
        <f t="shared" si="819"/>
        <v>0.20071684587813624</v>
      </c>
      <c r="Y798" s="220" t="s">
        <v>1666</v>
      </c>
      <c r="Z798" s="220" t="str">
        <f t="shared" ref="Z798:AH798" si="867">Y798</f>
        <v>*</v>
      </c>
      <c r="AA798" s="792" t="str">
        <f t="shared" si="867"/>
        <v>*</v>
      </c>
      <c r="AB798" s="458" t="str">
        <f t="shared" si="867"/>
        <v>*</v>
      </c>
      <c r="AC798" s="497" t="str">
        <f t="shared" si="867"/>
        <v>*</v>
      </c>
      <c r="AD798" s="497" t="str">
        <f t="shared" si="867"/>
        <v>*</v>
      </c>
      <c r="AE798" s="454" t="str">
        <f t="shared" si="867"/>
        <v>*</v>
      </c>
      <c r="AF798" s="454" t="str">
        <f t="shared" si="867"/>
        <v>*</v>
      </c>
      <c r="AG798" s="454" t="str">
        <f t="shared" si="867"/>
        <v>*</v>
      </c>
      <c r="AH798" s="454" t="str">
        <f t="shared" si="867"/>
        <v>*</v>
      </c>
    </row>
    <row r="799" spans="1:34" ht="12.75">
      <c r="A799" s="14" t="s">
        <v>4181</v>
      </c>
      <c r="B799" s="24" t="s">
        <v>2668</v>
      </c>
      <c r="C799" s="14" t="s">
        <v>2698</v>
      </c>
      <c r="D799" s="14" t="s">
        <v>2911</v>
      </c>
      <c r="E799" s="14" t="s">
        <v>4182</v>
      </c>
      <c r="F799" s="13">
        <v>69.61</v>
      </c>
      <c r="G799" s="14" t="s">
        <v>3704</v>
      </c>
      <c r="H799" s="567">
        <v>18258</v>
      </c>
      <c r="I799" s="655" t="s">
        <v>4207</v>
      </c>
      <c r="J799" s="14" t="s">
        <v>4208</v>
      </c>
      <c r="K799" s="478">
        <v>7.0000000000000007E-2</v>
      </c>
      <c r="L799" s="220">
        <v>6.7</v>
      </c>
      <c r="M799" s="568" t="s">
        <v>4209</v>
      </c>
      <c r="N799" s="568"/>
      <c r="O799" s="569" t="s">
        <v>2976</v>
      </c>
      <c r="P799" s="655" t="s">
        <v>3995</v>
      </c>
      <c r="Q799" s="486" t="s">
        <v>3996</v>
      </c>
      <c r="R799" s="14">
        <v>2</v>
      </c>
      <c r="S799" s="14">
        <f t="shared" si="817"/>
        <v>0.13400000000000001</v>
      </c>
      <c r="T799" s="487">
        <f>SUM(R793:R811)</f>
        <v>104.75</v>
      </c>
      <c r="U799">
        <f t="shared" si="861"/>
        <v>1.909307875894988</v>
      </c>
      <c r="V799" s="220">
        <f>U799*100/SUM(U793,U795:U811)</f>
        <v>2.8673835125448033</v>
      </c>
      <c r="W799" s="14" t="s">
        <v>4213</v>
      </c>
      <c r="X799">
        <f t="shared" si="819"/>
        <v>0.20071684587813624</v>
      </c>
      <c r="Y799" s="220" t="s">
        <v>1666</v>
      </c>
      <c r="Z799" s="220" t="str">
        <f t="shared" ref="Z799:AH799" si="868">Y799</f>
        <v>*</v>
      </c>
      <c r="AA799" s="792" t="str">
        <f t="shared" si="868"/>
        <v>*</v>
      </c>
      <c r="AB799" s="458" t="str">
        <f t="shared" si="868"/>
        <v>*</v>
      </c>
      <c r="AC799" s="497" t="str">
        <f t="shared" si="868"/>
        <v>*</v>
      </c>
      <c r="AD799" s="497" t="str">
        <f t="shared" si="868"/>
        <v>*</v>
      </c>
      <c r="AE799" s="454" t="str">
        <f t="shared" si="868"/>
        <v>*</v>
      </c>
      <c r="AF799" s="454" t="str">
        <f t="shared" si="868"/>
        <v>*</v>
      </c>
      <c r="AG799" s="454" t="str">
        <f t="shared" si="868"/>
        <v>*</v>
      </c>
      <c r="AH799" s="454" t="str">
        <f t="shared" si="868"/>
        <v>*</v>
      </c>
    </row>
    <row r="800" spans="1:34" ht="12.75">
      <c r="A800" s="14" t="s">
        <v>4181</v>
      </c>
      <c r="B800" s="24" t="s">
        <v>2668</v>
      </c>
      <c r="C800" s="14" t="s">
        <v>2698</v>
      </c>
      <c r="D800" s="14" t="s">
        <v>2911</v>
      </c>
      <c r="E800" s="14" t="s">
        <v>4182</v>
      </c>
      <c r="F800" s="13">
        <v>69.61</v>
      </c>
      <c r="G800" s="14" t="s">
        <v>3704</v>
      </c>
      <c r="H800" s="567">
        <v>18258</v>
      </c>
      <c r="I800" s="655" t="s">
        <v>4207</v>
      </c>
      <c r="J800" s="14" t="s">
        <v>4208</v>
      </c>
      <c r="K800" s="478">
        <v>7.0000000000000007E-2</v>
      </c>
      <c r="L800" s="220">
        <v>6.7</v>
      </c>
      <c r="M800" s="568" t="s">
        <v>4209</v>
      </c>
      <c r="N800" s="568"/>
      <c r="O800" s="569" t="s">
        <v>2976</v>
      </c>
      <c r="P800" s="14" t="s">
        <v>83</v>
      </c>
      <c r="Q800" s="527" t="s">
        <v>3430</v>
      </c>
      <c r="R800" s="14">
        <v>1</v>
      </c>
      <c r="S800" s="14">
        <f t="shared" si="817"/>
        <v>6.7000000000000004E-2</v>
      </c>
      <c r="T800" s="487">
        <f>SUM(R793:R811)</f>
        <v>104.75</v>
      </c>
      <c r="U800">
        <f t="shared" si="861"/>
        <v>0.95465393794749398</v>
      </c>
      <c r="V800" s="220">
        <f>U800*100/SUM(U793,U795:U811)</f>
        <v>1.4336917562724016</v>
      </c>
      <c r="W800" s="14" t="s">
        <v>83</v>
      </c>
      <c r="X800">
        <f t="shared" si="819"/>
        <v>0.10035842293906812</v>
      </c>
      <c r="Y800" s="499">
        <f>SUM(X800,X820)</f>
        <v>0.560128537881597</v>
      </c>
      <c r="Z800" s="220">
        <f t="shared" ref="Z800:AA800" si="869">Y800</f>
        <v>0.560128537881597</v>
      </c>
      <c r="AA800" s="792">
        <f t="shared" si="869"/>
        <v>0.560128537881597</v>
      </c>
      <c r="AB800" s="18" t="s">
        <v>83</v>
      </c>
      <c r="AC800" s="14" t="s">
        <v>83</v>
      </c>
      <c r="AD800" s="14" t="s">
        <v>2951</v>
      </c>
      <c r="AE800" s="12">
        <v>0</v>
      </c>
      <c r="AF800" s="12">
        <v>0</v>
      </c>
      <c r="AG800" s="12">
        <v>0</v>
      </c>
      <c r="AH800" s="12">
        <v>0</v>
      </c>
    </row>
    <row r="801" spans="1:34" ht="12.75">
      <c r="A801" s="14" t="s">
        <v>4181</v>
      </c>
      <c r="B801" s="24" t="s">
        <v>2668</v>
      </c>
      <c r="C801" s="14" t="s">
        <v>2698</v>
      </c>
      <c r="D801" s="14" t="s">
        <v>2911</v>
      </c>
      <c r="E801" s="14" t="s">
        <v>4182</v>
      </c>
      <c r="F801" s="13">
        <v>69.61</v>
      </c>
      <c r="G801" s="14" t="s">
        <v>3704</v>
      </c>
      <c r="H801" s="567">
        <v>18258</v>
      </c>
      <c r="I801" s="655" t="s">
        <v>4207</v>
      </c>
      <c r="J801" s="14" t="s">
        <v>4208</v>
      </c>
      <c r="K801" s="478">
        <v>7.0000000000000007E-2</v>
      </c>
      <c r="L801" s="220">
        <v>6.7</v>
      </c>
      <c r="M801" s="568" t="s">
        <v>4209</v>
      </c>
      <c r="N801" s="568"/>
      <c r="O801" s="569" t="s">
        <v>2976</v>
      </c>
      <c r="P801" s="655" t="s">
        <v>3978</v>
      </c>
      <c r="Q801" s="486" t="s">
        <v>3979</v>
      </c>
      <c r="R801" s="14">
        <v>2</v>
      </c>
      <c r="S801" s="14">
        <f t="shared" si="817"/>
        <v>0.13400000000000001</v>
      </c>
      <c r="T801" s="487">
        <f>SUM(R793:R811)</f>
        <v>104.75</v>
      </c>
      <c r="U801">
        <f t="shared" si="861"/>
        <v>1.909307875894988</v>
      </c>
      <c r="V801" s="220">
        <f>U801*100/SUM(U793,U795:U811)</f>
        <v>2.8673835125448033</v>
      </c>
      <c r="W801" s="14" t="s">
        <v>1164</v>
      </c>
      <c r="X801">
        <f t="shared" si="819"/>
        <v>0.20071684587813624</v>
      </c>
      <c r="Y801" s="220" t="s">
        <v>1666</v>
      </c>
      <c r="Z801" s="220" t="str">
        <f t="shared" ref="Z801:AH801" si="870">Y801</f>
        <v>*</v>
      </c>
      <c r="AA801" s="792" t="str">
        <f t="shared" si="870"/>
        <v>*</v>
      </c>
      <c r="AB801" s="458" t="str">
        <f t="shared" si="870"/>
        <v>*</v>
      </c>
      <c r="AC801" s="497" t="str">
        <f t="shared" si="870"/>
        <v>*</v>
      </c>
      <c r="AD801" s="497" t="str">
        <f t="shared" si="870"/>
        <v>*</v>
      </c>
      <c r="AE801" s="454" t="str">
        <f t="shared" si="870"/>
        <v>*</v>
      </c>
      <c r="AF801" s="454" t="str">
        <f t="shared" si="870"/>
        <v>*</v>
      </c>
      <c r="AG801" s="454" t="str">
        <f t="shared" si="870"/>
        <v>*</v>
      </c>
      <c r="AH801" s="454" t="str">
        <f t="shared" si="870"/>
        <v>*</v>
      </c>
    </row>
    <row r="802" spans="1:34" ht="12.75">
      <c r="A802" s="14" t="s">
        <v>4181</v>
      </c>
      <c r="B802" s="24" t="s">
        <v>2668</v>
      </c>
      <c r="C802" s="14" t="s">
        <v>2698</v>
      </c>
      <c r="D802" s="14" t="s">
        <v>2911</v>
      </c>
      <c r="E802" s="14" t="s">
        <v>4182</v>
      </c>
      <c r="F802" s="13">
        <v>69.61</v>
      </c>
      <c r="G802" s="14" t="s">
        <v>3704</v>
      </c>
      <c r="H802" s="567">
        <v>18258</v>
      </c>
      <c r="I802" s="655" t="s">
        <v>4207</v>
      </c>
      <c r="J802" s="14" t="s">
        <v>4208</v>
      </c>
      <c r="K802" s="478">
        <v>7.0000000000000007E-2</v>
      </c>
      <c r="L802" s="220">
        <v>6.7</v>
      </c>
      <c r="M802" s="568" t="s">
        <v>4209</v>
      </c>
      <c r="N802" s="568"/>
      <c r="O802" s="569" t="s">
        <v>2976</v>
      </c>
      <c r="P802" s="14" t="s">
        <v>85</v>
      </c>
      <c r="Q802" s="10" t="s">
        <v>3171</v>
      </c>
      <c r="R802" s="14">
        <v>1</v>
      </c>
      <c r="S802" s="14">
        <f t="shared" si="817"/>
        <v>6.7000000000000004E-2</v>
      </c>
      <c r="T802" s="487">
        <f>SUM(R793:R811)</f>
        <v>104.75</v>
      </c>
      <c r="U802">
        <f t="shared" si="861"/>
        <v>0.95465393794749398</v>
      </c>
      <c r="V802" s="220">
        <f>U802*100/SUM(U793,U795:U811)</f>
        <v>1.4336917562724016</v>
      </c>
      <c r="W802" s="14" t="s">
        <v>85</v>
      </c>
      <c r="X802">
        <f t="shared" si="819"/>
        <v>0.10035842293906812</v>
      </c>
      <c r="Y802" s="499">
        <f>SUM(X802,X827)</f>
        <v>0.33024348041033258</v>
      </c>
      <c r="Z802" s="220">
        <f t="shared" ref="Z802:AA802" si="871">Y802</f>
        <v>0.33024348041033258</v>
      </c>
      <c r="AA802" s="792">
        <f t="shared" si="871"/>
        <v>0.33024348041033258</v>
      </c>
      <c r="AB802" s="18" t="s">
        <v>85</v>
      </c>
      <c r="AC802" s="14" t="s">
        <v>18</v>
      </c>
      <c r="AD802" s="14" t="s">
        <v>3144</v>
      </c>
      <c r="AE802" s="12">
        <v>2.0262392565709405E-4</v>
      </c>
      <c r="AF802" s="12">
        <v>1.0885928720785719E-2</v>
      </c>
      <c r="AG802" s="12">
        <v>6.2837933649623454E-6</v>
      </c>
      <c r="AH802" s="12">
        <v>4.6142098112569087E-5</v>
      </c>
    </row>
    <row r="803" spans="1:34" ht="12.75">
      <c r="A803" s="14" t="s">
        <v>4181</v>
      </c>
      <c r="B803" s="24" t="s">
        <v>2668</v>
      </c>
      <c r="C803" s="14" t="s">
        <v>2698</v>
      </c>
      <c r="D803" s="14" t="s">
        <v>2911</v>
      </c>
      <c r="E803" s="14" t="s">
        <v>4182</v>
      </c>
      <c r="F803" s="13">
        <v>69.61</v>
      </c>
      <c r="G803" s="14" t="s">
        <v>3704</v>
      </c>
      <c r="H803" s="567">
        <v>18258</v>
      </c>
      <c r="I803" s="655" t="s">
        <v>4207</v>
      </c>
      <c r="J803" s="14" t="s">
        <v>4208</v>
      </c>
      <c r="K803" s="478">
        <v>7.0000000000000007E-2</v>
      </c>
      <c r="L803" s="220">
        <v>6.7</v>
      </c>
      <c r="M803" s="568" t="s">
        <v>4209</v>
      </c>
      <c r="N803" s="568"/>
      <c r="O803" s="569" t="s">
        <v>2976</v>
      </c>
      <c r="P803" s="14" t="s">
        <v>3021</v>
      </c>
      <c r="Q803" s="486" t="s">
        <v>3022</v>
      </c>
      <c r="R803" s="14">
        <v>0.5</v>
      </c>
      <c r="S803" s="14">
        <f t="shared" si="817"/>
        <v>3.3500000000000002E-2</v>
      </c>
      <c r="T803" s="487">
        <f>SUM(R793:R811)</f>
        <v>104.75</v>
      </c>
      <c r="U803">
        <f t="shared" si="861"/>
        <v>0.47732696897374699</v>
      </c>
      <c r="V803" s="220">
        <f>U803*100/SUM(U793,U795:U811)</f>
        <v>0.71684587813620082</v>
      </c>
      <c r="W803" s="14" t="s">
        <v>346</v>
      </c>
      <c r="X803">
        <f t="shared" si="819"/>
        <v>5.0179211469534059E-2</v>
      </c>
      <c r="Y803" s="220" t="s">
        <v>1666</v>
      </c>
      <c r="Z803" s="220" t="str">
        <f t="shared" ref="Z803:AH803" si="872">Y803</f>
        <v>*</v>
      </c>
      <c r="AA803" s="792" t="str">
        <f t="shared" si="872"/>
        <v>*</v>
      </c>
      <c r="AB803" s="458" t="str">
        <f t="shared" si="872"/>
        <v>*</v>
      </c>
      <c r="AC803" s="497" t="str">
        <f t="shared" si="872"/>
        <v>*</v>
      </c>
      <c r="AD803" s="497" t="str">
        <f t="shared" si="872"/>
        <v>*</v>
      </c>
      <c r="AE803" s="454" t="str">
        <f t="shared" si="872"/>
        <v>*</v>
      </c>
      <c r="AF803" s="454" t="str">
        <f t="shared" si="872"/>
        <v>*</v>
      </c>
      <c r="AG803" s="454" t="str">
        <f t="shared" si="872"/>
        <v>*</v>
      </c>
      <c r="AH803" s="454" t="str">
        <f t="shared" si="872"/>
        <v>*</v>
      </c>
    </row>
    <row r="804" spans="1:34" ht="12.75">
      <c r="A804" s="14" t="s">
        <v>4181</v>
      </c>
      <c r="B804" s="24" t="s">
        <v>2668</v>
      </c>
      <c r="C804" s="14" t="s">
        <v>2698</v>
      </c>
      <c r="D804" s="14" t="s">
        <v>2911</v>
      </c>
      <c r="E804" s="14" t="s">
        <v>4182</v>
      </c>
      <c r="F804" s="13">
        <v>69.61</v>
      </c>
      <c r="G804" s="14" t="s">
        <v>3704</v>
      </c>
      <c r="H804" s="567">
        <v>18258</v>
      </c>
      <c r="I804" s="655" t="s">
        <v>4207</v>
      </c>
      <c r="J804" s="14" t="s">
        <v>4208</v>
      </c>
      <c r="K804" s="478">
        <v>7.0000000000000007E-2</v>
      </c>
      <c r="L804" s="220">
        <v>6.7</v>
      </c>
      <c r="M804" s="568" t="s">
        <v>4209</v>
      </c>
      <c r="N804" s="568"/>
      <c r="O804" s="569" t="s">
        <v>2976</v>
      </c>
      <c r="P804" s="655" t="s">
        <v>3005</v>
      </c>
      <c r="Q804" s="486" t="s">
        <v>3006</v>
      </c>
      <c r="R804" s="14">
        <v>0.5</v>
      </c>
      <c r="S804" s="14">
        <f t="shared" si="817"/>
        <v>3.3500000000000002E-2</v>
      </c>
      <c r="T804" s="487">
        <f>SUM(R793:R811)</f>
        <v>104.75</v>
      </c>
      <c r="U804">
        <f t="shared" si="861"/>
        <v>0.47732696897374699</v>
      </c>
      <c r="V804" s="220">
        <f>U804*100/SUM(U793,U795:U811)</f>
        <v>0.71684587813620082</v>
      </c>
      <c r="W804" s="14" t="s">
        <v>2779</v>
      </c>
      <c r="X804">
        <f t="shared" si="819"/>
        <v>5.0179211469534059E-2</v>
      </c>
      <c r="Y804" s="220" t="s">
        <v>1666</v>
      </c>
      <c r="Z804" s="220" t="str">
        <f t="shared" ref="Z804:AH804" si="873">Y804</f>
        <v>*</v>
      </c>
      <c r="AA804" s="792" t="str">
        <f t="shared" si="873"/>
        <v>*</v>
      </c>
      <c r="AB804" s="458" t="str">
        <f t="shared" si="873"/>
        <v>*</v>
      </c>
      <c r="AC804" s="497" t="str">
        <f t="shared" si="873"/>
        <v>*</v>
      </c>
      <c r="AD804" s="497" t="str">
        <f t="shared" si="873"/>
        <v>*</v>
      </c>
      <c r="AE804" s="454" t="str">
        <f t="shared" si="873"/>
        <v>*</v>
      </c>
      <c r="AF804" s="454" t="str">
        <f t="shared" si="873"/>
        <v>*</v>
      </c>
      <c r="AG804" s="454" t="str">
        <f t="shared" si="873"/>
        <v>*</v>
      </c>
      <c r="AH804" s="454" t="str">
        <f t="shared" si="873"/>
        <v>*</v>
      </c>
    </row>
    <row r="805" spans="1:34" ht="12.75">
      <c r="A805" s="14" t="s">
        <v>4181</v>
      </c>
      <c r="B805" s="24" t="s">
        <v>2668</v>
      </c>
      <c r="C805" s="14" t="s">
        <v>2698</v>
      </c>
      <c r="D805" s="14" t="s">
        <v>2911</v>
      </c>
      <c r="E805" s="14" t="s">
        <v>4182</v>
      </c>
      <c r="F805" s="13">
        <v>69.61</v>
      </c>
      <c r="G805" s="14" t="s">
        <v>3704</v>
      </c>
      <c r="H805" s="567">
        <v>18258</v>
      </c>
      <c r="I805" s="655" t="s">
        <v>4207</v>
      </c>
      <c r="J805" s="14" t="s">
        <v>4208</v>
      </c>
      <c r="K805" s="478">
        <v>7.0000000000000007E-2</v>
      </c>
      <c r="L805" s="220">
        <v>6.7</v>
      </c>
      <c r="M805" s="568" t="s">
        <v>4209</v>
      </c>
      <c r="N805" s="568"/>
      <c r="O805" s="569" t="s">
        <v>2976</v>
      </c>
      <c r="P805" s="655" t="s">
        <v>2977</v>
      </c>
      <c r="Q805" s="527" t="s">
        <v>2978</v>
      </c>
      <c r="R805" s="14">
        <v>0.5</v>
      </c>
      <c r="S805" s="14">
        <f t="shared" si="817"/>
        <v>3.3500000000000002E-2</v>
      </c>
      <c r="T805" s="487">
        <f>SUM(R793:R811)</f>
        <v>104.75</v>
      </c>
      <c r="U805">
        <f t="shared" si="861"/>
        <v>0.47732696897374699</v>
      </c>
      <c r="V805" s="220">
        <f>U805*100/SUM(U793,U795:U811)</f>
        <v>0.71684587813620082</v>
      </c>
      <c r="W805" s="14" t="s">
        <v>227</v>
      </c>
      <c r="X805">
        <f t="shared" si="819"/>
        <v>5.0179211469534059E-2</v>
      </c>
      <c r="Y805" s="220" t="s">
        <v>1666</v>
      </c>
      <c r="Z805" s="220" t="str">
        <f t="shared" ref="Z805:AH805" si="874">Y805</f>
        <v>*</v>
      </c>
      <c r="AA805" s="792" t="str">
        <f t="shared" si="874"/>
        <v>*</v>
      </c>
      <c r="AB805" s="458" t="str">
        <f t="shared" si="874"/>
        <v>*</v>
      </c>
      <c r="AC805" s="497" t="str">
        <f t="shared" si="874"/>
        <v>*</v>
      </c>
      <c r="AD805" s="497" t="str">
        <f t="shared" si="874"/>
        <v>*</v>
      </c>
      <c r="AE805" s="454" t="str">
        <f t="shared" si="874"/>
        <v>*</v>
      </c>
      <c r="AF805" s="454" t="str">
        <f t="shared" si="874"/>
        <v>*</v>
      </c>
      <c r="AG805" s="454" t="str">
        <f t="shared" si="874"/>
        <v>*</v>
      </c>
      <c r="AH805" s="454" t="str">
        <f t="shared" si="874"/>
        <v>*</v>
      </c>
    </row>
    <row r="806" spans="1:34" ht="12.75">
      <c r="A806" s="14" t="s">
        <v>4181</v>
      </c>
      <c r="B806" s="24" t="s">
        <v>2668</v>
      </c>
      <c r="C806" s="14" t="s">
        <v>2698</v>
      </c>
      <c r="D806" s="14" t="s">
        <v>2911</v>
      </c>
      <c r="E806" s="14" t="s">
        <v>4182</v>
      </c>
      <c r="F806" s="13">
        <v>69.61</v>
      </c>
      <c r="G806" s="14" t="s">
        <v>3704</v>
      </c>
      <c r="H806" s="567">
        <v>18258</v>
      </c>
      <c r="I806" s="655" t="s">
        <v>4207</v>
      </c>
      <c r="J806" s="14" t="s">
        <v>4208</v>
      </c>
      <c r="K806" s="478">
        <v>7.0000000000000007E-2</v>
      </c>
      <c r="L806" s="220">
        <v>6.7</v>
      </c>
      <c r="M806" s="568" t="s">
        <v>4209</v>
      </c>
      <c r="N806" s="568"/>
      <c r="O806" s="569" t="s">
        <v>2976</v>
      </c>
      <c r="P806" s="14" t="s">
        <v>3041</v>
      </c>
      <c r="Q806" s="486" t="s">
        <v>3089</v>
      </c>
      <c r="R806" s="14">
        <v>0.5</v>
      </c>
      <c r="S806" s="14">
        <f t="shared" si="817"/>
        <v>3.3500000000000002E-2</v>
      </c>
      <c r="T806" s="487">
        <f>SUM(R793:R811)</f>
        <v>104.75</v>
      </c>
      <c r="U806">
        <f t="shared" si="861"/>
        <v>0.47732696897374699</v>
      </c>
      <c r="V806" s="220">
        <f>U806*100/SUM(U793,U795:U811)</f>
        <v>0.71684587813620082</v>
      </c>
      <c r="W806" s="14" t="s">
        <v>81</v>
      </c>
      <c r="X806">
        <f t="shared" si="819"/>
        <v>5.0179211469534059E-2</v>
      </c>
      <c r="Y806" s="220" t="s">
        <v>1666</v>
      </c>
      <c r="Z806" s="220" t="str">
        <f t="shared" ref="Z806:AH806" si="875">Y806</f>
        <v>*</v>
      </c>
      <c r="AA806" s="792" t="str">
        <f t="shared" si="875"/>
        <v>*</v>
      </c>
      <c r="AB806" s="458" t="str">
        <f t="shared" si="875"/>
        <v>*</v>
      </c>
      <c r="AC806" s="497" t="str">
        <f t="shared" si="875"/>
        <v>*</v>
      </c>
      <c r="AD806" s="497" t="str">
        <f t="shared" si="875"/>
        <v>*</v>
      </c>
      <c r="AE806" s="454" t="str">
        <f t="shared" si="875"/>
        <v>*</v>
      </c>
      <c r="AF806" s="454" t="str">
        <f t="shared" si="875"/>
        <v>*</v>
      </c>
      <c r="AG806" s="454" t="str">
        <f t="shared" si="875"/>
        <v>*</v>
      </c>
      <c r="AH806" s="454" t="str">
        <f t="shared" si="875"/>
        <v>*</v>
      </c>
    </row>
    <row r="807" spans="1:34" ht="12.75">
      <c r="A807" s="14" t="s">
        <v>4181</v>
      </c>
      <c r="B807" s="24" t="s">
        <v>2668</v>
      </c>
      <c r="C807" s="14" t="s">
        <v>2698</v>
      </c>
      <c r="D807" s="14" t="s">
        <v>2911</v>
      </c>
      <c r="E807" s="14" t="s">
        <v>4182</v>
      </c>
      <c r="F807" s="13">
        <v>69.61</v>
      </c>
      <c r="G807" s="14" t="s">
        <v>3704</v>
      </c>
      <c r="H807" s="567">
        <v>18258</v>
      </c>
      <c r="I807" s="655" t="s">
        <v>4207</v>
      </c>
      <c r="J807" s="14" t="s">
        <v>4208</v>
      </c>
      <c r="K807" s="478">
        <v>7.0000000000000007E-2</v>
      </c>
      <c r="L807" s="220">
        <v>6.7</v>
      </c>
      <c r="M807" s="568" t="s">
        <v>4209</v>
      </c>
      <c r="N807" s="568"/>
      <c r="O807" s="569" t="s">
        <v>2976</v>
      </c>
      <c r="P807" s="14" t="s">
        <v>432</v>
      </c>
      <c r="Q807" s="486" t="s">
        <v>3028</v>
      </c>
      <c r="R807" s="14">
        <v>0.75</v>
      </c>
      <c r="S807" s="14">
        <f t="shared" si="817"/>
        <v>5.0249999999999996E-2</v>
      </c>
      <c r="T807" s="487">
        <f>SUM(R793:R811)</f>
        <v>104.75</v>
      </c>
      <c r="U807">
        <f t="shared" si="861"/>
        <v>0.71599045346062051</v>
      </c>
      <c r="V807" s="220">
        <f>U807*100/SUM(U793,U795:U811)</f>
        <v>1.0752688172043012</v>
      </c>
      <c r="W807" s="14" t="s">
        <v>432</v>
      </c>
      <c r="X807">
        <f t="shared" si="819"/>
        <v>7.5268817204301092E-2</v>
      </c>
      <c r="Y807" s="220">
        <f t="shared" ref="Y807:AA807" si="876">X807</f>
        <v>7.5268817204301092E-2</v>
      </c>
      <c r="Z807" s="220">
        <f t="shared" si="876"/>
        <v>7.5268817204301092E-2</v>
      </c>
      <c r="AA807" s="792">
        <f t="shared" si="876"/>
        <v>7.5268817204301092E-2</v>
      </c>
      <c r="AB807" s="18" t="s">
        <v>432</v>
      </c>
      <c r="AC807" s="454" t="s">
        <v>4103</v>
      </c>
      <c r="AD807" s="13" t="s">
        <v>4104</v>
      </c>
      <c r="AE807" s="12">
        <v>2.2558902713754649E-4</v>
      </c>
      <c r="AF807" s="12">
        <v>9.3669250645994837E-3</v>
      </c>
      <c r="AG807" s="12">
        <v>3.8830162085976054E-4</v>
      </c>
      <c r="AH807" s="12">
        <v>3.0037166166469137E-4</v>
      </c>
    </row>
    <row r="808" spans="1:34" ht="12.75">
      <c r="A808" s="14" t="s">
        <v>4181</v>
      </c>
      <c r="B808" s="24" t="s">
        <v>2668</v>
      </c>
      <c r="C808" s="14" t="s">
        <v>2698</v>
      </c>
      <c r="D808" s="14" t="s">
        <v>2911</v>
      </c>
      <c r="E808" s="14" t="s">
        <v>4182</v>
      </c>
      <c r="F808" s="13">
        <v>69.61</v>
      </c>
      <c r="G808" s="14" t="s">
        <v>3704</v>
      </c>
      <c r="H808" s="567">
        <v>18258</v>
      </c>
      <c r="I808" s="655" t="s">
        <v>4207</v>
      </c>
      <c r="J808" s="14" t="s">
        <v>4208</v>
      </c>
      <c r="K808" s="478">
        <v>7.0000000000000007E-2</v>
      </c>
      <c r="L808" s="220">
        <v>6.7</v>
      </c>
      <c r="M808" s="568" t="s">
        <v>4209</v>
      </c>
      <c r="N808" s="568"/>
      <c r="O808" s="569" t="s">
        <v>2976</v>
      </c>
      <c r="P808" s="14" t="s">
        <v>3051</v>
      </c>
      <c r="Q808" s="486" t="s">
        <v>3084</v>
      </c>
      <c r="R808" s="14">
        <v>0.5</v>
      </c>
      <c r="S808" s="14">
        <f t="shared" si="817"/>
        <v>3.3500000000000002E-2</v>
      </c>
      <c r="T808" s="487">
        <f>SUM(R793:R811)</f>
        <v>104.75</v>
      </c>
      <c r="U808">
        <f t="shared" si="861"/>
        <v>0.47732696897374699</v>
      </c>
      <c r="V808" s="220">
        <f>U808*100/SUM(U793,U795:U811)</f>
        <v>0.71684587813620082</v>
      </c>
      <c r="W808" s="14" t="s">
        <v>134</v>
      </c>
      <c r="X808">
        <f t="shared" si="819"/>
        <v>5.0179211469534059E-2</v>
      </c>
      <c r="Y808" s="220" t="s">
        <v>1666</v>
      </c>
      <c r="Z808" s="220" t="str">
        <f t="shared" ref="Z808:AH808" si="877">Y808</f>
        <v>*</v>
      </c>
      <c r="AA808" s="792" t="str">
        <f t="shared" si="877"/>
        <v>*</v>
      </c>
      <c r="AB808" s="458" t="str">
        <f t="shared" si="877"/>
        <v>*</v>
      </c>
      <c r="AC808" s="497" t="str">
        <f t="shared" si="877"/>
        <v>*</v>
      </c>
      <c r="AD808" s="497" t="str">
        <f t="shared" si="877"/>
        <v>*</v>
      </c>
      <c r="AE808" s="454" t="str">
        <f t="shared" si="877"/>
        <v>*</v>
      </c>
      <c r="AF808" s="454" t="str">
        <f t="shared" si="877"/>
        <v>*</v>
      </c>
      <c r="AG808" s="454" t="str">
        <f t="shared" si="877"/>
        <v>*</v>
      </c>
      <c r="AH808" s="454" t="str">
        <f t="shared" si="877"/>
        <v>*</v>
      </c>
    </row>
    <row r="809" spans="1:34" ht="12.75">
      <c r="A809" s="14" t="s">
        <v>4181</v>
      </c>
      <c r="B809" s="24" t="s">
        <v>2668</v>
      </c>
      <c r="C809" s="14" t="s">
        <v>2698</v>
      </c>
      <c r="D809" s="14" t="s">
        <v>2911</v>
      </c>
      <c r="E809" s="14" t="s">
        <v>4182</v>
      </c>
      <c r="F809" s="13">
        <v>69.61</v>
      </c>
      <c r="G809" s="14" t="s">
        <v>3704</v>
      </c>
      <c r="H809" s="567">
        <v>18258</v>
      </c>
      <c r="I809" s="655" t="s">
        <v>4207</v>
      </c>
      <c r="J809" s="14" t="s">
        <v>4208</v>
      </c>
      <c r="K809" s="478">
        <v>7.0000000000000007E-2</v>
      </c>
      <c r="L809" s="220">
        <v>6.7</v>
      </c>
      <c r="M809" s="568" t="s">
        <v>4209</v>
      </c>
      <c r="N809" s="568"/>
      <c r="O809" s="569" t="s">
        <v>2976</v>
      </c>
      <c r="P809" s="14" t="s">
        <v>2948</v>
      </c>
      <c r="Q809" s="14" t="s">
        <v>2949</v>
      </c>
      <c r="R809" s="14">
        <v>0.25</v>
      </c>
      <c r="S809" s="14">
        <f t="shared" si="817"/>
        <v>1.6750000000000001E-2</v>
      </c>
      <c r="T809" s="487">
        <f>SUM(R793:R811)</f>
        <v>104.75</v>
      </c>
      <c r="U809">
        <f t="shared" si="861"/>
        <v>0.2386634844868735</v>
      </c>
      <c r="V809" s="220">
        <f>U809*100/SUM(U793,U795:U811)</f>
        <v>0.35842293906810041</v>
      </c>
      <c r="W809" s="14" t="s">
        <v>305</v>
      </c>
      <c r="X809">
        <f t="shared" si="819"/>
        <v>2.5089605734767029E-2</v>
      </c>
      <c r="Y809" s="220" t="s">
        <v>1666</v>
      </c>
      <c r="Z809" s="220" t="str">
        <f t="shared" ref="Z809:AH809" si="878">Y809</f>
        <v>*</v>
      </c>
      <c r="AA809" s="792" t="str">
        <f t="shared" si="878"/>
        <v>*</v>
      </c>
      <c r="AB809" s="458" t="str">
        <f t="shared" si="878"/>
        <v>*</v>
      </c>
      <c r="AC809" s="497" t="str">
        <f t="shared" si="878"/>
        <v>*</v>
      </c>
      <c r="AD809" s="497" t="str">
        <f t="shared" si="878"/>
        <v>*</v>
      </c>
      <c r="AE809" s="454" t="str">
        <f t="shared" si="878"/>
        <v>*</v>
      </c>
      <c r="AF809" s="454" t="str">
        <f t="shared" si="878"/>
        <v>*</v>
      </c>
      <c r="AG809" s="454" t="str">
        <f t="shared" si="878"/>
        <v>*</v>
      </c>
      <c r="AH809" s="454" t="str">
        <f t="shared" si="878"/>
        <v>*</v>
      </c>
    </row>
    <row r="810" spans="1:34" ht="12.75">
      <c r="A810" s="14" t="s">
        <v>4181</v>
      </c>
      <c r="B810" s="24" t="s">
        <v>2668</v>
      </c>
      <c r="C810" s="14" t="s">
        <v>2698</v>
      </c>
      <c r="D810" s="14" t="s">
        <v>2911</v>
      </c>
      <c r="E810" s="14" t="s">
        <v>4182</v>
      </c>
      <c r="F810" s="13">
        <v>69.61</v>
      </c>
      <c r="G810" s="14" t="s">
        <v>3704</v>
      </c>
      <c r="H810" s="567">
        <v>18258</v>
      </c>
      <c r="I810" s="655" t="s">
        <v>4207</v>
      </c>
      <c r="J810" s="14" t="s">
        <v>4208</v>
      </c>
      <c r="K810" s="478">
        <v>7.0000000000000007E-2</v>
      </c>
      <c r="L810" s="220">
        <v>6.7</v>
      </c>
      <c r="M810" s="568" t="s">
        <v>4209</v>
      </c>
      <c r="N810" s="568"/>
      <c r="O810" s="569" t="s">
        <v>2976</v>
      </c>
      <c r="P810" s="14" t="s">
        <v>438</v>
      </c>
      <c r="Q810" s="14" t="s">
        <v>4206</v>
      </c>
      <c r="R810" s="14">
        <v>0.5</v>
      </c>
      <c r="S810" s="14">
        <f t="shared" si="817"/>
        <v>3.3500000000000002E-2</v>
      </c>
      <c r="T810" s="487">
        <f>SUM(R793:R811)</f>
        <v>104.75</v>
      </c>
      <c r="U810">
        <f t="shared" si="861"/>
        <v>0.47732696897374699</v>
      </c>
      <c r="V810" s="220">
        <f>U810*100/SUM(U793,U795:U811)</f>
        <v>0.71684587813620082</v>
      </c>
      <c r="W810" s="14" t="s">
        <v>438</v>
      </c>
      <c r="X810">
        <f t="shared" si="819"/>
        <v>5.0179211469534059E-2</v>
      </c>
      <c r="Y810" s="220" t="s">
        <v>1666</v>
      </c>
      <c r="Z810" s="220" t="str">
        <f t="shared" ref="Z810:AH810" si="879">Y810</f>
        <v>*</v>
      </c>
      <c r="AA810" s="792" t="str">
        <f t="shared" si="879"/>
        <v>*</v>
      </c>
      <c r="AB810" s="458" t="str">
        <f t="shared" si="879"/>
        <v>*</v>
      </c>
      <c r="AC810" s="497" t="str">
        <f t="shared" si="879"/>
        <v>*</v>
      </c>
      <c r="AD810" s="497" t="str">
        <f t="shared" si="879"/>
        <v>*</v>
      </c>
      <c r="AE810" s="454" t="str">
        <f t="shared" si="879"/>
        <v>*</v>
      </c>
      <c r="AF810" s="454" t="str">
        <f t="shared" si="879"/>
        <v>*</v>
      </c>
      <c r="AG810" s="454" t="str">
        <f t="shared" si="879"/>
        <v>*</v>
      </c>
      <c r="AH810" s="454" t="str">
        <f t="shared" si="879"/>
        <v>*</v>
      </c>
    </row>
    <row r="811" spans="1:34" ht="12.75">
      <c r="A811" s="14" t="s">
        <v>4181</v>
      </c>
      <c r="B811" s="24" t="s">
        <v>2668</v>
      </c>
      <c r="C811" s="14" t="s">
        <v>2698</v>
      </c>
      <c r="D811" s="14" t="s">
        <v>2911</v>
      </c>
      <c r="E811" s="14" t="s">
        <v>4182</v>
      </c>
      <c r="F811" s="13">
        <v>69.61</v>
      </c>
      <c r="G811" s="14" t="s">
        <v>3704</v>
      </c>
      <c r="H811" s="567">
        <v>18258</v>
      </c>
      <c r="I811" s="848" t="s">
        <v>4207</v>
      </c>
      <c r="J811" s="135" t="s">
        <v>4208</v>
      </c>
      <c r="K811" s="475">
        <v>7.0000000000000007E-2</v>
      </c>
      <c r="L811" s="476">
        <v>6.7</v>
      </c>
      <c r="M811" s="570" t="s">
        <v>4209</v>
      </c>
      <c r="N811" s="570"/>
      <c r="O811" s="571" t="s">
        <v>2976</v>
      </c>
      <c r="P811" s="135" t="s">
        <v>2994</v>
      </c>
      <c r="Q811" s="135" t="s">
        <v>2995</v>
      </c>
      <c r="R811" s="135">
        <v>0.25</v>
      </c>
      <c r="S811" s="135">
        <f t="shared" si="817"/>
        <v>1.6750000000000001E-2</v>
      </c>
      <c r="T811" s="853">
        <f>SUM(R793:R811)</f>
        <v>104.75</v>
      </c>
      <c r="U811" s="135">
        <f t="shared" si="861"/>
        <v>0.2386634844868735</v>
      </c>
      <c r="V811" s="476">
        <f>U811*100/SUM(U793,U795:U811)</f>
        <v>0.35842293906810041</v>
      </c>
      <c r="W811" s="135" t="s">
        <v>121</v>
      </c>
      <c r="X811">
        <f t="shared" si="819"/>
        <v>2.5089605734767029E-2</v>
      </c>
      <c r="Y811" s="220" t="s">
        <v>1666</v>
      </c>
      <c r="Z811" s="220" t="str">
        <f t="shared" ref="Z811:AH811" si="880">Y811</f>
        <v>*</v>
      </c>
      <c r="AA811" s="792" t="str">
        <f t="shared" si="880"/>
        <v>*</v>
      </c>
      <c r="AB811" s="458" t="str">
        <f t="shared" si="880"/>
        <v>*</v>
      </c>
      <c r="AC811" s="497" t="str">
        <f t="shared" si="880"/>
        <v>*</v>
      </c>
      <c r="AD811" s="497" t="str">
        <f t="shared" si="880"/>
        <v>*</v>
      </c>
      <c r="AE811" s="454" t="str">
        <f t="shared" si="880"/>
        <v>*</v>
      </c>
      <c r="AF811" s="454" t="str">
        <f t="shared" si="880"/>
        <v>*</v>
      </c>
      <c r="AG811" s="454" t="str">
        <f t="shared" si="880"/>
        <v>*</v>
      </c>
      <c r="AH811" s="454" t="str">
        <f t="shared" si="880"/>
        <v>*</v>
      </c>
    </row>
    <row r="812" spans="1:34" ht="12.75">
      <c r="A812" s="14" t="s">
        <v>4181</v>
      </c>
      <c r="B812" s="24" t="s">
        <v>2668</v>
      </c>
      <c r="C812" s="14" t="s">
        <v>2698</v>
      </c>
      <c r="D812" s="14" t="s">
        <v>2911</v>
      </c>
      <c r="E812" s="14" t="s">
        <v>4182</v>
      </c>
      <c r="F812" s="13">
        <v>69.61</v>
      </c>
      <c r="G812" s="14" t="s">
        <v>3704</v>
      </c>
      <c r="H812" s="567">
        <v>18258</v>
      </c>
      <c r="I812" s="655" t="s">
        <v>4081</v>
      </c>
      <c r="J812" s="14" t="s">
        <v>4214</v>
      </c>
      <c r="K812" s="478">
        <v>0.34</v>
      </c>
      <c r="L812" s="220">
        <v>12.32</v>
      </c>
      <c r="M812" s="568" t="s">
        <v>4084</v>
      </c>
      <c r="N812" s="568"/>
      <c r="O812" s="569" t="s">
        <v>2976</v>
      </c>
      <c r="P812" s="655" t="s">
        <v>3005</v>
      </c>
      <c r="Q812" s="486" t="s">
        <v>3006</v>
      </c>
      <c r="R812" s="14">
        <v>50</v>
      </c>
      <c r="S812" s="14">
        <f t="shared" si="817"/>
        <v>6.16</v>
      </c>
      <c r="T812" s="220">
        <f>SUM(R812:R831)</f>
        <v>98.95</v>
      </c>
      <c r="U812">
        <f t="shared" ref="U812:U831" si="881">R812/0.9895</f>
        <v>50.530570995452244</v>
      </c>
      <c r="V812" s="220">
        <f>U812*100/SUM(U812:U813,U815:U831)</f>
        <v>67.613252197430711</v>
      </c>
      <c r="W812" s="14" t="s">
        <v>2779</v>
      </c>
      <c r="X812">
        <f t="shared" si="819"/>
        <v>22.988505747126442</v>
      </c>
      <c r="Y812" s="220" t="s">
        <v>1666</v>
      </c>
      <c r="Z812" s="220" t="str">
        <f t="shared" ref="Z812:AH812" si="882">Y812</f>
        <v>*</v>
      </c>
      <c r="AA812" s="792" t="str">
        <f t="shared" si="882"/>
        <v>*</v>
      </c>
      <c r="AB812" s="458" t="str">
        <f t="shared" si="882"/>
        <v>*</v>
      </c>
      <c r="AC812" s="497" t="str">
        <f t="shared" si="882"/>
        <v>*</v>
      </c>
      <c r="AD812" s="497" t="str">
        <f t="shared" si="882"/>
        <v>*</v>
      </c>
      <c r="AE812" s="454" t="str">
        <f t="shared" si="882"/>
        <v>*</v>
      </c>
      <c r="AF812" s="454" t="str">
        <f t="shared" si="882"/>
        <v>*</v>
      </c>
      <c r="AG812" s="454" t="str">
        <f t="shared" si="882"/>
        <v>*</v>
      </c>
      <c r="AH812" s="454" t="str">
        <f t="shared" si="882"/>
        <v>*</v>
      </c>
    </row>
    <row r="813" spans="1:34" ht="12.75">
      <c r="A813" s="14" t="s">
        <v>4181</v>
      </c>
      <c r="B813" s="24" t="s">
        <v>2668</v>
      </c>
      <c r="C813" s="14" t="s">
        <v>2698</v>
      </c>
      <c r="D813" s="14" t="s">
        <v>2911</v>
      </c>
      <c r="E813" s="14" t="s">
        <v>4182</v>
      </c>
      <c r="F813" s="13">
        <v>69.61</v>
      </c>
      <c r="G813" s="14" t="s">
        <v>3704</v>
      </c>
      <c r="H813" s="567">
        <v>18258</v>
      </c>
      <c r="I813" s="655" t="s">
        <v>4081</v>
      </c>
      <c r="J813" s="14" t="s">
        <v>4214</v>
      </c>
      <c r="K813" s="478">
        <v>0.34</v>
      </c>
      <c r="L813" s="220">
        <v>12.32</v>
      </c>
      <c r="M813" s="568" t="s">
        <v>4084</v>
      </c>
      <c r="N813" s="568"/>
      <c r="O813" s="569" t="s">
        <v>2976</v>
      </c>
      <c r="P813" s="14" t="s">
        <v>3862</v>
      </c>
      <c r="Q813" s="486" t="s">
        <v>3863</v>
      </c>
      <c r="R813" s="14">
        <v>5</v>
      </c>
      <c r="S813" s="14">
        <f t="shared" si="817"/>
        <v>0.6160000000000001</v>
      </c>
      <c r="T813" s="220">
        <f>SUM(R812:R831)</f>
        <v>98.95</v>
      </c>
      <c r="U813">
        <f t="shared" si="881"/>
        <v>5.0530570995452244</v>
      </c>
      <c r="V813" s="220">
        <f>U813*100/SUM(U812:U813,U815:U831)</f>
        <v>6.7613252197430702</v>
      </c>
      <c r="W813" s="14" t="s">
        <v>2662</v>
      </c>
      <c r="X813">
        <f t="shared" si="819"/>
        <v>2.298850574712644</v>
      </c>
      <c r="Y813" s="220" t="s">
        <v>1666</v>
      </c>
      <c r="Z813" s="220" t="str">
        <f t="shared" ref="Z813:AH813" si="883">Y813</f>
        <v>*</v>
      </c>
      <c r="AA813" s="792" t="str">
        <f t="shared" si="883"/>
        <v>*</v>
      </c>
      <c r="AB813" s="458" t="str">
        <f t="shared" si="883"/>
        <v>*</v>
      </c>
      <c r="AC813" s="497" t="str">
        <f t="shared" si="883"/>
        <v>*</v>
      </c>
      <c r="AD813" s="497" t="str">
        <f t="shared" si="883"/>
        <v>*</v>
      </c>
      <c r="AE813" s="454" t="str">
        <f t="shared" si="883"/>
        <v>*</v>
      </c>
      <c r="AF813" s="454" t="str">
        <f t="shared" si="883"/>
        <v>*</v>
      </c>
      <c r="AG813" s="454" t="str">
        <f t="shared" si="883"/>
        <v>*</v>
      </c>
      <c r="AH813" s="454" t="str">
        <f t="shared" si="883"/>
        <v>*</v>
      </c>
    </row>
    <row r="814" spans="1:34" ht="12.75">
      <c r="A814" s="14" t="s">
        <v>4181</v>
      </c>
      <c r="B814" s="24" t="s">
        <v>2668</v>
      </c>
      <c r="C814" s="14" t="s">
        <v>2698</v>
      </c>
      <c r="D814" s="14" t="s">
        <v>2911</v>
      </c>
      <c r="E814" s="14" t="s">
        <v>4182</v>
      </c>
      <c r="F814" s="13">
        <v>69.61</v>
      </c>
      <c r="G814" s="14" t="s">
        <v>3704</v>
      </c>
      <c r="H814" s="567">
        <v>18258</v>
      </c>
      <c r="I814" s="655" t="s">
        <v>4081</v>
      </c>
      <c r="J814" s="14" t="s">
        <v>4214</v>
      </c>
      <c r="K814" s="478">
        <v>0.34</v>
      </c>
      <c r="L814" s="220">
        <v>12.32</v>
      </c>
      <c r="M814" s="568" t="s">
        <v>4084</v>
      </c>
      <c r="N814" s="568"/>
      <c r="O814" s="569" t="s">
        <v>2976</v>
      </c>
      <c r="P814" s="14" t="s">
        <v>2938</v>
      </c>
      <c r="Q814" s="435" t="s">
        <v>2939</v>
      </c>
      <c r="R814" s="14">
        <v>25</v>
      </c>
      <c r="S814" s="14">
        <f t="shared" si="817"/>
        <v>3.08</v>
      </c>
      <c r="T814" s="220">
        <f>SUM(R812:R831)</f>
        <v>98.95</v>
      </c>
      <c r="U814" s="515">
        <f t="shared" si="881"/>
        <v>25.265285497726122</v>
      </c>
      <c r="V814" s="470">
        <f>U814</f>
        <v>25.265285497726122</v>
      </c>
      <c r="W814" s="515" t="s">
        <v>72</v>
      </c>
      <c r="X814" s="515">
        <f t="shared" si="819"/>
        <v>8.5901970692268819</v>
      </c>
      <c r="Y814" s="470" t="s">
        <v>1666</v>
      </c>
      <c r="Z814" s="220" t="str">
        <f t="shared" ref="Z814:AH814" si="884">Y814</f>
        <v>*</v>
      </c>
      <c r="AA814" s="792" t="str">
        <f t="shared" si="884"/>
        <v>*</v>
      </c>
      <c r="AB814" s="458" t="str">
        <f t="shared" si="884"/>
        <v>*</v>
      </c>
      <c r="AC814" s="497" t="str">
        <f t="shared" si="884"/>
        <v>*</v>
      </c>
      <c r="AD814" s="497" t="str">
        <f t="shared" si="884"/>
        <v>*</v>
      </c>
      <c r="AE814" s="454" t="str">
        <f t="shared" si="884"/>
        <v>*</v>
      </c>
      <c r="AF814" s="454" t="str">
        <f t="shared" si="884"/>
        <v>*</v>
      </c>
      <c r="AG814" s="454" t="str">
        <f t="shared" si="884"/>
        <v>*</v>
      </c>
      <c r="AH814" s="454" t="str">
        <f t="shared" si="884"/>
        <v>*</v>
      </c>
    </row>
    <row r="815" spans="1:34" ht="12.75">
      <c r="A815" s="14" t="s">
        <v>4181</v>
      </c>
      <c r="B815" s="24" t="s">
        <v>2668</v>
      </c>
      <c r="C815" s="14" t="s">
        <v>2698</v>
      </c>
      <c r="D815" s="14" t="s">
        <v>2911</v>
      </c>
      <c r="E815" s="14" t="s">
        <v>4182</v>
      </c>
      <c r="F815" s="13">
        <v>69.61</v>
      </c>
      <c r="G815" s="14" t="s">
        <v>3704</v>
      </c>
      <c r="H815" s="567">
        <v>18258</v>
      </c>
      <c r="I815" s="655" t="s">
        <v>4081</v>
      </c>
      <c r="J815" s="14" t="s">
        <v>4214</v>
      </c>
      <c r="K815" s="478">
        <v>0.34</v>
      </c>
      <c r="L815" s="220">
        <v>12.32</v>
      </c>
      <c r="M815" s="568" t="s">
        <v>4084</v>
      </c>
      <c r="N815" s="568"/>
      <c r="O815" s="569" t="s">
        <v>2976</v>
      </c>
      <c r="P815" s="14" t="s">
        <v>2962</v>
      </c>
      <c r="Q815" s="435" t="s">
        <v>2963</v>
      </c>
      <c r="R815" s="14">
        <v>4</v>
      </c>
      <c r="S815" s="14">
        <f t="shared" si="817"/>
        <v>0.49280000000000002</v>
      </c>
      <c r="T815" s="220">
        <f>SUM(R812:R831)</f>
        <v>98.95</v>
      </c>
      <c r="U815">
        <f t="shared" si="881"/>
        <v>4.0424456796361801</v>
      </c>
      <c r="V815" s="220">
        <f>U815*100/SUM(U812:U813,U815:U831)</f>
        <v>5.4090601757944574</v>
      </c>
      <c r="W815" s="14" t="s">
        <v>425</v>
      </c>
      <c r="X815">
        <f t="shared" si="819"/>
        <v>1.8390804597701156</v>
      </c>
      <c r="Y815" s="220" t="s">
        <v>1666</v>
      </c>
      <c r="Z815" s="220" t="str">
        <f t="shared" ref="Z815:AH815" si="885">Y815</f>
        <v>*</v>
      </c>
      <c r="AA815" s="792" t="str">
        <f t="shared" si="885"/>
        <v>*</v>
      </c>
      <c r="AB815" s="458" t="str">
        <f t="shared" si="885"/>
        <v>*</v>
      </c>
      <c r="AC815" s="497" t="str">
        <f t="shared" si="885"/>
        <v>*</v>
      </c>
      <c r="AD815" s="497" t="str">
        <f t="shared" si="885"/>
        <v>*</v>
      </c>
      <c r="AE815" s="454" t="str">
        <f t="shared" si="885"/>
        <v>*</v>
      </c>
      <c r="AF815" s="454" t="str">
        <f t="shared" si="885"/>
        <v>*</v>
      </c>
      <c r="AG815" s="454" t="str">
        <f t="shared" si="885"/>
        <v>*</v>
      </c>
      <c r="AH815" s="454" t="str">
        <f t="shared" si="885"/>
        <v>*</v>
      </c>
    </row>
    <row r="816" spans="1:34" ht="12.75">
      <c r="A816" s="14" t="s">
        <v>4181</v>
      </c>
      <c r="B816" s="24" t="s">
        <v>2668</v>
      </c>
      <c r="C816" s="14" t="s">
        <v>2698</v>
      </c>
      <c r="D816" s="14" t="s">
        <v>2911</v>
      </c>
      <c r="E816" s="14" t="s">
        <v>4182</v>
      </c>
      <c r="F816" s="13">
        <v>69.61</v>
      </c>
      <c r="G816" s="14" t="s">
        <v>3704</v>
      </c>
      <c r="H816" s="567">
        <v>18258</v>
      </c>
      <c r="I816" s="655" t="s">
        <v>4081</v>
      </c>
      <c r="J816" s="14" t="s">
        <v>4214</v>
      </c>
      <c r="K816" s="478">
        <v>0.34</v>
      </c>
      <c r="L816" s="220">
        <v>12.32</v>
      </c>
      <c r="M816" s="568" t="s">
        <v>4084</v>
      </c>
      <c r="N816" s="568"/>
      <c r="O816" s="569" t="s">
        <v>2976</v>
      </c>
      <c r="P816" s="14" t="s">
        <v>2912</v>
      </c>
      <c r="Q816" s="14" t="s">
        <v>2915</v>
      </c>
      <c r="R816" s="14">
        <v>4</v>
      </c>
      <c r="S816" s="14">
        <f t="shared" si="817"/>
        <v>0.49280000000000002</v>
      </c>
      <c r="T816" s="220">
        <f>SUM(R812:R831)</f>
        <v>98.95</v>
      </c>
      <c r="U816">
        <f t="shared" si="881"/>
        <v>4.0424456796361801</v>
      </c>
      <c r="V816" s="220">
        <f>U816*100/SUM(U812:U813,U815:U831)</f>
        <v>5.4090601757944574</v>
      </c>
      <c r="W816" s="14" t="s">
        <v>124</v>
      </c>
      <c r="X816">
        <f t="shared" si="819"/>
        <v>1.8390804597701156</v>
      </c>
      <c r="Y816" s="220" t="s">
        <v>1666</v>
      </c>
      <c r="Z816" s="220" t="str">
        <f t="shared" ref="Z816:AH816" si="886">Y816</f>
        <v>*</v>
      </c>
      <c r="AA816" s="792" t="str">
        <f t="shared" si="886"/>
        <v>*</v>
      </c>
      <c r="AB816" s="458" t="str">
        <f t="shared" si="886"/>
        <v>*</v>
      </c>
      <c r="AC816" s="497" t="str">
        <f t="shared" si="886"/>
        <v>*</v>
      </c>
      <c r="AD816" s="497" t="str">
        <f t="shared" si="886"/>
        <v>*</v>
      </c>
      <c r="AE816" s="454" t="str">
        <f t="shared" si="886"/>
        <v>*</v>
      </c>
      <c r="AF816" s="454" t="str">
        <f t="shared" si="886"/>
        <v>*</v>
      </c>
      <c r="AG816" s="454" t="str">
        <f t="shared" si="886"/>
        <v>*</v>
      </c>
      <c r="AH816" s="454" t="str">
        <f t="shared" si="886"/>
        <v>*</v>
      </c>
    </row>
    <row r="817" spans="1:34" ht="12.75">
      <c r="A817" s="14" t="s">
        <v>4181</v>
      </c>
      <c r="B817" s="24" t="s">
        <v>2668</v>
      </c>
      <c r="C817" s="14" t="s">
        <v>2698</v>
      </c>
      <c r="D817" s="14" t="s">
        <v>2911</v>
      </c>
      <c r="E817" s="14" t="s">
        <v>4182</v>
      </c>
      <c r="F817" s="13">
        <v>69.61</v>
      </c>
      <c r="G817" s="14" t="s">
        <v>3704</v>
      </c>
      <c r="H817" s="567">
        <v>18258</v>
      </c>
      <c r="I817" s="655" t="s">
        <v>4081</v>
      </c>
      <c r="J817" s="14" t="s">
        <v>4214</v>
      </c>
      <c r="K817" s="478">
        <v>0.34</v>
      </c>
      <c r="L817" s="220">
        <v>12.32</v>
      </c>
      <c r="M817" s="568" t="s">
        <v>4084</v>
      </c>
      <c r="N817" s="568"/>
      <c r="O817" s="569" t="s">
        <v>2976</v>
      </c>
      <c r="P817" s="14" t="s">
        <v>86</v>
      </c>
      <c r="Q817" s="14" t="s">
        <v>3442</v>
      </c>
      <c r="R817" s="14">
        <v>3</v>
      </c>
      <c r="S817" s="14">
        <f t="shared" si="817"/>
        <v>0.36959999999999998</v>
      </c>
      <c r="T817" s="220">
        <f>SUM(R812:R831)</f>
        <v>98.95</v>
      </c>
      <c r="U817">
        <f t="shared" si="881"/>
        <v>3.0318342597271348</v>
      </c>
      <c r="V817" s="220">
        <f>U817*100/SUM(U812:U813,U815:U831)</f>
        <v>4.0567951318458428</v>
      </c>
      <c r="W817" s="14" t="s">
        <v>86</v>
      </c>
      <c r="X817">
        <f t="shared" si="819"/>
        <v>1.3793103448275867</v>
      </c>
      <c r="Y817" s="220" t="s">
        <v>1666</v>
      </c>
      <c r="Z817" s="220" t="str">
        <f t="shared" ref="Z817:AH817" si="887">Y817</f>
        <v>*</v>
      </c>
      <c r="AA817" s="792" t="str">
        <f t="shared" si="887"/>
        <v>*</v>
      </c>
      <c r="AB817" s="458" t="str">
        <f t="shared" si="887"/>
        <v>*</v>
      </c>
      <c r="AC817" s="497" t="str">
        <f t="shared" si="887"/>
        <v>*</v>
      </c>
      <c r="AD817" s="497" t="str">
        <f t="shared" si="887"/>
        <v>*</v>
      </c>
      <c r="AE817" s="454" t="str">
        <f t="shared" si="887"/>
        <v>*</v>
      </c>
      <c r="AF817" s="454" t="str">
        <f t="shared" si="887"/>
        <v>*</v>
      </c>
      <c r="AG817" s="454" t="str">
        <f t="shared" si="887"/>
        <v>*</v>
      </c>
      <c r="AH817" s="454" t="str">
        <f t="shared" si="887"/>
        <v>*</v>
      </c>
    </row>
    <row r="818" spans="1:34" ht="12.75">
      <c r="A818" s="14" t="s">
        <v>4181</v>
      </c>
      <c r="B818" s="24" t="s">
        <v>2668</v>
      </c>
      <c r="C818" s="14" t="s">
        <v>2698</v>
      </c>
      <c r="D818" s="14" t="s">
        <v>2911</v>
      </c>
      <c r="E818" s="14" t="s">
        <v>4182</v>
      </c>
      <c r="F818" s="13">
        <v>69.61</v>
      </c>
      <c r="G818" s="14" t="s">
        <v>3704</v>
      </c>
      <c r="H818" s="567">
        <v>18258</v>
      </c>
      <c r="I818" s="655" t="s">
        <v>4081</v>
      </c>
      <c r="J818" s="14" t="s">
        <v>4214</v>
      </c>
      <c r="K818" s="478">
        <v>0.34</v>
      </c>
      <c r="L818" s="220">
        <v>12.32</v>
      </c>
      <c r="M818" s="568" t="s">
        <v>4084</v>
      </c>
      <c r="N818" s="568"/>
      <c r="O818" s="569" t="s">
        <v>2976</v>
      </c>
      <c r="P818" s="14" t="s">
        <v>3021</v>
      </c>
      <c r="Q818" s="486" t="s">
        <v>3022</v>
      </c>
      <c r="R818" s="14">
        <v>0.8</v>
      </c>
      <c r="S818" s="14">
        <f t="shared" si="817"/>
        <v>9.8560000000000009E-2</v>
      </c>
      <c r="T818" s="220">
        <f>SUM(R812:R831)</f>
        <v>98.95</v>
      </c>
      <c r="U818">
        <f t="shared" si="881"/>
        <v>0.80848913592723604</v>
      </c>
      <c r="V818" s="220">
        <f>U818*100/SUM(U812:U813,U815:U831)</f>
        <v>1.0818120351588916</v>
      </c>
      <c r="W818" s="14" t="s">
        <v>346</v>
      </c>
      <c r="X818">
        <f t="shared" si="819"/>
        <v>0.36781609195402315</v>
      </c>
      <c r="Y818" s="220" t="s">
        <v>1666</v>
      </c>
      <c r="Z818" s="220" t="str">
        <f t="shared" ref="Z818:AH818" si="888">Y818</f>
        <v>*</v>
      </c>
      <c r="AA818" s="792" t="str">
        <f t="shared" si="888"/>
        <v>*</v>
      </c>
      <c r="AB818" s="458" t="str">
        <f t="shared" si="888"/>
        <v>*</v>
      </c>
      <c r="AC818" s="497" t="str">
        <f t="shared" si="888"/>
        <v>*</v>
      </c>
      <c r="AD818" s="497" t="str">
        <f t="shared" si="888"/>
        <v>*</v>
      </c>
      <c r="AE818" s="454" t="str">
        <f t="shared" si="888"/>
        <v>*</v>
      </c>
      <c r="AF818" s="454" t="str">
        <f t="shared" si="888"/>
        <v>*</v>
      </c>
      <c r="AG818" s="454" t="str">
        <f t="shared" si="888"/>
        <v>*</v>
      </c>
      <c r="AH818" s="454" t="str">
        <f t="shared" si="888"/>
        <v>*</v>
      </c>
    </row>
    <row r="819" spans="1:34" ht="12.75">
      <c r="A819" s="14" t="s">
        <v>4181</v>
      </c>
      <c r="B819" s="24" t="s">
        <v>2668</v>
      </c>
      <c r="C819" s="14" t="s">
        <v>2698</v>
      </c>
      <c r="D819" s="14" t="s">
        <v>2911</v>
      </c>
      <c r="E819" s="14" t="s">
        <v>4182</v>
      </c>
      <c r="F819" s="13">
        <v>69.61</v>
      </c>
      <c r="G819" s="14" t="s">
        <v>3704</v>
      </c>
      <c r="H819" s="567">
        <v>18258</v>
      </c>
      <c r="I819" s="655" t="s">
        <v>4081</v>
      </c>
      <c r="J819" s="14" t="s">
        <v>4214</v>
      </c>
      <c r="K819" s="478">
        <v>0.34</v>
      </c>
      <c r="L819" s="220">
        <v>12.32</v>
      </c>
      <c r="M819" s="568" t="s">
        <v>4084</v>
      </c>
      <c r="N819" s="568"/>
      <c r="O819" s="569" t="s">
        <v>2976</v>
      </c>
      <c r="P819" s="14" t="s">
        <v>1376</v>
      </c>
      <c r="Q819" s="486" t="s">
        <v>3114</v>
      </c>
      <c r="R819" s="14">
        <v>0.3</v>
      </c>
      <c r="S819" s="14">
        <f t="shared" si="817"/>
        <v>3.696E-2</v>
      </c>
      <c r="T819" s="220">
        <f>SUM(R812:R831)</f>
        <v>98.95</v>
      </c>
      <c r="U819">
        <f t="shared" si="881"/>
        <v>0.30318342597271347</v>
      </c>
      <c r="V819" s="220">
        <f>U819*100/SUM(U812:U813,U815:U831)</f>
        <v>0.40567951318458423</v>
      </c>
      <c r="W819" s="14" t="s">
        <v>4215</v>
      </c>
      <c r="X819">
        <f t="shared" si="819"/>
        <v>0.13793103448275865</v>
      </c>
      <c r="Y819" s="499">
        <f>X819</f>
        <v>0.13793103448275865</v>
      </c>
      <c r="Z819" s="220">
        <f>X819</f>
        <v>0.13793103448275865</v>
      </c>
      <c r="AA819" s="792">
        <f>Z819</f>
        <v>0.13793103448275865</v>
      </c>
      <c r="AB819" s="18" t="s">
        <v>340</v>
      </c>
      <c r="AC819" s="13" t="s">
        <v>3115</v>
      </c>
      <c r="AD819" s="13" t="s">
        <v>3116</v>
      </c>
      <c r="AE819" s="12">
        <v>2.1708241661196198E-2</v>
      </c>
      <c r="AF819" s="12">
        <v>0.36572952458380198</v>
      </c>
      <c r="AG819" s="12">
        <v>4.6350652173913045E-4</v>
      </c>
      <c r="AH819" s="12">
        <v>1.6975608035415088E-3</v>
      </c>
    </row>
    <row r="820" spans="1:34" ht="12.75">
      <c r="A820" s="14" t="s">
        <v>4181</v>
      </c>
      <c r="B820" s="24" t="s">
        <v>2668</v>
      </c>
      <c r="C820" s="14" t="s">
        <v>2698</v>
      </c>
      <c r="D820" s="14" t="s">
        <v>2911</v>
      </c>
      <c r="E820" s="14" t="s">
        <v>4182</v>
      </c>
      <c r="F820" s="13">
        <v>69.61</v>
      </c>
      <c r="G820" s="14" t="s">
        <v>3704</v>
      </c>
      <c r="H820" s="567">
        <v>18258</v>
      </c>
      <c r="I820" s="655" t="s">
        <v>4081</v>
      </c>
      <c r="J820" s="14" t="s">
        <v>4214</v>
      </c>
      <c r="K820" s="478">
        <v>0.34</v>
      </c>
      <c r="L820" s="220">
        <v>12.32</v>
      </c>
      <c r="M820" s="568" t="s">
        <v>4084</v>
      </c>
      <c r="N820" s="568"/>
      <c r="O820" s="569" t="s">
        <v>2976</v>
      </c>
      <c r="P820" s="14" t="s">
        <v>83</v>
      </c>
      <c r="Q820" s="527" t="s">
        <v>3430</v>
      </c>
      <c r="R820" s="14">
        <v>1</v>
      </c>
      <c r="S820" s="14">
        <f t="shared" si="817"/>
        <v>0.1232</v>
      </c>
      <c r="T820" s="220">
        <f>SUM(R812:R831)</f>
        <v>98.95</v>
      </c>
      <c r="U820">
        <f t="shared" si="881"/>
        <v>1.010611419909045</v>
      </c>
      <c r="V820" s="220">
        <f>U820*100/SUM(U812:U813,U815:U831)</f>
        <v>1.3522650439486144</v>
      </c>
      <c r="W820" s="14" t="s">
        <v>83</v>
      </c>
      <c r="X820">
        <f t="shared" si="819"/>
        <v>0.4597701149425289</v>
      </c>
      <c r="Y820" s="220" t="s">
        <v>1666</v>
      </c>
      <c r="Z820" s="220" t="str">
        <f t="shared" ref="Z820:AH820" si="889">Y820</f>
        <v>*</v>
      </c>
      <c r="AA820" s="792" t="str">
        <f t="shared" si="889"/>
        <v>*</v>
      </c>
      <c r="AB820" s="458" t="str">
        <f t="shared" si="889"/>
        <v>*</v>
      </c>
      <c r="AC820" s="497" t="str">
        <f t="shared" si="889"/>
        <v>*</v>
      </c>
      <c r="AD820" s="497" t="str">
        <f t="shared" si="889"/>
        <v>*</v>
      </c>
      <c r="AE820" s="454" t="str">
        <f t="shared" si="889"/>
        <v>*</v>
      </c>
      <c r="AF820" s="454" t="str">
        <f t="shared" si="889"/>
        <v>*</v>
      </c>
      <c r="AG820" s="454" t="str">
        <f t="shared" si="889"/>
        <v>*</v>
      </c>
      <c r="AH820" s="454" t="str">
        <f t="shared" si="889"/>
        <v>*</v>
      </c>
    </row>
    <row r="821" spans="1:34" ht="12.75">
      <c r="A821" s="14" t="s">
        <v>4181</v>
      </c>
      <c r="B821" s="24" t="s">
        <v>2668</v>
      </c>
      <c r="C821" s="14" t="s">
        <v>2698</v>
      </c>
      <c r="D821" s="14" t="s">
        <v>2911</v>
      </c>
      <c r="E821" s="14" t="s">
        <v>4182</v>
      </c>
      <c r="F821" s="13">
        <v>69.61</v>
      </c>
      <c r="G821" s="14" t="s">
        <v>3704</v>
      </c>
      <c r="H821" s="567">
        <v>18258</v>
      </c>
      <c r="I821" s="655" t="s">
        <v>4081</v>
      </c>
      <c r="J821" s="14" t="s">
        <v>4214</v>
      </c>
      <c r="K821" s="478">
        <v>0.34</v>
      </c>
      <c r="L821" s="220">
        <v>12.32</v>
      </c>
      <c r="M821" s="568" t="s">
        <v>4084</v>
      </c>
      <c r="N821" s="568"/>
      <c r="O821" s="569" t="s">
        <v>2976</v>
      </c>
      <c r="P821" s="14" t="s">
        <v>3013</v>
      </c>
      <c r="Q821" s="14" t="s">
        <v>3014</v>
      </c>
      <c r="R821" s="14">
        <v>1</v>
      </c>
      <c r="S821" s="14">
        <f t="shared" si="817"/>
        <v>0.1232</v>
      </c>
      <c r="T821" s="220">
        <f>SUM(R812:R831)</f>
        <v>98.95</v>
      </c>
      <c r="U821">
        <f t="shared" si="881"/>
        <v>1.010611419909045</v>
      </c>
      <c r="V821" s="220">
        <f>U821*100/SUM(U812:U813,U815:U831)</f>
        <v>1.3522650439486144</v>
      </c>
      <c r="W821" s="14" t="s">
        <v>88</v>
      </c>
      <c r="X821">
        <f t="shared" si="819"/>
        <v>0.4597701149425289</v>
      </c>
      <c r="Y821" s="220" t="s">
        <v>1666</v>
      </c>
      <c r="Z821" s="220">
        <f>X821</f>
        <v>0.4597701149425289</v>
      </c>
      <c r="AA821" s="792">
        <f>Z821</f>
        <v>0.4597701149425289</v>
      </c>
      <c r="AB821" s="18" t="s">
        <v>2528</v>
      </c>
      <c r="AC821" s="14" t="s">
        <v>3015</v>
      </c>
      <c r="AD821" s="14" t="s">
        <v>3016</v>
      </c>
      <c r="AE821" s="12">
        <v>5.5280749052132698E-2</v>
      </c>
      <c r="AF821" s="12">
        <v>0.16253532298578199</v>
      </c>
      <c r="AG821" s="12">
        <v>1.0836239353080568E-3</v>
      </c>
      <c r="AH821" s="12">
        <v>1.0196349526066351E-2</v>
      </c>
    </row>
    <row r="822" spans="1:34" ht="12.75">
      <c r="A822" s="14" t="s">
        <v>4181</v>
      </c>
      <c r="B822" s="24" t="s">
        <v>2668</v>
      </c>
      <c r="C822" s="14" t="s">
        <v>2698</v>
      </c>
      <c r="D822" s="14" t="s">
        <v>2911</v>
      </c>
      <c r="E822" s="14" t="s">
        <v>4182</v>
      </c>
      <c r="F822" s="13">
        <v>69.61</v>
      </c>
      <c r="G822" s="14" t="s">
        <v>3704</v>
      </c>
      <c r="H822" s="567">
        <v>18258</v>
      </c>
      <c r="I822" s="655" t="s">
        <v>4081</v>
      </c>
      <c r="J822" s="14" t="s">
        <v>4214</v>
      </c>
      <c r="K822" s="478">
        <v>0.34</v>
      </c>
      <c r="L822" s="220">
        <v>12.32</v>
      </c>
      <c r="M822" s="568" t="s">
        <v>4084</v>
      </c>
      <c r="N822" s="568"/>
      <c r="O822" s="569" t="s">
        <v>2976</v>
      </c>
      <c r="P822" s="14" t="s">
        <v>430</v>
      </c>
      <c r="Q822" s="527" t="s">
        <v>4086</v>
      </c>
      <c r="R822" s="14">
        <v>1</v>
      </c>
      <c r="S822" s="14">
        <f t="shared" si="817"/>
        <v>0.1232</v>
      </c>
      <c r="T822" s="220">
        <f>SUM(R812:R831)</f>
        <v>98.95</v>
      </c>
      <c r="U822">
        <f t="shared" si="881"/>
        <v>1.010611419909045</v>
      </c>
      <c r="V822" s="220">
        <f>U822*100/SUM(U812:U813,U815:U831)</f>
        <v>1.3522650439486144</v>
      </c>
      <c r="W822" s="14" t="s">
        <v>430</v>
      </c>
      <c r="X822">
        <f t="shared" si="819"/>
        <v>0.4597701149425289</v>
      </c>
      <c r="Y822" s="220" t="s">
        <v>1666</v>
      </c>
      <c r="Z822" s="220" t="str">
        <f t="shared" ref="Z822:AH822" si="890">Y822</f>
        <v>*</v>
      </c>
      <c r="AA822" s="792" t="str">
        <f t="shared" si="890"/>
        <v>*</v>
      </c>
      <c r="AB822" s="458" t="str">
        <f t="shared" si="890"/>
        <v>*</v>
      </c>
      <c r="AC822" s="497" t="str">
        <f t="shared" si="890"/>
        <v>*</v>
      </c>
      <c r="AD822" s="497" t="str">
        <f t="shared" si="890"/>
        <v>*</v>
      </c>
      <c r="AE822" s="454" t="str">
        <f t="shared" si="890"/>
        <v>*</v>
      </c>
      <c r="AF822" s="454" t="str">
        <f t="shared" si="890"/>
        <v>*</v>
      </c>
      <c r="AG822" s="454" t="str">
        <f t="shared" si="890"/>
        <v>*</v>
      </c>
      <c r="AH822" s="454" t="str">
        <f t="shared" si="890"/>
        <v>*</v>
      </c>
    </row>
    <row r="823" spans="1:34" ht="12.75">
      <c r="A823" s="14" t="s">
        <v>4181</v>
      </c>
      <c r="B823" s="24" t="s">
        <v>2668</v>
      </c>
      <c r="C823" s="14" t="s">
        <v>2698</v>
      </c>
      <c r="D823" s="14" t="s">
        <v>2911</v>
      </c>
      <c r="E823" s="14" t="s">
        <v>4182</v>
      </c>
      <c r="F823" s="13">
        <v>69.61</v>
      </c>
      <c r="G823" s="14" t="s">
        <v>3704</v>
      </c>
      <c r="H823" s="567">
        <v>18258</v>
      </c>
      <c r="I823" s="655" t="s">
        <v>4081</v>
      </c>
      <c r="J823" s="14" t="s">
        <v>4214</v>
      </c>
      <c r="K823" s="478">
        <v>0.34</v>
      </c>
      <c r="L823" s="220">
        <v>12.32</v>
      </c>
      <c r="M823" s="568" t="s">
        <v>4084</v>
      </c>
      <c r="N823" s="568"/>
      <c r="O823" s="569" t="s">
        <v>2976</v>
      </c>
      <c r="P823" s="14" t="s">
        <v>2948</v>
      </c>
      <c r="Q823" s="14" t="s">
        <v>2949</v>
      </c>
      <c r="R823" s="14">
        <v>1</v>
      </c>
      <c r="S823" s="14">
        <f t="shared" si="817"/>
        <v>0.1232</v>
      </c>
      <c r="T823" s="220">
        <f>SUM(R812:R831)</f>
        <v>98.95</v>
      </c>
      <c r="U823">
        <f t="shared" si="881"/>
        <v>1.010611419909045</v>
      </c>
      <c r="V823" s="220">
        <f>U823*100/SUM(U812:U813,U815:U831)</f>
        <v>1.3522650439486144</v>
      </c>
      <c r="W823" s="14" t="s">
        <v>305</v>
      </c>
      <c r="X823">
        <f t="shared" si="819"/>
        <v>0.4597701149425289</v>
      </c>
      <c r="Y823" s="220" t="s">
        <v>1666</v>
      </c>
      <c r="Z823" s="220" t="str">
        <f t="shared" ref="Z823:AH823" si="891">Y823</f>
        <v>*</v>
      </c>
      <c r="AA823" s="792" t="str">
        <f t="shared" si="891"/>
        <v>*</v>
      </c>
      <c r="AB823" s="458" t="str">
        <f t="shared" si="891"/>
        <v>*</v>
      </c>
      <c r="AC823" s="497" t="str">
        <f t="shared" si="891"/>
        <v>*</v>
      </c>
      <c r="AD823" s="497" t="str">
        <f t="shared" si="891"/>
        <v>*</v>
      </c>
      <c r="AE823" s="454" t="str">
        <f t="shared" si="891"/>
        <v>*</v>
      </c>
      <c r="AF823" s="454" t="str">
        <f t="shared" si="891"/>
        <v>*</v>
      </c>
      <c r="AG823" s="454" t="str">
        <f t="shared" si="891"/>
        <v>*</v>
      </c>
      <c r="AH823" s="454" t="str">
        <f t="shared" si="891"/>
        <v>*</v>
      </c>
    </row>
    <row r="824" spans="1:34" ht="12.75">
      <c r="A824" s="14" t="s">
        <v>4181</v>
      </c>
      <c r="B824" s="24" t="s">
        <v>2668</v>
      </c>
      <c r="C824" s="14" t="s">
        <v>2698</v>
      </c>
      <c r="D824" s="14" t="s">
        <v>2911</v>
      </c>
      <c r="E824" s="14" t="s">
        <v>4182</v>
      </c>
      <c r="F824" s="13">
        <v>69.61</v>
      </c>
      <c r="G824" s="14" t="s">
        <v>3704</v>
      </c>
      <c r="H824" s="567">
        <v>18258</v>
      </c>
      <c r="I824" s="655" t="s">
        <v>4081</v>
      </c>
      <c r="J824" s="14" t="s">
        <v>4214</v>
      </c>
      <c r="K824" s="478">
        <v>0.34</v>
      </c>
      <c r="L824" s="220">
        <v>12.32</v>
      </c>
      <c r="M824" s="568" t="s">
        <v>4084</v>
      </c>
      <c r="N824" s="568"/>
      <c r="O824" s="569" t="s">
        <v>2976</v>
      </c>
      <c r="P824" s="655" t="s">
        <v>2977</v>
      </c>
      <c r="Q824" s="527" t="s">
        <v>2978</v>
      </c>
      <c r="R824" s="14">
        <v>0.5</v>
      </c>
      <c r="S824" s="14">
        <f t="shared" si="817"/>
        <v>6.1600000000000002E-2</v>
      </c>
      <c r="T824" s="220">
        <f>SUM(R812:R831)</f>
        <v>98.95</v>
      </c>
      <c r="U824">
        <f t="shared" si="881"/>
        <v>0.50530570995452251</v>
      </c>
      <c r="V824" s="220">
        <f>U824*100/SUM(U812:U813,U815:U831)</f>
        <v>0.67613252197430718</v>
      </c>
      <c r="W824" s="14" t="s">
        <v>227</v>
      </c>
      <c r="X824">
        <f t="shared" si="819"/>
        <v>0.22988505747126445</v>
      </c>
      <c r="Y824" s="220" t="s">
        <v>1666</v>
      </c>
      <c r="Z824" s="220" t="str">
        <f t="shared" ref="Z824:AH824" si="892">Y824</f>
        <v>*</v>
      </c>
      <c r="AA824" s="792" t="str">
        <f t="shared" si="892"/>
        <v>*</v>
      </c>
      <c r="AB824" s="458" t="str">
        <f t="shared" si="892"/>
        <v>*</v>
      </c>
      <c r="AC824" s="497" t="str">
        <f t="shared" si="892"/>
        <v>*</v>
      </c>
      <c r="AD824" s="497" t="str">
        <f t="shared" si="892"/>
        <v>*</v>
      </c>
      <c r="AE824" s="454" t="str">
        <f t="shared" si="892"/>
        <v>*</v>
      </c>
      <c r="AF824" s="454" t="str">
        <f t="shared" si="892"/>
        <v>*</v>
      </c>
      <c r="AG824" s="454" t="str">
        <f t="shared" si="892"/>
        <v>*</v>
      </c>
      <c r="AH824" s="454" t="str">
        <f t="shared" si="892"/>
        <v>*</v>
      </c>
    </row>
    <row r="825" spans="1:34" ht="12.75">
      <c r="A825" s="14" t="s">
        <v>4181</v>
      </c>
      <c r="B825" s="24" t="s">
        <v>2668</v>
      </c>
      <c r="C825" s="14" t="s">
        <v>2698</v>
      </c>
      <c r="D825" s="14" t="s">
        <v>2911</v>
      </c>
      <c r="E825" s="14" t="s">
        <v>4182</v>
      </c>
      <c r="F825" s="13">
        <v>69.61</v>
      </c>
      <c r="G825" s="14" t="s">
        <v>3704</v>
      </c>
      <c r="H825" s="567">
        <v>18258</v>
      </c>
      <c r="I825" s="655" t="s">
        <v>4081</v>
      </c>
      <c r="J825" s="14" t="s">
        <v>4214</v>
      </c>
      <c r="K825" s="478">
        <v>0.34</v>
      </c>
      <c r="L825" s="220">
        <v>12.32</v>
      </c>
      <c r="M825" s="568" t="s">
        <v>4084</v>
      </c>
      <c r="N825" s="568"/>
      <c r="O825" s="569" t="s">
        <v>2976</v>
      </c>
      <c r="P825" s="14" t="s">
        <v>3051</v>
      </c>
      <c r="Q825" s="486" t="s">
        <v>3084</v>
      </c>
      <c r="R825" s="14">
        <v>0.5</v>
      </c>
      <c r="S825" s="14">
        <f t="shared" si="817"/>
        <v>6.1600000000000002E-2</v>
      </c>
      <c r="T825" s="220">
        <f>SUM(R812:R831)</f>
        <v>98.95</v>
      </c>
      <c r="U825">
        <f t="shared" si="881"/>
        <v>0.50530570995452251</v>
      </c>
      <c r="V825" s="220">
        <f>U825*100/SUM(U812:U813,U815:U831)</f>
        <v>0.67613252197430718</v>
      </c>
      <c r="W825" s="14" t="s">
        <v>134</v>
      </c>
      <c r="X825">
        <f t="shared" si="819"/>
        <v>0.22988505747126445</v>
      </c>
      <c r="Y825" s="220" t="s">
        <v>1666</v>
      </c>
      <c r="Z825" s="220" t="str">
        <f t="shared" ref="Z825:AH825" si="893">Y825</f>
        <v>*</v>
      </c>
      <c r="AA825" s="792" t="str">
        <f t="shared" si="893"/>
        <v>*</v>
      </c>
      <c r="AB825" s="458" t="str">
        <f t="shared" si="893"/>
        <v>*</v>
      </c>
      <c r="AC825" s="497" t="str">
        <f t="shared" si="893"/>
        <v>*</v>
      </c>
      <c r="AD825" s="497" t="str">
        <f t="shared" si="893"/>
        <v>*</v>
      </c>
      <c r="AE825" s="454" t="str">
        <f t="shared" si="893"/>
        <v>*</v>
      </c>
      <c r="AF825" s="454" t="str">
        <f t="shared" si="893"/>
        <v>*</v>
      </c>
      <c r="AG825" s="454" t="str">
        <f t="shared" si="893"/>
        <v>*</v>
      </c>
      <c r="AH825" s="454" t="str">
        <f t="shared" si="893"/>
        <v>*</v>
      </c>
    </row>
    <row r="826" spans="1:34" ht="12.75">
      <c r="A826" s="14" t="s">
        <v>4181</v>
      </c>
      <c r="B826" s="24" t="s">
        <v>2668</v>
      </c>
      <c r="C826" s="14" t="s">
        <v>2698</v>
      </c>
      <c r="D826" s="14" t="s">
        <v>2911</v>
      </c>
      <c r="E826" s="14" t="s">
        <v>4182</v>
      </c>
      <c r="F826" s="13">
        <v>69.61</v>
      </c>
      <c r="G826" s="14" t="s">
        <v>3704</v>
      </c>
      <c r="H826" s="567">
        <v>18258</v>
      </c>
      <c r="I826" s="655" t="s">
        <v>4081</v>
      </c>
      <c r="J826" s="14" t="s">
        <v>4214</v>
      </c>
      <c r="K826" s="478">
        <v>0.34</v>
      </c>
      <c r="L826" s="220">
        <v>12.32</v>
      </c>
      <c r="M826" s="568" t="s">
        <v>4084</v>
      </c>
      <c r="N826" s="568"/>
      <c r="O826" s="569" t="s">
        <v>2976</v>
      </c>
      <c r="P826" s="14" t="s">
        <v>3072</v>
      </c>
      <c r="Q826" s="14" t="s">
        <v>3073</v>
      </c>
      <c r="R826" s="14">
        <v>0.5</v>
      </c>
      <c r="S826" s="14">
        <f t="shared" si="817"/>
        <v>6.1600000000000002E-2</v>
      </c>
      <c r="T826" s="220">
        <f>SUM(R812:R831)</f>
        <v>98.95</v>
      </c>
      <c r="U826">
        <f t="shared" si="881"/>
        <v>0.50530570995452251</v>
      </c>
      <c r="V826" s="220">
        <f>U826*100/SUM(U812:U813,U815:U831)</f>
        <v>0.67613252197430718</v>
      </c>
      <c r="W826" s="14" t="s">
        <v>343</v>
      </c>
      <c r="X826">
        <f t="shared" si="819"/>
        <v>0.22988505747126445</v>
      </c>
      <c r="Y826" s="220" t="s">
        <v>1666</v>
      </c>
      <c r="Z826" s="220" t="str">
        <f t="shared" ref="Z826:AH826" si="894">Y826</f>
        <v>*</v>
      </c>
      <c r="AA826" s="792" t="str">
        <f t="shared" si="894"/>
        <v>*</v>
      </c>
      <c r="AB826" s="458" t="str">
        <f t="shared" si="894"/>
        <v>*</v>
      </c>
      <c r="AC826" s="497" t="str">
        <f t="shared" si="894"/>
        <v>*</v>
      </c>
      <c r="AD826" s="497" t="str">
        <f t="shared" si="894"/>
        <v>*</v>
      </c>
      <c r="AE826" s="454" t="str">
        <f t="shared" si="894"/>
        <v>*</v>
      </c>
      <c r="AF826" s="454" t="str">
        <f t="shared" si="894"/>
        <v>*</v>
      </c>
      <c r="AG826" s="454" t="str">
        <f t="shared" si="894"/>
        <v>*</v>
      </c>
      <c r="AH826" s="454" t="str">
        <f t="shared" si="894"/>
        <v>*</v>
      </c>
    </row>
    <row r="827" spans="1:34" ht="12.75">
      <c r="A827" s="14" t="s">
        <v>4181</v>
      </c>
      <c r="B827" s="24" t="s">
        <v>2668</v>
      </c>
      <c r="C827" s="14" t="s">
        <v>2698</v>
      </c>
      <c r="D827" s="14" t="s">
        <v>2911</v>
      </c>
      <c r="E827" s="14" t="s">
        <v>4182</v>
      </c>
      <c r="F827" s="13">
        <v>69.61</v>
      </c>
      <c r="G827" s="14" t="s">
        <v>3704</v>
      </c>
      <c r="H827" s="567">
        <v>18258</v>
      </c>
      <c r="I827" s="655" t="s">
        <v>4081</v>
      </c>
      <c r="J827" s="14" t="s">
        <v>4214</v>
      </c>
      <c r="K827" s="478">
        <v>0.34</v>
      </c>
      <c r="L827" s="220">
        <v>12.32</v>
      </c>
      <c r="M827" s="568" t="s">
        <v>4084</v>
      </c>
      <c r="N827" s="568"/>
      <c r="O827" s="569" t="s">
        <v>2976</v>
      </c>
      <c r="P827" s="14" t="s">
        <v>85</v>
      </c>
      <c r="Q827" s="10" t="s">
        <v>3171</v>
      </c>
      <c r="R827" s="14">
        <v>0.5</v>
      </c>
      <c r="S827" s="14">
        <f t="shared" si="817"/>
        <v>6.1600000000000002E-2</v>
      </c>
      <c r="T827" s="220">
        <f>SUM(R812:R831)</f>
        <v>98.95</v>
      </c>
      <c r="U827">
        <f t="shared" si="881"/>
        <v>0.50530570995452251</v>
      </c>
      <c r="V827" s="220">
        <f>U827*100/SUM(U812:U813,U815:U831)</f>
        <v>0.67613252197430718</v>
      </c>
      <c r="W827" s="14" t="s">
        <v>85</v>
      </c>
      <c r="X827">
        <f t="shared" si="819"/>
        <v>0.22988505747126445</v>
      </c>
      <c r="Y827" s="220" t="s">
        <v>1666</v>
      </c>
      <c r="Z827" s="220" t="str">
        <f t="shared" ref="Z827:AH827" si="895">Y827</f>
        <v>*</v>
      </c>
      <c r="AA827" s="792" t="str">
        <f t="shared" si="895"/>
        <v>*</v>
      </c>
      <c r="AB827" s="458" t="str">
        <f t="shared" si="895"/>
        <v>*</v>
      </c>
      <c r="AC827" s="497" t="str">
        <f t="shared" si="895"/>
        <v>*</v>
      </c>
      <c r="AD827" s="497" t="str">
        <f t="shared" si="895"/>
        <v>*</v>
      </c>
      <c r="AE827" s="454" t="str">
        <f t="shared" si="895"/>
        <v>*</v>
      </c>
      <c r="AF827" s="454" t="str">
        <f t="shared" si="895"/>
        <v>*</v>
      </c>
      <c r="AG827" s="454" t="str">
        <f t="shared" si="895"/>
        <v>*</v>
      </c>
      <c r="AH827" s="454" t="str">
        <f t="shared" si="895"/>
        <v>*</v>
      </c>
    </row>
    <row r="828" spans="1:34" ht="12.75">
      <c r="A828" s="14" t="s">
        <v>4181</v>
      </c>
      <c r="B828" s="24" t="s">
        <v>2668</v>
      </c>
      <c r="C828" s="14" t="s">
        <v>2698</v>
      </c>
      <c r="D828" s="14" t="s">
        <v>2911</v>
      </c>
      <c r="E828" s="14" t="s">
        <v>4182</v>
      </c>
      <c r="F828" s="13">
        <v>69.61</v>
      </c>
      <c r="G828" s="14" t="s">
        <v>3704</v>
      </c>
      <c r="H828" s="567">
        <v>18258</v>
      </c>
      <c r="I828" s="655" t="s">
        <v>4081</v>
      </c>
      <c r="J828" s="14" t="s">
        <v>4214</v>
      </c>
      <c r="K828" s="478">
        <v>0.34</v>
      </c>
      <c r="L828" s="220">
        <v>12.32</v>
      </c>
      <c r="M828" s="568" t="s">
        <v>4084</v>
      </c>
      <c r="N828" s="568"/>
      <c r="O828" s="569" t="s">
        <v>2976</v>
      </c>
      <c r="P828" s="14" t="s">
        <v>2945</v>
      </c>
      <c r="Q828" s="10" t="s">
        <v>2946</v>
      </c>
      <c r="R828" s="14">
        <v>0.25</v>
      </c>
      <c r="S828" s="14">
        <f t="shared" si="817"/>
        <v>3.0800000000000001E-2</v>
      </c>
      <c r="T828" s="220">
        <f>SUM(R812:R831)</f>
        <v>98.95</v>
      </c>
      <c r="U828">
        <f t="shared" si="881"/>
        <v>0.25265285497726125</v>
      </c>
      <c r="V828" s="220">
        <f>U828*100/SUM(U812:U813,U815:U831)</f>
        <v>0.33806626098715359</v>
      </c>
      <c r="W828" s="14" t="s">
        <v>433</v>
      </c>
      <c r="X828">
        <f t="shared" si="819"/>
        <v>0.11494252873563222</v>
      </c>
      <c r="Y828" s="220" t="s">
        <v>1666</v>
      </c>
      <c r="Z828" s="220" t="str">
        <f t="shared" ref="Z828:AH828" si="896">Y828</f>
        <v>*</v>
      </c>
      <c r="AA828" s="792" t="str">
        <f t="shared" si="896"/>
        <v>*</v>
      </c>
      <c r="AB828" s="458" t="str">
        <f t="shared" si="896"/>
        <v>*</v>
      </c>
      <c r="AC828" s="497" t="str">
        <f t="shared" si="896"/>
        <v>*</v>
      </c>
      <c r="AD828" s="497" t="str">
        <f t="shared" si="896"/>
        <v>*</v>
      </c>
      <c r="AE828" s="454" t="str">
        <f t="shared" si="896"/>
        <v>*</v>
      </c>
      <c r="AF828" s="454" t="str">
        <f t="shared" si="896"/>
        <v>*</v>
      </c>
      <c r="AG828" s="454" t="str">
        <f t="shared" si="896"/>
        <v>*</v>
      </c>
      <c r="AH828" s="454" t="str">
        <f t="shared" si="896"/>
        <v>*</v>
      </c>
    </row>
    <row r="829" spans="1:34" ht="12.75">
      <c r="A829" s="14" t="s">
        <v>4181</v>
      </c>
      <c r="B829" s="24" t="s">
        <v>2668</v>
      </c>
      <c r="C829" s="14" t="s">
        <v>2698</v>
      </c>
      <c r="D829" s="14" t="s">
        <v>2911</v>
      </c>
      <c r="E829" s="14" t="s">
        <v>4182</v>
      </c>
      <c r="F829" s="13">
        <v>69.61</v>
      </c>
      <c r="G829" s="14" t="s">
        <v>3704</v>
      </c>
      <c r="H829" s="567">
        <v>18258</v>
      </c>
      <c r="I829" s="655" t="s">
        <v>4081</v>
      </c>
      <c r="J829" s="14" t="s">
        <v>4214</v>
      </c>
      <c r="K829" s="478">
        <v>0.34</v>
      </c>
      <c r="L829" s="220">
        <v>12.32</v>
      </c>
      <c r="M829" s="568" t="s">
        <v>4084</v>
      </c>
      <c r="N829" s="568"/>
      <c r="O829" s="569" t="s">
        <v>2976</v>
      </c>
      <c r="P829" s="655" t="s">
        <v>2977</v>
      </c>
      <c r="Q829" s="486" t="s">
        <v>4087</v>
      </c>
      <c r="R829" s="14">
        <v>0.2</v>
      </c>
      <c r="S829" s="14">
        <f t="shared" si="817"/>
        <v>2.4640000000000002E-2</v>
      </c>
      <c r="T829" s="220">
        <f>SUM(R812:R831)</f>
        <v>98.95</v>
      </c>
      <c r="U829">
        <f t="shared" si="881"/>
        <v>0.20212228398180901</v>
      </c>
      <c r="V829" s="220">
        <f>U829*100/SUM(U812:U813,U815:U831)</f>
        <v>0.27045300878972289</v>
      </c>
      <c r="W829" s="14" t="s">
        <v>227</v>
      </c>
      <c r="X829">
        <f t="shared" si="819"/>
        <v>9.1954022988505787E-2</v>
      </c>
      <c r="Y829" s="220" t="s">
        <v>1666</v>
      </c>
      <c r="Z829" s="220" t="str">
        <f t="shared" ref="Z829:AH829" si="897">Y829</f>
        <v>*</v>
      </c>
      <c r="AA829" s="792" t="str">
        <f t="shared" si="897"/>
        <v>*</v>
      </c>
      <c r="AB829" s="458" t="str">
        <f t="shared" si="897"/>
        <v>*</v>
      </c>
      <c r="AC829" s="497" t="str">
        <f t="shared" si="897"/>
        <v>*</v>
      </c>
      <c r="AD829" s="497" t="str">
        <f t="shared" si="897"/>
        <v>*</v>
      </c>
      <c r="AE829" s="454" t="str">
        <f t="shared" si="897"/>
        <v>*</v>
      </c>
      <c r="AF829" s="454" t="str">
        <f t="shared" si="897"/>
        <v>*</v>
      </c>
      <c r="AG829" s="454" t="str">
        <f t="shared" si="897"/>
        <v>*</v>
      </c>
      <c r="AH829" s="454" t="str">
        <f t="shared" si="897"/>
        <v>*</v>
      </c>
    </row>
    <row r="830" spans="1:34" ht="12.75">
      <c r="A830" s="14" t="s">
        <v>4181</v>
      </c>
      <c r="B830" s="24" t="s">
        <v>2668</v>
      </c>
      <c r="C830" s="14" t="s">
        <v>2698</v>
      </c>
      <c r="D830" s="14" t="s">
        <v>2911</v>
      </c>
      <c r="E830" s="14" t="s">
        <v>4182</v>
      </c>
      <c r="F830" s="13">
        <v>69.61</v>
      </c>
      <c r="G830" s="14" t="s">
        <v>3704</v>
      </c>
      <c r="H830" s="567">
        <v>18258</v>
      </c>
      <c r="I830" s="655" t="s">
        <v>4081</v>
      </c>
      <c r="J830" s="14" t="s">
        <v>4214</v>
      </c>
      <c r="K830" s="478">
        <v>0.34</v>
      </c>
      <c r="L830" s="220">
        <v>12.32</v>
      </c>
      <c r="M830" s="568" t="s">
        <v>4084</v>
      </c>
      <c r="N830" s="568"/>
      <c r="O830" s="569" t="s">
        <v>2976</v>
      </c>
      <c r="P830" s="14" t="s">
        <v>2962</v>
      </c>
      <c r="Q830" s="572" t="s">
        <v>4216</v>
      </c>
      <c r="R830" s="14">
        <v>0.2</v>
      </c>
      <c r="S830" s="14">
        <f t="shared" si="817"/>
        <v>2.4640000000000002E-2</v>
      </c>
      <c r="T830" s="220">
        <f>SUM(R812:R831)</f>
        <v>98.95</v>
      </c>
      <c r="U830">
        <f t="shared" si="881"/>
        <v>0.20212228398180901</v>
      </c>
      <c r="V830" s="220">
        <f>U830*100/SUM(U812:U813,U815:U831)</f>
        <v>0.27045300878972289</v>
      </c>
      <c r="W830" s="14" t="s">
        <v>425</v>
      </c>
      <c r="X830">
        <f t="shared" si="819"/>
        <v>9.1954022988505787E-2</v>
      </c>
      <c r="Y830" s="220" t="s">
        <v>1666</v>
      </c>
      <c r="Z830" s="220" t="str">
        <f t="shared" ref="Z830:AH830" si="898">Y830</f>
        <v>*</v>
      </c>
      <c r="AA830" s="792" t="str">
        <f t="shared" si="898"/>
        <v>*</v>
      </c>
      <c r="AB830" s="458" t="str">
        <f t="shared" si="898"/>
        <v>*</v>
      </c>
      <c r="AC830" s="497" t="str">
        <f t="shared" si="898"/>
        <v>*</v>
      </c>
      <c r="AD830" s="497" t="str">
        <f t="shared" si="898"/>
        <v>*</v>
      </c>
      <c r="AE830" s="454" t="str">
        <f t="shared" si="898"/>
        <v>*</v>
      </c>
      <c r="AF830" s="454" t="str">
        <f t="shared" si="898"/>
        <v>*</v>
      </c>
      <c r="AG830" s="454" t="str">
        <f t="shared" si="898"/>
        <v>*</v>
      </c>
      <c r="AH830" s="454" t="str">
        <f t="shared" si="898"/>
        <v>*</v>
      </c>
    </row>
    <row r="831" spans="1:34" ht="12.75">
      <c r="A831" s="617" t="s">
        <v>4181</v>
      </c>
      <c r="B831" s="794" t="s">
        <v>2668</v>
      </c>
      <c r="C831" s="617" t="s">
        <v>2698</v>
      </c>
      <c r="D831" s="617" t="s">
        <v>2911</v>
      </c>
      <c r="E831" s="617" t="s">
        <v>4182</v>
      </c>
      <c r="F831" s="799">
        <v>69.61</v>
      </c>
      <c r="G831" s="617" t="s">
        <v>3704</v>
      </c>
      <c r="H831" s="910">
        <v>18258</v>
      </c>
      <c r="I831" s="849" t="s">
        <v>4081</v>
      </c>
      <c r="J831" s="617" t="s">
        <v>4214</v>
      </c>
      <c r="K831" s="838">
        <v>0.34</v>
      </c>
      <c r="L831" s="725">
        <v>12.32</v>
      </c>
      <c r="M831" s="911" t="s">
        <v>4084</v>
      </c>
      <c r="N831" s="911"/>
      <c r="O831" s="912" t="s">
        <v>2976</v>
      </c>
      <c r="P831" s="617" t="s">
        <v>2945</v>
      </c>
      <c r="Q831" s="617" t="s">
        <v>4088</v>
      </c>
      <c r="R831" s="617">
        <v>0.2</v>
      </c>
      <c r="S831" s="617">
        <f t="shared" si="817"/>
        <v>2.4640000000000002E-2</v>
      </c>
      <c r="T831" s="868">
        <f>SUM(R812:R831)</f>
        <v>98.95</v>
      </c>
      <c r="U831" s="617">
        <f t="shared" si="881"/>
        <v>0.20212228398180901</v>
      </c>
      <c r="V831" s="725">
        <f>U831*100/SUM(U812:U813,U815:U831)</f>
        <v>0.27045300878972289</v>
      </c>
      <c r="W831" s="617" t="s">
        <v>433</v>
      </c>
      <c r="X831" s="617">
        <f t="shared" si="819"/>
        <v>9.1954022988505787E-2</v>
      </c>
      <c r="Y831" s="725" t="s">
        <v>1666</v>
      </c>
      <c r="Z831" s="725" t="s">
        <v>1666</v>
      </c>
      <c r="AA831" s="455" t="str">
        <f t="shared" ref="AA831:AA832" si="899">Z831</f>
        <v>*</v>
      </c>
      <c r="AB831" s="793" t="s">
        <v>1666</v>
      </c>
      <c r="AC831" s="799" t="str">
        <f t="shared" ref="AC831:AH831" si="900">AB831</f>
        <v>*</v>
      </c>
      <c r="AD831" s="799" t="str">
        <f t="shared" si="900"/>
        <v>*</v>
      </c>
      <c r="AE831" s="725" t="str">
        <f t="shared" si="900"/>
        <v>*</v>
      </c>
      <c r="AF831" s="725" t="str">
        <f t="shared" si="900"/>
        <v>*</v>
      </c>
      <c r="AG831" s="725" t="str">
        <f t="shared" si="900"/>
        <v>*</v>
      </c>
      <c r="AH831" s="725" t="str">
        <f t="shared" si="900"/>
        <v>*</v>
      </c>
    </row>
    <row r="832" spans="1:34" ht="14.25">
      <c r="A832" s="14" t="s">
        <v>4217</v>
      </c>
      <c r="B832" s="24" t="s">
        <v>2668</v>
      </c>
      <c r="C832" s="14" t="s">
        <v>2704</v>
      </c>
      <c r="D832" s="14" t="s">
        <v>2911</v>
      </c>
      <c r="E832" s="14" t="s">
        <v>4218</v>
      </c>
      <c r="F832" s="13">
        <v>78.45</v>
      </c>
      <c r="G832" s="14" t="s">
        <v>3704</v>
      </c>
      <c r="H832" s="567" t="s">
        <v>2973</v>
      </c>
      <c r="I832" s="14" t="s">
        <v>4218</v>
      </c>
      <c r="J832" s="14" t="s">
        <v>4219</v>
      </c>
      <c r="K832" s="478">
        <v>0.77</v>
      </c>
      <c r="L832" s="220">
        <v>64.680000000000007</v>
      </c>
      <c r="M832" s="568" t="s">
        <v>4220</v>
      </c>
      <c r="N832" s="479" t="s">
        <v>2937</v>
      </c>
      <c r="O832" s="568" t="s">
        <v>4221</v>
      </c>
      <c r="P832" s="655" t="s">
        <v>3005</v>
      </c>
      <c r="Q832" s="486" t="s">
        <v>3006</v>
      </c>
      <c r="R832" s="14">
        <v>23</v>
      </c>
      <c r="S832" s="14">
        <f t="shared" si="817"/>
        <v>14.876400000000002</v>
      </c>
      <c r="T832" s="487">
        <f>SUM(R832:R868)</f>
        <v>98.999999999999957</v>
      </c>
      <c r="U832">
        <f t="shared" ref="U832:U842" si="901">R832*100/T832</f>
        <v>23.232323232323242</v>
      </c>
      <c r="V832" s="220">
        <f>U832*100/SUM(U832:U834,U836:U868)</f>
        <v>24.999999999999993</v>
      </c>
      <c r="W832" s="14" t="s">
        <v>2526</v>
      </c>
      <c r="X832">
        <f t="shared" si="819"/>
        <v>19.249999999999996</v>
      </c>
      <c r="Y832" s="220">
        <f>SUM(X832,X859,X866,X869,X885,X861,X879)</f>
        <v>34.897800595446512</v>
      </c>
      <c r="Z832" s="220">
        <f>SUM(X832,X859,X866,X869,X885)</f>
        <v>34.509064744333337</v>
      </c>
      <c r="AA832" s="792">
        <f t="shared" si="899"/>
        <v>34.509064744333337</v>
      </c>
      <c r="AB832" s="18" t="s">
        <v>2705</v>
      </c>
      <c r="AC832" s="13" t="s">
        <v>215</v>
      </c>
      <c r="AD832" s="13" t="s">
        <v>3007</v>
      </c>
      <c r="AE832" s="12">
        <v>5.0851930036188197E-3</v>
      </c>
      <c r="AF832" s="12">
        <v>5.9995417730640897E-2</v>
      </c>
      <c r="AG832" s="12">
        <v>3.4699999999999998E-4</v>
      </c>
      <c r="AH832" s="12">
        <v>2.9762429672480995E-4</v>
      </c>
    </row>
    <row r="833" spans="1:34" ht="14.25">
      <c r="A833" s="14" t="s">
        <v>4217</v>
      </c>
      <c r="B833" s="24" t="s">
        <v>2668</v>
      </c>
      <c r="C833" s="14" t="s">
        <v>2704</v>
      </c>
      <c r="D833" s="14" t="s">
        <v>2911</v>
      </c>
      <c r="E833" s="14" t="s">
        <v>4218</v>
      </c>
      <c r="F833" s="13">
        <v>78.45</v>
      </c>
      <c r="G833" s="14" t="s">
        <v>3704</v>
      </c>
      <c r="H833" s="567" t="s">
        <v>2973</v>
      </c>
      <c r="I833" s="14" t="s">
        <v>4218</v>
      </c>
      <c r="J833" s="14" t="s">
        <v>4219</v>
      </c>
      <c r="K833" s="478">
        <v>0.77</v>
      </c>
      <c r="L833" s="220">
        <v>64.680000000000007</v>
      </c>
      <c r="M833" s="568" t="s">
        <v>4220</v>
      </c>
      <c r="N833" s="479" t="s">
        <v>2937</v>
      </c>
      <c r="O833" s="568" t="s">
        <v>4221</v>
      </c>
      <c r="P833" s="14" t="s">
        <v>3862</v>
      </c>
      <c r="Q833" s="486" t="s">
        <v>3863</v>
      </c>
      <c r="R833" s="14">
        <v>0.1</v>
      </c>
      <c r="S833" s="14">
        <f t="shared" si="817"/>
        <v>6.4680000000000001E-2</v>
      </c>
      <c r="T833" s="487">
        <f>SUM(R832:R868)</f>
        <v>98.999999999999957</v>
      </c>
      <c r="U833">
        <f t="shared" si="901"/>
        <v>0.10101010101010105</v>
      </c>
      <c r="V833" s="220">
        <f>U833*100/SUM(U832:U834,U836:U868)</f>
        <v>0.10869565217391301</v>
      </c>
      <c r="W833" s="14" t="s">
        <v>4161</v>
      </c>
      <c r="X833">
        <f t="shared" si="819"/>
        <v>8.3695652173913018E-2</v>
      </c>
      <c r="Y833" s="499">
        <f t="shared" ref="Y833:AA833" si="902">X833</f>
        <v>8.3695652173913018E-2</v>
      </c>
      <c r="Z833" s="220">
        <f t="shared" si="902"/>
        <v>8.3695652173913018E-2</v>
      </c>
      <c r="AA833" s="792">
        <f t="shared" si="902"/>
        <v>8.3695652173913018E-2</v>
      </c>
      <c r="AB833" s="18" t="s">
        <v>2662</v>
      </c>
      <c r="AC833" s="13" t="s">
        <v>208</v>
      </c>
      <c r="AD833" s="13" t="s">
        <v>3864</v>
      </c>
      <c r="AE833" s="12">
        <v>6.399192301960112E-3</v>
      </c>
      <c r="AF833" s="12">
        <v>0.12411340117772937</v>
      </c>
      <c r="AG833" s="12">
        <v>9.8749999999999988E-5</v>
      </c>
      <c r="AH833" s="12">
        <v>3.8580927353216109E-4</v>
      </c>
    </row>
    <row r="834" spans="1:34" ht="14.25">
      <c r="A834" s="14" t="s">
        <v>4217</v>
      </c>
      <c r="B834" s="24" t="s">
        <v>2668</v>
      </c>
      <c r="C834" s="14" t="s">
        <v>2704</v>
      </c>
      <c r="D834" s="14" t="s">
        <v>2911</v>
      </c>
      <c r="E834" s="14" t="s">
        <v>4218</v>
      </c>
      <c r="F834" s="13">
        <v>78.45</v>
      </c>
      <c r="G834" s="14" t="s">
        <v>3704</v>
      </c>
      <c r="H834" s="567" t="s">
        <v>2973</v>
      </c>
      <c r="I834" s="14" t="s">
        <v>4218</v>
      </c>
      <c r="J834" s="14" t="s">
        <v>4219</v>
      </c>
      <c r="K834" s="478">
        <v>0.77</v>
      </c>
      <c r="L834" s="220">
        <v>64.680000000000007</v>
      </c>
      <c r="M834" s="568" t="s">
        <v>4220</v>
      </c>
      <c r="N834" s="479" t="s">
        <v>2937</v>
      </c>
      <c r="O834" s="568" t="s">
        <v>4221</v>
      </c>
      <c r="P834" s="14" t="s">
        <v>2945</v>
      </c>
      <c r="Q834" s="10" t="s">
        <v>2946</v>
      </c>
      <c r="R834" s="14">
        <v>26</v>
      </c>
      <c r="S834" s="14">
        <f t="shared" si="817"/>
        <v>16.816800000000001</v>
      </c>
      <c r="T834" s="487">
        <f>SUM(R832:R868)</f>
        <v>98.999999999999957</v>
      </c>
      <c r="U834">
        <f t="shared" si="901"/>
        <v>26.262626262626274</v>
      </c>
      <c r="V834" s="220">
        <f>U834*100/SUM(U832:U834,U836:U868)</f>
        <v>28.26086956521738</v>
      </c>
      <c r="W834" s="14" t="s">
        <v>433</v>
      </c>
      <c r="X834">
        <f t="shared" si="819"/>
        <v>21.760869565217384</v>
      </c>
      <c r="Y834" s="220">
        <f>SUM(X834,X840,X876,X882)</f>
        <v>25.766436105237148</v>
      </c>
      <c r="Z834" s="220">
        <f t="shared" ref="Z834:AA834" si="903">Y834</f>
        <v>25.766436105237148</v>
      </c>
      <c r="AA834" s="792">
        <f t="shared" si="903"/>
        <v>25.766436105237148</v>
      </c>
      <c r="AB834" s="18" t="s">
        <v>433</v>
      </c>
      <c r="AC834" s="13" t="s">
        <v>433</v>
      </c>
      <c r="AD834" s="13" t="s">
        <v>2947</v>
      </c>
      <c r="AE834" s="12">
        <v>3.0104466724907065E-4</v>
      </c>
      <c r="AF834" s="12">
        <v>1.2500000000000001E-2</v>
      </c>
      <c r="AG834" s="12">
        <v>5.1818181818181835E-4</v>
      </c>
      <c r="AH834" s="12">
        <v>4.0084080366977777E-4</v>
      </c>
    </row>
    <row r="835" spans="1:34" ht="14.25">
      <c r="A835" s="14" t="s">
        <v>4217</v>
      </c>
      <c r="B835" s="24" t="s">
        <v>2668</v>
      </c>
      <c r="C835" s="14" t="s">
        <v>2704</v>
      </c>
      <c r="D835" s="14" t="s">
        <v>2911</v>
      </c>
      <c r="E835" s="14" t="s">
        <v>4218</v>
      </c>
      <c r="F835" s="13">
        <v>78.45</v>
      </c>
      <c r="G835" s="14" t="s">
        <v>3704</v>
      </c>
      <c r="H835" s="567" t="s">
        <v>2973</v>
      </c>
      <c r="I835" s="14" t="s">
        <v>4218</v>
      </c>
      <c r="J835" s="14" t="s">
        <v>4219</v>
      </c>
      <c r="K835" s="478">
        <v>0.77</v>
      </c>
      <c r="L835" s="220">
        <v>64.680000000000007</v>
      </c>
      <c r="M835" s="568" t="s">
        <v>4220</v>
      </c>
      <c r="N835" s="479" t="s">
        <v>2937</v>
      </c>
      <c r="O835" s="568" t="s">
        <v>4221</v>
      </c>
      <c r="P835" s="14" t="s">
        <v>2938</v>
      </c>
      <c r="Q835" s="435" t="s">
        <v>2939</v>
      </c>
      <c r="R835" s="14">
        <v>7</v>
      </c>
      <c r="S835" s="14">
        <f t="shared" si="817"/>
        <v>4.5276000000000005</v>
      </c>
      <c r="T835" s="487">
        <f>SUM(R832:R868)</f>
        <v>98.999999999999957</v>
      </c>
      <c r="U835">
        <f t="shared" si="901"/>
        <v>7.0707070707070736</v>
      </c>
      <c r="V835" s="481">
        <f>U835</f>
        <v>7.0707070707070736</v>
      </c>
      <c r="W835" s="482" t="s">
        <v>72</v>
      </c>
      <c r="X835" s="482">
        <f t="shared" si="819"/>
        <v>5.4444444444444464</v>
      </c>
      <c r="Y835" s="481">
        <f>SUM(X835,X870)</f>
        <v>10.825929693681475</v>
      </c>
      <c r="Z835" s="481">
        <f t="shared" ref="Z835:AA835" si="904">Y835</f>
        <v>10.825929693681475</v>
      </c>
      <c r="AA835" s="796">
        <f t="shared" si="904"/>
        <v>10.825929693681475</v>
      </c>
      <c r="AB835" s="456" t="s">
        <v>72</v>
      </c>
      <c r="AC835" s="469" t="s">
        <v>2938</v>
      </c>
      <c r="AD835" s="469" t="s">
        <v>2940</v>
      </c>
      <c r="AE835" s="457">
        <v>0</v>
      </c>
      <c r="AF835" s="457">
        <v>0</v>
      </c>
      <c r="AG835" s="457">
        <v>0</v>
      </c>
      <c r="AH835" s="457">
        <v>0</v>
      </c>
    </row>
    <row r="836" spans="1:34" ht="14.25">
      <c r="A836" s="14" t="s">
        <v>4217</v>
      </c>
      <c r="B836" s="24" t="s">
        <v>2668</v>
      </c>
      <c r="C836" s="14" t="s">
        <v>2704</v>
      </c>
      <c r="D836" s="14" t="s">
        <v>2911</v>
      </c>
      <c r="E836" s="14" t="s">
        <v>4218</v>
      </c>
      <c r="F836" s="13">
        <v>78.45</v>
      </c>
      <c r="G836" s="14" t="s">
        <v>3704</v>
      </c>
      <c r="H836" s="567" t="s">
        <v>2973</v>
      </c>
      <c r="I836" s="14" t="s">
        <v>4218</v>
      </c>
      <c r="J836" s="14" t="s">
        <v>4219</v>
      </c>
      <c r="K836" s="478">
        <v>0.77</v>
      </c>
      <c r="L836" s="220">
        <v>64.680000000000007</v>
      </c>
      <c r="M836" s="568" t="s">
        <v>4220</v>
      </c>
      <c r="N836" s="479" t="s">
        <v>2937</v>
      </c>
      <c r="O836" s="568" t="s">
        <v>4221</v>
      </c>
      <c r="P836" s="14" t="s">
        <v>3184</v>
      </c>
      <c r="Q836" s="14" t="s">
        <v>3185</v>
      </c>
      <c r="R836" s="14">
        <v>4</v>
      </c>
      <c r="S836" s="14">
        <f t="shared" si="817"/>
        <v>2.5872000000000002</v>
      </c>
      <c r="T836" s="487">
        <f>SUM(R832:R868)</f>
        <v>98.999999999999957</v>
      </c>
      <c r="U836">
        <f t="shared" si="901"/>
        <v>4.0404040404040424</v>
      </c>
      <c r="V836" s="220">
        <f>U836*100/SUM(U832:U834,U836:U868)</f>
        <v>4.3478260869565206</v>
      </c>
      <c r="W836" s="14" t="s">
        <v>2577</v>
      </c>
      <c r="X836">
        <f t="shared" si="819"/>
        <v>3.3478260869565211</v>
      </c>
      <c r="Y836" s="220">
        <f t="shared" ref="Y836:AA836" si="905">X836</f>
        <v>3.3478260869565211</v>
      </c>
      <c r="Z836" s="220">
        <f t="shared" si="905"/>
        <v>3.3478260869565211</v>
      </c>
      <c r="AA836" s="792">
        <f t="shared" si="905"/>
        <v>3.3478260869565211</v>
      </c>
      <c r="AB836" s="18" t="s">
        <v>2577</v>
      </c>
      <c r="AC836" s="13" t="s">
        <v>3186</v>
      </c>
      <c r="AD836" s="13" t="s">
        <v>3187</v>
      </c>
      <c r="AE836" s="12">
        <v>2.0907198096371199E-3</v>
      </c>
      <c r="AF836" s="12">
        <v>1.7024640721375099E-2</v>
      </c>
      <c r="AG836" s="12">
        <v>3.6304347826086956E-4</v>
      </c>
      <c r="AH836" s="12">
        <v>9.106057387715603E-4</v>
      </c>
    </row>
    <row r="837" spans="1:34" ht="14.25">
      <c r="A837" s="14" t="s">
        <v>4217</v>
      </c>
      <c r="B837" s="24" t="s">
        <v>2668</v>
      </c>
      <c r="C837" s="14" t="s">
        <v>2704</v>
      </c>
      <c r="D837" s="14" t="s">
        <v>2911</v>
      </c>
      <c r="E837" s="14" t="s">
        <v>4218</v>
      </c>
      <c r="F837" s="13">
        <v>78.45</v>
      </c>
      <c r="G837" s="14" t="s">
        <v>3704</v>
      </c>
      <c r="H837" s="567" t="s">
        <v>2973</v>
      </c>
      <c r="I837" s="14" t="s">
        <v>4218</v>
      </c>
      <c r="J837" s="14" t="s">
        <v>4219</v>
      </c>
      <c r="K837" s="478">
        <v>0.77</v>
      </c>
      <c r="L837" s="220">
        <v>64.680000000000007</v>
      </c>
      <c r="M837" s="568" t="s">
        <v>4220</v>
      </c>
      <c r="N837" s="479" t="s">
        <v>2937</v>
      </c>
      <c r="O837" s="568" t="s">
        <v>4221</v>
      </c>
      <c r="P837" s="14" t="s">
        <v>139</v>
      </c>
      <c r="Q837" s="10" t="s">
        <v>3701</v>
      </c>
      <c r="R837" s="14">
        <v>13.5</v>
      </c>
      <c r="S837" s="14">
        <f t="shared" si="817"/>
        <v>8.7318000000000016</v>
      </c>
      <c r="T837" s="487">
        <f>SUM(R832:R868)</f>
        <v>98.999999999999957</v>
      </c>
      <c r="U837">
        <f t="shared" si="901"/>
        <v>13.636363636363642</v>
      </c>
      <c r="V837" s="220">
        <f>U837*100/SUM(U832:U834,U836:U868)</f>
        <v>14.673913043478256</v>
      </c>
      <c r="W837" s="14" t="s">
        <v>139</v>
      </c>
      <c r="X837">
        <f t="shared" si="819"/>
        <v>11.298913043478258</v>
      </c>
      <c r="Y837" s="220">
        <f>SUM(X837,X844)</f>
        <v>11.717391304347823</v>
      </c>
      <c r="Z837" s="220">
        <f t="shared" ref="Z837:AA837" si="906">Y837</f>
        <v>11.717391304347823</v>
      </c>
      <c r="AA837" s="792">
        <f t="shared" si="906"/>
        <v>11.717391304347823</v>
      </c>
      <c r="AB837" s="18" t="s">
        <v>2706</v>
      </c>
      <c r="AC837" s="13" t="s">
        <v>138</v>
      </c>
      <c r="AD837" s="13" t="s">
        <v>3019</v>
      </c>
      <c r="AE837" s="12">
        <v>4.0165275294130297E-3</v>
      </c>
      <c r="AF837" s="12">
        <v>3.2725331200335404E-2</v>
      </c>
      <c r="AG837" s="12">
        <v>2.4399999999999999E-4</v>
      </c>
      <c r="AH837" s="12">
        <v>2.0392735E-3</v>
      </c>
    </row>
    <row r="838" spans="1:34" ht="14.25">
      <c r="A838" s="14" t="s">
        <v>4217</v>
      </c>
      <c r="B838" s="24" t="s">
        <v>2668</v>
      </c>
      <c r="C838" s="14" t="s">
        <v>2704</v>
      </c>
      <c r="D838" s="14" t="s">
        <v>2911</v>
      </c>
      <c r="E838" s="14" t="s">
        <v>4218</v>
      </c>
      <c r="F838" s="13">
        <v>78.45</v>
      </c>
      <c r="G838" s="14" t="s">
        <v>3704</v>
      </c>
      <c r="H838" s="567" t="s">
        <v>2973</v>
      </c>
      <c r="I838" s="14" t="s">
        <v>4218</v>
      </c>
      <c r="J838" s="14" t="s">
        <v>4219</v>
      </c>
      <c r="K838" s="478">
        <v>0.77</v>
      </c>
      <c r="L838" s="220">
        <v>64.680000000000007</v>
      </c>
      <c r="M838" s="568" t="s">
        <v>4220</v>
      </c>
      <c r="N838" s="479" t="s">
        <v>2937</v>
      </c>
      <c r="O838" s="568" t="s">
        <v>4221</v>
      </c>
      <c r="P838" s="14" t="s">
        <v>3021</v>
      </c>
      <c r="Q838" s="486" t="s">
        <v>3022</v>
      </c>
      <c r="R838" s="14">
        <v>9</v>
      </c>
      <c r="S838" s="14">
        <f t="shared" si="817"/>
        <v>5.8212000000000002</v>
      </c>
      <c r="T838" s="487">
        <f>SUM(R832:R868)</f>
        <v>98.999999999999957</v>
      </c>
      <c r="U838">
        <f t="shared" si="901"/>
        <v>9.0909090909090953</v>
      </c>
      <c r="V838" s="220">
        <f>U838*100/SUM(U832:U834,U836:U868)</f>
        <v>9.7826086956521721</v>
      </c>
      <c r="W838" s="14" t="s">
        <v>346</v>
      </c>
      <c r="X838">
        <f t="shared" si="819"/>
        <v>7.5326086956521729</v>
      </c>
      <c r="Y838" s="220">
        <f>SUM(X838,X843,X858,X863,X871,X873,X875,X886,X850,X854,X868)</f>
        <v>11.029708135395662</v>
      </c>
      <c r="Z838" s="220">
        <f>SUM(X838,X843,X858,X863,X871,X873,X875,X886,X850)</f>
        <v>10.694925526700009</v>
      </c>
      <c r="AA838" s="792">
        <f>Z838</f>
        <v>10.694925526700009</v>
      </c>
      <c r="AB838" s="18" t="s">
        <v>2707</v>
      </c>
      <c r="AC838" s="13" t="s">
        <v>2982</v>
      </c>
      <c r="AD838" s="13" t="s">
        <v>2983</v>
      </c>
      <c r="AE838" s="12">
        <v>2.9691872042618299E-2</v>
      </c>
      <c r="AF838" s="12">
        <v>7.5368545517799299E-2</v>
      </c>
      <c r="AG838" s="12">
        <v>2.9014018691588786E-4</v>
      </c>
      <c r="AH838" s="12">
        <v>1.4770983615231311E-3</v>
      </c>
    </row>
    <row r="839" spans="1:34" ht="14.25">
      <c r="A839" s="14" t="s">
        <v>4217</v>
      </c>
      <c r="B839" s="24" t="s">
        <v>2668</v>
      </c>
      <c r="C839" s="14" t="s">
        <v>2704</v>
      </c>
      <c r="D839" s="14" t="s">
        <v>2911</v>
      </c>
      <c r="E839" s="14" t="s">
        <v>4218</v>
      </c>
      <c r="F839" s="13">
        <v>78.45</v>
      </c>
      <c r="G839" s="14" t="s">
        <v>3704</v>
      </c>
      <c r="H839" s="567" t="s">
        <v>2973</v>
      </c>
      <c r="I839" s="14" t="s">
        <v>4218</v>
      </c>
      <c r="J839" s="14" t="s">
        <v>4219</v>
      </c>
      <c r="K839" s="478">
        <v>0.77</v>
      </c>
      <c r="L839" s="220">
        <v>64.680000000000007</v>
      </c>
      <c r="M839" s="568" t="s">
        <v>4220</v>
      </c>
      <c r="N839" s="479" t="s">
        <v>2937</v>
      </c>
      <c r="O839" s="568" t="s">
        <v>4221</v>
      </c>
      <c r="P839" s="14" t="s">
        <v>1376</v>
      </c>
      <c r="Q839" s="486" t="s">
        <v>3114</v>
      </c>
      <c r="R839" s="14">
        <v>0.7</v>
      </c>
      <c r="S839" s="14">
        <f t="shared" si="817"/>
        <v>0.45276</v>
      </c>
      <c r="T839" s="487">
        <f>SUM(R832:R868)</f>
        <v>98.999999999999957</v>
      </c>
      <c r="U839">
        <f t="shared" si="901"/>
        <v>0.7070707070707074</v>
      </c>
      <c r="V839" s="220">
        <f>U839*100/SUM(U832:U834,U836:U868)</f>
        <v>0.76086956521739113</v>
      </c>
      <c r="W839" s="14" t="s">
        <v>1377</v>
      </c>
      <c r="X839">
        <f t="shared" si="819"/>
        <v>0.5858695652173912</v>
      </c>
      <c r="Y839" s="499">
        <f>SUM(X839)</f>
        <v>0.5858695652173912</v>
      </c>
      <c r="Z839" s="220">
        <f t="shared" ref="Z839:AA839" si="907">Y839</f>
        <v>0.5858695652173912</v>
      </c>
      <c r="AA839" s="792">
        <f t="shared" si="907"/>
        <v>0.5858695652173912</v>
      </c>
      <c r="AB839" s="18" t="s">
        <v>340</v>
      </c>
      <c r="AC839" s="13" t="s">
        <v>3115</v>
      </c>
      <c r="AD839" s="13" t="s">
        <v>3116</v>
      </c>
      <c r="AE839" s="12">
        <v>2.1708241661196198E-2</v>
      </c>
      <c r="AF839" s="12">
        <v>0.36572952458380198</v>
      </c>
      <c r="AG839" s="12">
        <v>4.6350652173913045E-4</v>
      </c>
      <c r="AH839" s="12">
        <v>1.6975608035415088E-3</v>
      </c>
    </row>
    <row r="840" spans="1:34" ht="14.25">
      <c r="A840" s="14" t="s">
        <v>4217</v>
      </c>
      <c r="B840" s="24" t="s">
        <v>2668</v>
      </c>
      <c r="C840" s="14" t="s">
        <v>2704</v>
      </c>
      <c r="D840" s="14" t="s">
        <v>2911</v>
      </c>
      <c r="E840" s="14" t="s">
        <v>4218</v>
      </c>
      <c r="F840" s="13">
        <v>78.45</v>
      </c>
      <c r="G840" s="14" t="s">
        <v>3704</v>
      </c>
      <c r="H840" s="567" t="s">
        <v>2973</v>
      </c>
      <c r="I840" s="14" t="s">
        <v>4218</v>
      </c>
      <c r="J840" s="14" t="s">
        <v>4219</v>
      </c>
      <c r="K840" s="478">
        <v>0.77</v>
      </c>
      <c r="L840" s="220">
        <v>64.680000000000007</v>
      </c>
      <c r="M840" s="568" t="s">
        <v>4220</v>
      </c>
      <c r="N840" s="479" t="s">
        <v>2937</v>
      </c>
      <c r="O840" s="568" t="s">
        <v>4221</v>
      </c>
      <c r="P840" s="14" t="s">
        <v>2945</v>
      </c>
      <c r="Q840" s="10" t="s">
        <v>4222</v>
      </c>
      <c r="R840" s="14">
        <v>3</v>
      </c>
      <c r="S840" s="14">
        <f t="shared" si="817"/>
        <v>1.9404000000000001</v>
      </c>
      <c r="T840" s="487">
        <f>SUM(R832:R868)</f>
        <v>98.999999999999957</v>
      </c>
      <c r="U840">
        <f t="shared" si="901"/>
        <v>3.0303030303030316</v>
      </c>
      <c r="V840" s="220">
        <f>U840*100/SUM(U832:U834,U836:U868)</f>
        <v>3.2608695652173902</v>
      </c>
      <c r="W840" s="14" t="s">
        <v>433</v>
      </c>
      <c r="X840">
        <f t="shared" si="819"/>
        <v>2.5108695652173907</v>
      </c>
      <c r="Y840" s="220" t="s">
        <v>1666</v>
      </c>
      <c r="Z840" s="220" t="str">
        <f t="shared" ref="Z840:AH840" si="908">Y840</f>
        <v>*</v>
      </c>
      <c r="AA840" s="792" t="str">
        <f t="shared" si="908"/>
        <v>*</v>
      </c>
      <c r="AB840" s="458" t="str">
        <f t="shared" si="908"/>
        <v>*</v>
      </c>
      <c r="AC840" s="497" t="str">
        <f t="shared" si="908"/>
        <v>*</v>
      </c>
      <c r="AD840" s="497" t="str">
        <f t="shared" si="908"/>
        <v>*</v>
      </c>
      <c r="AE840" s="454" t="str">
        <f t="shared" si="908"/>
        <v>*</v>
      </c>
      <c r="AF840" s="454" t="str">
        <f t="shared" si="908"/>
        <v>*</v>
      </c>
      <c r="AG840" s="454" t="str">
        <f t="shared" si="908"/>
        <v>*</v>
      </c>
      <c r="AH840" s="454" t="str">
        <f t="shared" si="908"/>
        <v>*</v>
      </c>
    </row>
    <row r="841" spans="1:34" ht="14.25">
      <c r="A841" s="14" t="s">
        <v>4217</v>
      </c>
      <c r="B841" s="24" t="s">
        <v>2668</v>
      </c>
      <c r="C841" s="14" t="s">
        <v>2704</v>
      </c>
      <c r="D841" s="14" t="s">
        <v>2911</v>
      </c>
      <c r="E841" s="14" t="s">
        <v>4218</v>
      </c>
      <c r="F841" s="13">
        <v>78.45</v>
      </c>
      <c r="G841" s="14" t="s">
        <v>3704</v>
      </c>
      <c r="H841" s="567" t="s">
        <v>2973</v>
      </c>
      <c r="I841" s="14" t="s">
        <v>4218</v>
      </c>
      <c r="J841" s="14" t="s">
        <v>4219</v>
      </c>
      <c r="K841" s="478">
        <v>0.77</v>
      </c>
      <c r="L841" s="220">
        <v>64.680000000000007</v>
      </c>
      <c r="M841" s="568" t="s">
        <v>4220</v>
      </c>
      <c r="N841" s="479" t="s">
        <v>2937</v>
      </c>
      <c r="O841" s="568" t="s">
        <v>4221</v>
      </c>
      <c r="P841" s="14" t="s">
        <v>4223</v>
      </c>
      <c r="Q841" s="486" t="s">
        <v>4224</v>
      </c>
      <c r="R841" s="14">
        <v>3</v>
      </c>
      <c r="S841" s="14">
        <f t="shared" si="817"/>
        <v>1.9404000000000001</v>
      </c>
      <c r="T841" s="487">
        <f>SUM(R832:R868)</f>
        <v>98.999999999999957</v>
      </c>
      <c r="U841">
        <f t="shared" si="901"/>
        <v>3.0303030303030316</v>
      </c>
      <c r="V841" s="220">
        <f>U841*100/SUM(U832:U834,U836:U868)</f>
        <v>3.2608695652173902</v>
      </c>
      <c r="W841" s="14" t="s">
        <v>4225</v>
      </c>
      <c r="X841">
        <f t="shared" si="819"/>
        <v>2.5108695652173907</v>
      </c>
      <c r="Y841" s="220">
        <f>SUM(X841:X842,X867)</f>
        <v>3.0130434782608688</v>
      </c>
      <c r="Z841" s="220">
        <f t="shared" ref="Z841:AA841" si="909">Y841</f>
        <v>3.0130434782608688</v>
      </c>
      <c r="AA841" s="792">
        <f t="shared" si="909"/>
        <v>3.0130434782608688</v>
      </c>
      <c r="AB841" s="18" t="s">
        <v>2708</v>
      </c>
      <c r="AC841" s="13" t="s">
        <v>2953</v>
      </c>
      <c r="AD841" s="13" t="s">
        <v>2954</v>
      </c>
      <c r="AE841" s="12">
        <v>3.372204299368619E-2</v>
      </c>
      <c r="AF841" s="12">
        <v>6.4584205812988751E-2</v>
      </c>
      <c r="AG841" s="12">
        <v>3.9999999999999998E-6</v>
      </c>
      <c r="AH841" s="12">
        <v>1.477309663377164E-3</v>
      </c>
    </row>
    <row r="842" spans="1:34" ht="14.25">
      <c r="A842" s="14" t="s">
        <v>4217</v>
      </c>
      <c r="B842" s="24" t="s">
        <v>2668</v>
      </c>
      <c r="C842" s="14" t="s">
        <v>2704</v>
      </c>
      <c r="D842" s="14" t="s">
        <v>2911</v>
      </c>
      <c r="E842" s="14" t="s">
        <v>4218</v>
      </c>
      <c r="F842" s="13">
        <v>78.45</v>
      </c>
      <c r="G842" s="14" t="s">
        <v>3704</v>
      </c>
      <c r="H842" s="567" t="s">
        <v>2973</v>
      </c>
      <c r="I842" s="14" t="s">
        <v>4218</v>
      </c>
      <c r="J842" s="14" t="s">
        <v>4219</v>
      </c>
      <c r="K842" s="478">
        <v>0.77</v>
      </c>
      <c r="L842" s="220">
        <v>64.680000000000007</v>
      </c>
      <c r="M842" s="568" t="s">
        <v>4220</v>
      </c>
      <c r="N842" s="479" t="s">
        <v>2937</v>
      </c>
      <c r="O842" s="568" t="s">
        <v>4221</v>
      </c>
      <c r="P842" s="14" t="s">
        <v>4226</v>
      </c>
      <c r="Q842" s="486" t="s">
        <v>4227</v>
      </c>
      <c r="R842" s="14">
        <v>0.5</v>
      </c>
      <c r="S842" s="14">
        <f t="shared" si="817"/>
        <v>0.32340000000000002</v>
      </c>
      <c r="T842" s="487">
        <f>SUM(R832:R868)</f>
        <v>98.999999999999957</v>
      </c>
      <c r="U842">
        <f t="shared" si="901"/>
        <v>0.50505050505050531</v>
      </c>
      <c r="V842" s="220">
        <f>U842*100/SUM(U832:U834,U836:U868)</f>
        <v>0.54347826086956508</v>
      </c>
      <c r="W842" s="14" t="s">
        <v>423</v>
      </c>
      <c r="X842">
        <f t="shared" si="819"/>
        <v>0.41847826086956513</v>
      </c>
      <c r="Y842" s="220" t="s">
        <v>1666</v>
      </c>
      <c r="Z842" s="220" t="str">
        <f t="shared" ref="Z842:AH842" si="910">Y842</f>
        <v>*</v>
      </c>
      <c r="AA842" s="792" t="str">
        <f t="shared" si="910"/>
        <v>*</v>
      </c>
      <c r="AB842" s="458" t="str">
        <f t="shared" si="910"/>
        <v>*</v>
      </c>
      <c r="AC842" s="497" t="str">
        <f t="shared" si="910"/>
        <v>*</v>
      </c>
      <c r="AD842" s="497" t="str">
        <f t="shared" si="910"/>
        <v>*</v>
      </c>
      <c r="AE842" s="454" t="str">
        <f t="shared" si="910"/>
        <v>*</v>
      </c>
      <c r="AF842" s="454" t="str">
        <f t="shared" si="910"/>
        <v>*</v>
      </c>
      <c r="AG842" s="454" t="str">
        <f t="shared" si="910"/>
        <v>*</v>
      </c>
      <c r="AH842" s="454" t="str">
        <f t="shared" si="910"/>
        <v>*</v>
      </c>
    </row>
    <row r="843" spans="1:34" ht="14.25">
      <c r="A843" s="14" t="s">
        <v>4217</v>
      </c>
      <c r="B843" s="24" t="s">
        <v>2668</v>
      </c>
      <c r="C843" s="14" t="s">
        <v>2704</v>
      </c>
      <c r="D843" s="14" t="s">
        <v>2911</v>
      </c>
      <c r="E843" s="14" t="s">
        <v>4218</v>
      </c>
      <c r="F843" s="13">
        <v>78.45</v>
      </c>
      <c r="G843" s="14" t="s">
        <v>3704</v>
      </c>
      <c r="H843" s="567" t="s">
        <v>2973</v>
      </c>
      <c r="I843" s="14" t="s">
        <v>4218</v>
      </c>
      <c r="J843" s="14" t="s">
        <v>4219</v>
      </c>
      <c r="K843" s="478">
        <v>0.77</v>
      </c>
      <c r="L843" s="220">
        <v>64.680000000000007</v>
      </c>
      <c r="M843" s="568" t="s">
        <v>4220</v>
      </c>
      <c r="N843" s="479" t="s">
        <v>2937</v>
      </c>
      <c r="O843" s="568" t="s">
        <v>4221</v>
      </c>
      <c r="P843" s="14" t="s">
        <v>3072</v>
      </c>
      <c r="Q843" s="14" t="s">
        <v>4228</v>
      </c>
      <c r="R843" s="14">
        <v>0.5</v>
      </c>
      <c r="S843" s="14">
        <f t="shared" si="817"/>
        <v>0.32340000000000002</v>
      </c>
      <c r="T843" s="487">
        <f>SUM(R832:R868)</f>
        <v>98.999999999999957</v>
      </c>
      <c r="U843">
        <f t="shared" ref="U843:U849" si="911">R843/0.99</f>
        <v>0.50505050505050508</v>
      </c>
      <c r="V843" s="220">
        <f>U843*100/SUM(U832:U834,U836:U868)</f>
        <v>0.54347826086956486</v>
      </c>
      <c r="W843" s="14" t="s">
        <v>343</v>
      </c>
      <c r="X843">
        <f t="shared" si="819"/>
        <v>0.41847826086956497</v>
      </c>
      <c r="Y843" s="220" t="s">
        <v>1666</v>
      </c>
      <c r="Z843" s="220" t="str">
        <f t="shared" ref="Z843:AH843" si="912">Y843</f>
        <v>*</v>
      </c>
      <c r="AA843" s="792" t="str">
        <f t="shared" si="912"/>
        <v>*</v>
      </c>
      <c r="AB843" s="458" t="str">
        <f t="shared" si="912"/>
        <v>*</v>
      </c>
      <c r="AC843" s="497" t="str">
        <f t="shared" si="912"/>
        <v>*</v>
      </c>
      <c r="AD843" s="497" t="str">
        <f t="shared" si="912"/>
        <v>*</v>
      </c>
      <c r="AE843" s="454" t="str">
        <f t="shared" si="912"/>
        <v>*</v>
      </c>
      <c r="AF843" s="454" t="str">
        <f t="shared" si="912"/>
        <v>*</v>
      </c>
      <c r="AG843" s="454" t="str">
        <f t="shared" si="912"/>
        <v>*</v>
      </c>
      <c r="AH843" s="454" t="str">
        <f t="shared" si="912"/>
        <v>*</v>
      </c>
    </row>
    <row r="844" spans="1:34" ht="14.25">
      <c r="A844" s="14" t="s">
        <v>4217</v>
      </c>
      <c r="B844" s="24" t="s">
        <v>2668</v>
      </c>
      <c r="C844" s="14" t="s">
        <v>2704</v>
      </c>
      <c r="D844" s="14" t="s">
        <v>2911</v>
      </c>
      <c r="E844" s="14" t="s">
        <v>4218</v>
      </c>
      <c r="F844" s="13">
        <v>78.45</v>
      </c>
      <c r="G844" s="14" t="s">
        <v>3704</v>
      </c>
      <c r="H844" s="567" t="s">
        <v>2973</v>
      </c>
      <c r="I844" s="14" t="s">
        <v>4218</v>
      </c>
      <c r="J844" s="14" t="s">
        <v>4219</v>
      </c>
      <c r="K844" s="478">
        <v>0.77</v>
      </c>
      <c r="L844" s="220">
        <v>64.680000000000007</v>
      </c>
      <c r="M844" s="568" t="s">
        <v>4220</v>
      </c>
      <c r="N844" s="479" t="s">
        <v>2937</v>
      </c>
      <c r="O844" s="568" t="s">
        <v>4221</v>
      </c>
      <c r="P844" s="14" t="s">
        <v>3025</v>
      </c>
      <c r="Q844" s="486" t="s">
        <v>4229</v>
      </c>
      <c r="R844" s="14">
        <v>0.5</v>
      </c>
      <c r="S844" s="14">
        <f t="shared" si="817"/>
        <v>0.32340000000000002</v>
      </c>
      <c r="T844" s="487">
        <f>SUM(R832:R868)</f>
        <v>98.999999999999957</v>
      </c>
      <c r="U844">
        <f t="shared" si="911"/>
        <v>0.50505050505050508</v>
      </c>
      <c r="V844" s="220">
        <f>U844*100/SUM(U832:U834,U836:U868)</f>
        <v>0.54347826086956486</v>
      </c>
      <c r="W844" s="14" t="s">
        <v>142</v>
      </c>
      <c r="X844">
        <f t="shared" si="819"/>
        <v>0.41847826086956497</v>
      </c>
      <c r="Y844" s="220" t="s">
        <v>1666</v>
      </c>
      <c r="Z844" s="220" t="str">
        <f t="shared" ref="Z844:AH844" si="913">Y844</f>
        <v>*</v>
      </c>
      <c r="AA844" s="792" t="str">
        <f t="shared" si="913"/>
        <v>*</v>
      </c>
      <c r="AB844" s="458" t="str">
        <f t="shared" si="913"/>
        <v>*</v>
      </c>
      <c r="AC844" s="497" t="str">
        <f t="shared" si="913"/>
        <v>*</v>
      </c>
      <c r="AD844" s="497" t="str">
        <f t="shared" si="913"/>
        <v>*</v>
      </c>
      <c r="AE844" s="454" t="str">
        <f t="shared" si="913"/>
        <v>*</v>
      </c>
      <c r="AF844" s="454" t="str">
        <f t="shared" si="913"/>
        <v>*</v>
      </c>
      <c r="AG844" s="454" t="str">
        <f t="shared" si="913"/>
        <v>*</v>
      </c>
      <c r="AH844" s="454" t="str">
        <f t="shared" si="913"/>
        <v>*</v>
      </c>
    </row>
    <row r="845" spans="1:34" ht="14.25">
      <c r="A845" s="14" t="s">
        <v>4217</v>
      </c>
      <c r="B845" s="24" t="s">
        <v>2668</v>
      </c>
      <c r="C845" s="14" t="s">
        <v>2704</v>
      </c>
      <c r="D845" s="14" t="s">
        <v>2911</v>
      </c>
      <c r="E845" s="14" t="s">
        <v>4218</v>
      </c>
      <c r="F845" s="13">
        <v>78.45</v>
      </c>
      <c r="G845" s="14" t="s">
        <v>3704</v>
      </c>
      <c r="H845" s="567" t="s">
        <v>2973</v>
      </c>
      <c r="I845" s="14" t="s">
        <v>4218</v>
      </c>
      <c r="J845" s="14" t="s">
        <v>4219</v>
      </c>
      <c r="K845" s="478">
        <v>0.77</v>
      </c>
      <c r="L845" s="220">
        <v>64.680000000000007</v>
      </c>
      <c r="M845" s="568" t="s">
        <v>4220</v>
      </c>
      <c r="N845" s="479" t="s">
        <v>2937</v>
      </c>
      <c r="O845" s="568" t="s">
        <v>4221</v>
      </c>
      <c r="P845" s="14" t="s">
        <v>2928</v>
      </c>
      <c r="Q845" s="14" t="s">
        <v>4230</v>
      </c>
      <c r="R845" s="14">
        <v>0.5</v>
      </c>
      <c r="S845" s="14">
        <f t="shared" si="817"/>
        <v>0.32340000000000002</v>
      </c>
      <c r="T845" s="487">
        <f>SUM(R832:R868)</f>
        <v>98.999999999999957</v>
      </c>
      <c r="U845">
        <f t="shared" si="911"/>
        <v>0.50505050505050508</v>
      </c>
      <c r="V845" s="220">
        <f>U845*100/SUM(U832:U834,U836:U868)</f>
        <v>0.54347826086956486</v>
      </c>
      <c r="W845" s="14" t="s">
        <v>876</v>
      </c>
      <c r="X845">
        <f t="shared" si="819"/>
        <v>0.41847826086956497</v>
      </c>
      <c r="Y845" s="220">
        <f>SUM(X845,X864,X877,X881,X857,X880,X883,X884,X865)</f>
        <v>2.2479578443675918</v>
      </c>
      <c r="Z845" s="220">
        <f>X845</f>
        <v>0.41847826086956497</v>
      </c>
      <c r="AA845" s="792">
        <f t="shared" ref="AA845:AA847" si="914">Z845</f>
        <v>0.41847826086956497</v>
      </c>
      <c r="AB845" s="18" t="s">
        <v>876</v>
      </c>
      <c r="AC845" s="13" t="s">
        <v>2930</v>
      </c>
      <c r="AD845" s="13" t="s">
        <v>2931</v>
      </c>
      <c r="AE845" s="12">
        <v>6.0179999999999999E-3</v>
      </c>
      <c r="AF845" s="23">
        <v>1.7694000000000001E-2</v>
      </c>
      <c r="AG845" s="12">
        <v>1.17966E-4</v>
      </c>
      <c r="AH845" s="12">
        <v>1.1100000000000001E-3</v>
      </c>
    </row>
    <row r="846" spans="1:34" ht="14.25">
      <c r="A846" s="14" t="s">
        <v>4217</v>
      </c>
      <c r="B846" s="24" t="s">
        <v>2668</v>
      </c>
      <c r="C846" s="14" t="s">
        <v>2704</v>
      </c>
      <c r="D846" s="14" t="s">
        <v>2911</v>
      </c>
      <c r="E846" s="14" t="s">
        <v>4218</v>
      </c>
      <c r="F846" s="13">
        <v>78.45</v>
      </c>
      <c r="G846" s="14" t="s">
        <v>3704</v>
      </c>
      <c r="H846" s="567" t="s">
        <v>2973</v>
      </c>
      <c r="I846" s="14" t="s">
        <v>4218</v>
      </c>
      <c r="J846" s="14" t="s">
        <v>4219</v>
      </c>
      <c r="K846" s="478">
        <v>0.77</v>
      </c>
      <c r="L846" s="220">
        <v>64.680000000000007</v>
      </c>
      <c r="M846" s="568" t="s">
        <v>4220</v>
      </c>
      <c r="N846" s="479" t="s">
        <v>2937</v>
      </c>
      <c r="O846" s="568" t="s">
        <v>4221</v>
      </c>
      <c r="P846" s="655" t="s">
        <v>2977</v>
      </c>
      <c r="Q846" s="527" t="s">
        <v>4231</v>
      </c>
      <c r="R846" s="14">
        <v>0.3</v>
      </c>
      <c r="S846" s="14">
        <f t="shared" si="817"/>
        <v>0.19404000000000002</v>
      </c>
      <c r="T846" s="487">
        <f>SUM(R832:R868)</f>
        <v>98.999999999999957</v>
      </c>
      <c r="U846">
        <f t="shared" si="911"/>
        <v>0.30303030303030304</v>
      </c>
      <c r="V846" s="220">
        <f>U846*100/SUM(U832:U834,U836:U868)</f>
        <v>0.32608695652173891</v>
      </c>
      <c r="W846" s="14" t="s">
        <v>227</v>
      </c>
      <c r="X846">
        <f t="shared" si="819"/>
        <v>0.25108695652173896</v>
      </c>
      <c r="Y846" s="220">
        <f>SUM(X846,X848,X860,X847,X849,)</f>
        <v>3.0967391304347798</v>
      </c>
      <c r="Z846" s="220">
        <f>SUM(X846,X848,X860)</f>
        <v>1.6739130434782594</v>
      </c>
      <c r="AA846" s="792">
        <f t="shared" si="914"/>
        <v>1.6739130434782594</v>
      </c>
      <c r="AB846" s="18" t="s">
        <v>227</v>
      </c>
      <c r="AC846" s="13" t="s">
        <v>55</v>
      </c>
      <c r="AD846" s="13" t="s">
        <v>2979</v>
      </c>
      <c r="AE846" s="12">
        <v>2.5055367220000002E-3</v>
      </c>
      <c r="AF846" s="12">
        <v>3.8459841414181101E-2</v>
      </c>
      <c r="AG846" s="12">
        <v>1.1035422343324251E-4</v>
      </c>
      <c r="AH846" s="12">
        <v>8.109653861711444E-4</v>
      </c>
    </row>
    <row r="847" spans="1:34" ht="14.25">
      <c r="A847" s="14" t="s">
        <v>4217</v>
      </c>
      <c r="B847" s="24" t="s">
        <v>2668</v>
      </c>
      <c r="C847" s="14" t="s">
        <v>2704</v>
      </c>
      <c r="D847" s="14" t="s">
        <v>2911</v>
      </c>
      <c r="E847" s="14" t="s">
        <v>4218</v>
      </c>
      <c r="F847" s="13">
        <v>78.45</v>
      </c>
      <c r="G847" s="14" t="s">
        <v>3704</v>
      </c>
      <c r="H847" s="567" t="s">
        <v>2973</v>
      </c>
      <c r="I847" s="14" t="s">
        <v>4218</v>
      </c>
      <c r="J847" s="14" t="s">
        <v>4219</v>
      </c>
      <c r="K847" s="478">
        <v>0.77</v>
      </c>
      <c r="L847" s="220">
        <v>64.680000000000007</v>
      </c>
      <c r="M847" s="568" t="s">
        <v>4220</v>
      </c>
      <c r="N847" s="479" t="s">
        <v>2937</v>
      </c>
      <c r="O847" s="568" t="s">
        <v>4221</v>
      </c>
      <c r="P847" s="655" t="s">
        <v>4232</v>
      </c>
      <c r="Q847" s="486" t="s">
        <v>4233</v>
      </c>
      <c r="R847" s="14">
        <v>0.2</v>
      </c>
      <c r="S847" s="14">
        <f t="shared" si="817"/>
        <v>0.12936</v>
      </c>
      <c r="T847" s="487">
        <f>SUM(R832:R868)</f>
        <v>98.999999999999957</v>
      </c>
      <c r="U847">
        <f t="shared" si="911"/>
        <v>0.20202020202020204</v>
      </c>
      <c r="V847" s="220">
        <f>U847*100/SUM(U832:U834,U836:U868)</f>
        <v>0.21739130434782594</v>
      </c>
      <c r="W847" s="14" t="s">
        <v>4234</v>
      </c>
      <c r="X847">
        <f t="shared" si="819"/>
        <v>0.16739130434782598</v>
      </c>
      <c r="Y847" s="220" t="s">
        <v>1666</v>
      </c>
      <c r="Z847" s="220">
        <f>SUM(X847,X849)</f>
        <v>1.4228260869565206</v>
      </c>
      <c r="AA847" s="792">
        <f t="shared" si="914"/>
        <v>1.4228260869565206</v>
      </c>
      <c r="AB847" s="18" t="s">
        <v>2709</v>
      </c>
      <c r="AC847" s="13" t="s">
        <v>2964</v>
      </c>
      <c r="AD847" s="13" t="s">
        <v>2965</v>
      </c>
      <c r="AE847" s="12">
        <v>3.8102374934982654E-3</v>
      </c>
      <c r="AF847" s="12">
        <v>0.20470422547079484</v>
      </c>
      <c r="AG847" s="12">
        <v>1.210810810810811E-4</v>
      </c>
      <c r="AH847" s="12">
        <v>1.0002400855855065E-3</v>
      </c>
    </row>
    <row r="848" spans="1:34" ht="14.25">
      <c r="A848" s="14" t="s">
        <v>4217</v>
      </c>
      <c r="B848" s="24" t="s">
        <v>2668</v>
      </c>
      <c r="C848" s="14" t="s">
        <v>2704</v>
      </c>
      <c r="D848" s="14" t="s">
        <v>2911</v>
      </c>
      <c r="E848" s="14" t="s">
        <v>4218</v>
      </c>
      <c r="F848" s="13">
        <v>78.45</v>
      </c>
      <c r="G848" s="14" t="s">
        <v>3704</v>
      </c>
      <c r="H848" s="567" t="s">
        <v>2973</v>
      </c>
      <c r="I848" s="14" t="s">
        <v>4218</v>
      </c>
      <c r="J848" s="14" t="s">
        <v>4219</v>
      </c>
      <c r="K848" s="478">
        <v>0.77</v>
      </c>
      <c r="L848" s="220">
        <v>64.680000000000007</v>
      </c>
      <c r="M848" s="568" t="s">
        <v>4220</v>
      </c>
      <c r="N848" s="479" t="s">
        <v>2937</v>
      </c>
      <c r="O848" s="568" t="s">
        <v>4221</v>
      </c>
      <c r="P848" s="655" t="s">
        <v>2977</v>
      </c>
      <c r="Q848" s="527" t="s">
        <v>4235</v>
      </c>
      <c r="R848" s="14">
        <v>1.5</v>
      </c>
      <c r="S848" s="14">
        <f t="shared" si="817"/>
        <v>0.97020000000000006</v>
      </c>
      <c r="T848" s="487">
        <f>SUM(R832:R868)</f>
        <v>98.999999999999957</v>
      </c>
      <c r="U848">
        <f t="shared" si="911"/>
        <v>1.5151515151515151</v>
      </c>
      <c r="V848" s="220">
        <f>U848*100/SUM(U832:U834,U836:U868)</f>
        <v>1.6304347826086942</v>
      </c>
      <c r="W848" s="14" t="s">
        <v>227</v>
      </c>
      <c r="X848">
        <f t="shared" si="819"/>
        <v>1.2554347826086947</v>
      </c>
      <c r="Y848" s="220" t="s">
        <v>1666</v>
      </c>
      <c r="Z848" s="220" t="str">
        <f t="shared" ref="Z848:AH848" si="915">Y848</f>
        <v>*</v>
      </c>
      <c r="AA848" s="792" t="str">
        <f t="shared" si="915"/>
        <v>*</v>
      </c>
      <c r="AB848" s="458" t="str">
        <f t="shared" si="915"/>
        <v>*</v>
      </c>
      <c r="AC848" s="497" t="str">
        <f t="shared" si="915"/>
        <v>*</v>
      </c>
      <c r="AD848" s="497" t="str">
        <f t="shared" si="915"/>
        <v>*</v>
      </c>
      <c r="AE848" s="454" t="str">
        <f t="shared" si="915"/>
        <v>*</v>
      </c>
      <c r="AF848" s="454" t="str">
        <f t="shared" si="915"/>
        <v>*</v>
      </c>
      <c r="AG848" s="454" t="str">
        <f t="shared" si="915"/>
        <v>*</v>
      </c>
      <c r="AH848" s="454" t="str">
        <f t="shared" si="915"/>
        <v>*</v>
      </c>
    </row>
    <row r="849" spans="1:34" ht="14.25">
      <c r="A849" s="14" t="s">
        <v>4217</v>
      </c>
      <c r="B849" s="24" t="s">
        <v>2668</v>
      </c>
      <c r="C849" s="14" t="s">
        <v>2704</v>
      </c>
      <c r="D849" s="14" t="s">
        <v>2911</v>
      </c>
      <c r="E849" s="14" t="s">
        <v>4218</v>
      </c>
      <c r="F849" s="13">
        <v>78.45</v>
      </c>
      <c r="G849" s="14" t="s">
        <v>3704</v>
      </c>
      <c r="H849" s="567" t="s">
        <v>2973</v>
      </c>
      <c r="I849" s="14" t="s">
        <v>4218</v>
      </c>
      <c r="J849" s="14" t="s">
        <v>4219</v>
      </c>
      <c r="K849" s="478">
        <v>0.77</v>
      </c>
      <c r="L849" s="220">
        <v>64.680000000000007</v>
      </c>
      <c r="M849" s="568" t="s">
        <v>4220</v>
      </c>
      <c r="N849" s="479" t="s">
        <v>2937</v>
      </c>
      <c r="O849" s="568" t="s">
        <v>4221</v>
      </c>
      <c r="P849" s="14" t="s">
        <v>2962</v>
      </c>
      <c r="Q849" s="435" t="s">
        <v>2963</v>
      </c>
      <c r="R849" s="14">
        <v>1.5</v>
      </c>
      <c r="S849" s="14">
        <f t="shared" si="817"/>
        <v>0.97020000000000006</v>
      </c>
      <c r="T849" s="487">
        <f>SUM(R832:R868)</f>
        <v>98.999999999999957</v>
      </c>
      <c r="U849">
        <f t="shared" si="911"/>
        <v>1.5151515151515151</v>
      </c>
      <c r="V849" s="220">
        <f>U849*100/SUM(U832:U834,U836:U868)</f>
        <v>1.6304347826086942</v>
      </c>
      <c r="W849" s="14" t="s">
        <v>425</v>
      </c>
      <c r="X849">
        <f t="shared" si="819"/>
        <v>1.2554347826086947</v>
      </c>
      <c r="Y849" s="220" t="s">
        <v>1666</v>
      </c>
      <c r="Z849" s="220" t="str">
        <f t="shared" ref="Z849:AH849" si="916">Y849</f>
        <v>*</v>
      </c>
      <c r="AA849" s="792" t="str">
        <f t="shared" si="916"/>
        <v>*</v>
      </c>
      <c r="AB849" s="458" t="str">
        <f t="shared" si="916"/>
        <v>*</v>
      </c>
      <c r="AC849" s="497" t="str">
        <f t="shared" si="916"/>
        <v>*</v>
      </c>
      <c r="AD849" s="497" t="str">
        <f t="shared" si="916"/>
        <v>*</v>
      </c>
      <c r="AE849" s="454" t="str">
        <f t="shared" si="916"/>
        <v>*</v>
      </c>
      <c r="AF849" s="454" t="str">
        <f t="shared" si="916"/>
        <v>*</v>
      </c>
      <c r="AG849" s="454" t="str">
        <f t="shared" si="916"/>
        <v>*</v>
      </c>
      <c r="AH849" s="454" t="str">
        <f t="shared" si="916"/>
        <v>*</v>
      </c>
    </row>
    <row r="850" spans="1:34" ht="14.25">
      <c r="A850" s="14" t="s">
        <v>4217</v>
      </c>
      <c r="B850" s="24" t="s">
        <v>2668</v>
      </c>
      <c r="C850" s="14" t="s">
        <v>2704</v>
      </c>
      <c r="D850" s="14" t="s">
        <v>2911</v>
      </c>
      <c r="E850" s="14" t="s">
        <v>4218</v>
      </c>
      <c r="F850" s="13">
        <v>78.45</v>
      </c>
      <c r="G850" s="14" t="s">
        <v>3704</v>
      </c>
      <c r="H850" s="567" t="s">
        <v>2973</v>
      </c>
      <c r="I850" s="14" t="s">
        <v>4218</v>
      </c>
      <c r="J850" s="14" t="s">
        <v>4219</v>
      </c>
      <c r="K850" s="478">
        <v>0.77</v>
      </c>
      <c r="L850" s="220">
        <v>64.680000000000007</v>
      </c>
      <c r="M850" s="568" t="s">
        <v>4220</v>
      </c>
      <c r="N850" s="479" t="s">
        <v>2937</v>
      </c>
      <c r="O850" s="568" t="s">
        <v>4221</v>
      </c>
      <c r="P850" s="489" t="s">
        <v>2980</v>
      </c>
      <c r="Q850" s="563" t="s">
        <v>4127</v>
      </c>
      <c r="R850" s="560">
        <f t="shared" ref="R850:R851" si="917">1/2</f>
        <v>0.5</v>
      </c>
      <c r="S850" s="220">
        <f t="shared" si="817"/>
        <v>0.32340000000000002</v>
      </c>
      <c r="T850" s="487">
        <f>SUM(R832:R868)</f>
        <v>98.999999999999957</v>
      </c>
      <c r="U850" s="220">
        <f t="shared" ref="U850:U851" si="918">R850*100/T850</f>
        <v>0.50505050505050531</v>
      </c>
      <c r="V850" s="220">
        <f>U850*100/SUM(U832:U834,U836:U868)</f>
        <v>0.54347826086956508</v>
      </c>
      <c r="W850" s="622" t="s">
        <v>349</v>
      </c>
      <c r="X850">
        <f t="shared" si="819"/>
        <v>0.41847826086956513</v>
      </c>
      <c r="Y850" s="220" t="s">
        <v>1666</v>
      </c>
      <c r="Z850" s="220" t="str">
        <f t="shared" ref="Z850:AH850" si="919">Y850</f>
        <v>*</v>
      </c>
      <c r="AA850" s="792" t="str">
        <f t="shared" si="919"/>
        <v>*</v>
      </c>
      <c r="AB850" s="458" t="str">
        <f t="shared" si="919"/>
        <v>*</v>
      </c>
      <c r="AC850" s="497" t="str">
        <f t="shared" si="919"/>
        <v>*</v>
      </c>
      <c r="AD850" s="497" t="str">
        <f t="shared" si="919"/>
        <v>*</v>
      </c>
      <c r="AE850" s="454" t="str">
        <f t="shared" si="919"/>
        <v>*</v>
      </c>
      <c r="AF850" s="454" t="str">
        <f t="shared" si="919"/>
        <v>*</v>
      </c>
      <c r="AG850" s="454" t="str">
        <f t="shared" si="919"/>
        <v>*</v>
      </c>
      <c r="AH850" s="454" t="str">
        <f t="shared" si="919"/>
        <v>*</v>
      </c>
    </row>
    <row r="851" spans="1:34" ht="14.25">
      <c r="A851" s="14" t="s">
        <v>4217</v>
      </c>
      <c r="B851" s="24" t="s">
        <v>2668</v>
      </c>
      <c r="C851" s="14" t="s">
        <v>2704</v>
      </c>
      <c r="D851" s="14" t="s">
        <v>2911</v>
      </c>
      <c r="E851" s="14" t="s">
        <v>4218</v>
      </c>
      <c r="F851" s="13">
        <v>78.45</v>
      </c>
      <c r="G851" s="14" t="s">
        <v>3704</v>
      </c>
      <c r="H851" s="567" t="s">
        <v>2973</v>
      </c>
      <c r="I851" s="14" t="s">
        <v>4218</v>
      </c>
      <c r="J851" s="14" t="s">
        <v>4219</v>
      </c>
      <c r="K851" s="478">
        <v>0.77</v>
      </c>
      <c r="L851" s="220">
        <v>64.680000000000007</v>
      </c>
      <c r="M851" s="568" t="s">
        <v>4220</v>
      </c>
      <c r="N851" s="479" t="s">
        <v>2937</v>
      </c>
      <c r="O851" s="568" t="s">
        <v>4221</v>
      </c>
      <c r="P851" s="490" t="s">
        <v>2980</v>
      </c>
      <c r="Q851" s="491" t="s">
        <v>4236</v>
      </c>
      <c r="R851" s="560">
        <f t="shared" si="917"/>
        <v>0.5</v>
      </c>
      <c r="S851" s="220">
        <f t="shared" si="817"/>
        <v>0.32340000000000002</v>
      </c>
      <c r="T851" s="487">
        <f>SUM(R832:R868)</f>
        <v>98.999999999999957</v>
      </c>
      <c r="U851" s="220">
        <f t="shared" si="918"/>
        <v>0.50505050505050531</v>
      </c>
      <c r="V851" s="220">
        <f>U851*100/SUM(U832:U834,U836:U868)</f>
        <v>0.54347826086956508</v>
      </c>
      <c r="W851" s="622" t="s">
        <v>2521</v>
      </c>
      <c r="X851">
        <f t="shared" si="819"/>
        <v>0.41847826086956513</v>
      </c>
      <c r="Y851" s="499">
        <f>SUM(X851,X872)</f>
        <v>1.730151116308384</v>
      </c>
      <c r="Z851" s="220">
        <f t="shared" ref="Z851:AA851" si="920">Y851</f>
        <v>1.730151116308384</v>
      </c>
      <c r="AA851" s="792">
        <f t="shared" si="920"/>
        <v>1.730151116308384</v>
      </c>
      <c r="AB851" s="18" t="s">
        <v>324</v>
      </c>
      <c r="AC851" s="13" t="s">
        <v>18</v>
      </c>
      <c r="AD851" s="13" t="s">
        <v>3144</v>
      </c>
      <c r="AE851" s="12">
        <v>1.0652903141570055E-3</v>
      </c>
      <c r="AF851" s="12">
        <v>1.7273631840796021E-2</v>
      </c>
      <c r="AG851" s="12">
        <v>1.3582399999999999E-4</v>
      </c>
      <c r="AH851" s="12">
        <v>2.14E-3</v>
      </c>
    </row>
    <row r="852" spans="1:34" ht="14.25">
      <c r="A852" s="14" t="s">
        <v>4217</v>
      </c>
      <c r="B852" s="24" t="s">
        <v>2668</v>
      </c>
      <c r="C852" s="14" t="s">
        <v>2704</v>
      </c>
      <c r="D852" s="14" t="s">
        <v>2911</v>
      </c>
      <c r="E852" s="14" t="s">
        <v>4218</v>
      </c>
      <c r="F852" s="13">
        <v>78.45</v>
      </c>
      <c r="G852" s="14" t="s">
        <v>3704</v>
      </c>
      <c r="H852" s="567" t="s">
        <v>2973</v>
      </c>
      <c r="I852" s="14" t="s">
        <v>4218</v>
      </c>
      <c r="J852" s="14" t="s">
        <v>4219</v>
      </c>
      <c r="K852" s="478">
        <v>0.77</v>
      </c>
      <c r="L852" s="220">
        <v>64.680000000000007</v>
      </c>
      <c r="M852" s="568" t="s">
        <v>4220</v>
      </c>
      <c r="N852" s="479" t="s">
        <v>2937</v>
      </c>
      <c r="O852" s="568" t="s">
        <v>4221</v>
      </c>
      <c r="P852" s="14" t="s">
        <v>4237</v>
      </c>
      <c r="Q852" s="486" t="s">
        <v>4238</v>
      </c>
      <c r="R852" s="14">
        <v>0.5</v>
      </c>
      <c r="S852" s="14">
        <f t="shared" si="817"/>
        <v>0.32340000000000002</v>
      </c>
      <c r="T852" s="487">
        <f>SUM(R832:R868)</f>
        <v>98.999999999999957</v>
      </c>
      <c r="U852">
        <f t="shared" ref="U852:U868" si="921">R852/0.99</f>
        <v>0.50505050505050508</v>
      </c>
      <c r="V852" s="220">
        <f>U852*100/SUM(U832:U834,U836:U868)</f>
        <v>0.54347826086956486</v>
      </c>
      <c r="W852" s="14" t="s">
        <v>4239</v>
      </c>
      <c r="X852">
        <f t="shared" si="819"/>
        <v>0.41847826086956497</v>
      </c>
      <c r="Y852" s="499">
        <f t="shared" ref="Y852:Y853" si="922">X852</f>
        <v>0.41847826086956497</v>
      </c>
      <c r="Z852" s="220">
        <f>SUM(X852:X853,X862)</f>
        <v>0.75326086956521687</v>
      </c>
      <c r="AA852" s="792">
        <f t="shared" ref="AA852:AA854" si="923">Z852</f>
        <v>0.75326086956521687</v>
      </c>
      <c r="AB852" s="809" t="s">
        <v>2710</v>
      </c>
      <c r="AC852" s="511" t="s">
        <v>3174</v>
      </c>
      <c r="AD852" s="511" t="s">
        <v>3174</v>
      </c>
      <c r="AE852" s="461">
        <v>2.2073766211046637E-2</v>
      </c>
      <c r="AF852" s="461">
        <v>8.7246004352723297E-2</v>
      </c>
      <c r="AG852" s="461">
        <v>5.8202330775582959E-4</v>
      </c>
      <c r="AH852" s="461">
        <v>2.670351142205461E-3</v>
      </c>
    </row>
    <row r="853" spans="1:34" ht="14.25">
      <c r="A853" s="14" t="s">
        <v>4217</v>
      </c>
      <c r="B853" s="24" t="s">
        <v>2668</v>
      </c>
      <c r="C853" s="14" t="s">
        <v>2704</v>
      </c>
      <c r="D853" s="14" t="s">
        <v>2911</v>
      </c>
      <c r="E853" s="14" t="s">
        <v>4218</v>
      </c>
      <c r="F853" s="13">
        <v>78.45</v>
      </c>
      <c r="G853" s="14" t="s">
        <v>3704</v>
      </c>
      <c r="H853" s="567" t="s">
        <v>2973</v>
      </c>
      <c r="I853" s="14" t="s">
        <v>4218</v>
      </c>
      <c r="J853" s="14" t="s">
        <v>4219</v>
      </c>
      <c r="K853" s="478">
        <v>0.77</v>
      </c>
      <c r="L853" s="220">
        <v>64.680000000000007</v>
      </c>
      <c r="M853" s="568" t="s">
        <v>4220</v>
      </c>
      <c r="N853" s="479" t="s">
        <v>2937</v>
      </c>
      <c r="O853" s="568" t="s">
        <v>4221</v>
      </c>
      <c r="P853" s="14" t="s">
        <v>4240</v>
      </c>
      <c r="Q853" s="486" t="s">
        <v>4241</v>
      </c>
      <c r="R853" s="14">
        <v>0.3</v>
      </c>
      <c r="S853" s="14">
        <f t="shared" si="817"/>
        <v>0.19404000000000002</v>
      </c>
      <c r="T853" s="487">
        <f>SUM(R832:R868)</f>
        <v>98.999999999999957</v>
      </c>
      <c r="U853">
        <f t="shared" si="921"/>
        <v>0.30303030303030304</v>
      </c>
      <c r="V853" s="220">
        <f>U853*100/SUM(U832:U834,U836:U868)</f>
        <v>0.32608695652173891</v>
      </c>
      <c r="W853" s="14" t="s">
        <v>4242</v>
      </c>
      <c r="X853">
        <f t="shared" si="819"/>
        <v>0.25108695652173896</v>
      </c>
      <c r="Y853" s="499">
        <f t="shared" si="922"/>
        <v>0.25108695652173896</v>
      </c>
      <c r="Z853" s="220" t="s">
        <v>1624</v>
      </c>
      <c r="AA853" s="792" t="str">
        <f t="shared" si="923"/>
        <v>-</v>
      </c>
      <c r="AB853" s="458" t="str">
        <f t="shared" ref="AB853:AH853" si="924">AA853</f>
        <v>-</v>
      </c>
      <c r="AC853" s="497" t="str">
        <f t="shared" si="924"/>
        <v>-</v>
      </c>
      <c r="AD853" s="497" t="str">
        <f t="shared" si="924"/>
        <v>-</v>
      </c>
      <c r="AE853" s="454" t="str">
        <f t="shared" si="924"/>
        <v>-</v>
      </c>
      <c r="AF853" s="454" t="str">
        <f t="shared" si="924"/>
        <v>-</v>
      </c>
      <c r="AG853" s="454" t="str">
        <f t="shared" si="924"/>
        <v>-</v>
      </c>
      <c r="AH853" s="454" t="str">
        <f t="shared" si="924"/>
        <v>-</v>
      </c>
    </row>
    <row r="854" spans="1:34" ht="14.25">
      <c r="A854" s="14" t="s">
        <v>4217</v>
      </c>
      <c r="B854" s="24" t="s">
        <v>2668</v>
      </c>
      <c r="C854" s="14" t="s">
        <v>2704</v>
      </c>
      <c r="D854" s="14" t="s">
        <v>2911</v>
      </c>
      <c r="E854" s="14" t="s">
        <v>4218</v>
      </c>
      <c r="F854" s="13">
        <v>78.45</v>
      </c>
      <c r="G854" s="14" t="s">
        <v>3704</v>
      </c>
      <c r="H854" s="567" t="s">
        <v>2973</v>
      </c>
      <c r="I854" s="14" t="s">
        <v>4218</v>
      </c>
      <c r="J854" s="14" t="s">
        <v>4219</v>
      </c>
      <c r="K854" s="478">
        <v>0.77</v>
      </c>
      <c r="L854" s="220">
        <v>64.680000000000007</v>
      </c>
      <c r="M854" s="568" t="s">
        <v>4220</v>
      </c>
      <c r="N854" s="479" t="s">
        <v>2937</v>
      </c>
      <c r="O854" s="568" t="s">
        <v>4221</v>
      </c>
      <c r="P854" s="14" t="s">
        <v>3483</v>
      </c>
      <c r="Q854" s="88" t="s">
        <v>3719</v>
      </c>
      <c r="R854" s="14">
        <v>0.3</v>
      </c>
      <c r="S854" s="14">
        <f t="shared" si="817"/>
        <v>0.19404000000000002</v>
      </c>
      <c r="T854" s="487">
        <f>SUM(R832:R868)</f>
        <v>98.999999999999957</v>
      </c>
      <c r="U854">
        <f t="shared" si="921"/>
        <v>0.30303030303030304</v>
      </c>
      <c r="V854" s="220">
        <f>U854*100/SUM(U832:U834,U836:U868)</f>
        <v>0.32608695652173891</v>
      </c>
      <c r="W854" s="14" t="s">
        <v>301</v>
      </c>
      <c r="X854">
        <f t="shared" si="819"/>
        <v>0.25108695652173896</v>
      </c>
      <c r="Y854" s="220" t="s">
        <v>1666</v>
      </c>
      <c r="Z854" s="220">
        <f>SUM(X854,X868)</f>
        <v>0.33478260869565196</v>
      </c>
      <c r="AA854" s="792">
        <f t="shared" si="923"/>
        <v>0.33478260869565196</v>
      </c>
      <c r="AB854" s="18" t="s">
        <v>2711</v>
      </c>
      <c r="AC854" s="13" t="s">
        <v>3485</v>
      </c>
      <c r="AD854" s="13" t="s">
        <v>2944</v>
      </c>
      <c r="AE854" s="12">
        <v>4.7062756261925113E-3</v>
      </c>
      <c r="AF854" s="12">
        <v>3.8210906557435767E-2</v>
      </c>
      <c r="AG854" s="12">
        <v>8.2999999999999998E-5</v>
      </c>
      <c r="AH854" s="12">
        <v>5.9908272287602653E-4</v>
      </c>
    </row>
    <row r="855" spans="1:34" ht="14.25">
      <c r="A855" s="14" t="s">
        <v>4217</v>
      </c>
      <c r="B855" s="24" t="s">
        <v>2668</v>
      </c>
      <c r="C855" s="14" t="s">
        <v>2704</v>
      </c>
      <c r="D855" s="14" t="s">
        <v>2911</v>
      </c>
      <c r="E855" s="14" t="s">
        <v>4218</v>
      </c>
      <c r="F855" s="13">
        <v>78.45</v>
      </c>
      <c r="G855" s="14" t="s">
        <v>3704</v>
      </c>
      <c r="H855" s="567" t="s">
        <v>2973</v>
      </c>
      <c r="I855" s="14" t="s">
        <v>4218</v>
      </c>
      <c r="J855" s="14" t="s">
        <v>4219</v>
      </c>
      <c r="K855" s="478">
        <v>0.77</v>
      </c>
      <c r="L855" s="220">
        <v>64.680000000000007</v>
      </c>
      <c r="M855" s="568" t="s">
        <v>4220</v>
      </c>
      <c r="N855" s="479" t="s">
        <v>2937</v>
      </c>
      <c r="O855" s="568" t="s">
        <v>4221</v>
      </c>
      <c r="P855" s="14" t="s">
        <v>83</v>
      </c>
      <c r="Q855" s="527" t="s">
        <v>3430</v>
      </c>
      <c r="R855" s="14">
        <v>0.3</v>
      </c>
      <c r="S855" s="14">
        <f t="shared" si="817"/>
        <v>0.19404000000000002</v>
      </c>
      <c r="T855" s="487">
        <f>SUM(R832:R868)</f>
        <v>98.999999999999957</v>
      </c>
      <c r="U855">
        <f t="shared" si="921"/>
        <v>0.30303030303030304</v>
      </c>
      <c r="V855" s="220">
        <f>U855*100/SUM(U832:U834,U836:U868)</f>
        <v>0.32608695652173891</v>
      </c>
      <c r="W855" s="14" t="s">
        <v>83</v>
      </c>
      <c r="X855">
        <f t="shared" si="819"/>
        <v>0.25108695652173896</v>
      </c>
      <c r="Y855" s="499">
        <f>SUM(X855,X878,X887)</f>
        <v>0.98315243395574603</v>
      </c>
      <c r="Z855" s="220">
        <f t="shared" ref="Z855:AA855" si="925">Y855</f>
        <v>0.98315243395574603</v>
      </c>
      <c r="AA855" s="792">
        <f t="shared" si="925"/>
        <v>0.98315243395574603</v>
      </c>
      <c r="AB855" s="18" t="s">
        <v>83</v>
      </c>
      <c r="AC855" s="14" t="s">
        <v>83</v>
      </c>
      <c r="AD855" s="14" t="s">
        <v>2951</v>
      </c>
      <c r="AE855" s="12">
        <v>0</v>
      </c>
      <c r="AF855" s="12">
        <v>0</v>
      </c>
      <c r="AG855" s="12">
        <v>0</v>
      </c>
      <c r="AH855" s="12">
        <v>0</v>
      </c>
    </row>
    <row r="856" spans="1:34" ht="14.25">
      <c r="A856" s="14" t="s">
        <v>4217</v>
      </c>
      <c r="B856" s="24" t="s">
        <v>2668</v>
      </c>
      <c r="C856" s="14" t="s">
        <v>2704</v>
      </c>
      <c r="D856" s="14" t="s">
        <v>2911</v>
      </c>
      <c r="E856" s="14" t="s">
        <v>4218</v>
      </c>
      <c r="F856" s="13">
        <v>78.45</v>
      </c>
      <c r="G856" s="14" t="s">
        <v>3704</v>
      </c>
      <c r="H856" s="567" t="s">
        <v>2973</v>
      </c>
      <c r="I856" s="14" t="s">
        <v>4218</v>
      </c>
      <c r="J856" s="14" t="s">
        <v>4219</v>
      </c>
      <c r="K856" s="478">
        <v>0.77</v>
      </c>
      <c r="L856" s="220">
        <v>64.680000000000007</v>
      </c>
      <c r="M856" s="568" t="s">
        <v>4220</v>
      </c>
      <c r="N856" s="479" t="s">
        <v>2937</v>
      </c>
      <c r="O856" s="568" t="s">
        <v>4221</v>
      </c>
      <c r="P856" s="14" t="s">
        <v>3041</v>
      </c>
      <c r="Q856" s="486" t="s">
        <v>4243</v>
      </c>
      <c r="R856" s="14">
        <v>0.2</v>
      </c>
      <c r="S856" s="14">
        <f t="shared" si="817"/>
        <v>0.12936</v>
      </c>
      <c r="T856" s="487">
        <f>SUM(R832:R868)</f>
        <v>98.999999999999957</v>
      </c>
      <c r="U856">
        <f t="shared" si="921"/>
        <v>0.20202020202020204</v>
      </c>
      <c r="V856" s="220">
        <f>U856*100/SUM(U832:U834,U836:U868)</f>
        <v>0.21739130434782594</v>
      </c>
      <c r="W856" s="14" t="s">
        <v>81</v>
      </c>
      <c r="X856">
        <f t="shared" si="819"/>
        <v>0.16739130434782598</v>
      </c>
      <c r="Y856" s="499">
        <f t="shared" ref="Y856:AA856" si="926">X856</f>
        <v>0.16739130434782598</v>
      </c>
      <c r="Z856" s="220">
        <f t="shared" si="926"/>
        <v>0.16739130434782598</v>
      </c>
      <c r="AA856" s="792">
        <f t="shared" si="926"/>
        <v>0.16739130434782598</v>
      </c>
      <c r="AB856" s="18" t="s">
        <v>81</v>
      </c>
      <c r="AC856" s="13" t="s">
        <v>18</v>
      </c>
      <c r="AD856" s="13" t="s">
        <v>18</v>
      </c>
      <c r="AE856" s="12">
        <v>1.9912385503783353E-2</v>
      </c>
      <c r="AF856" s="12">
        <v>5.6949422540820388E-2</v>
      </c>
      <c r="AG856" s="12">
        <v>3.8829151732377542E-3</v>
      </c>
      <c r="AH856" s="12">
        <v>5.6321186778176026E-3</v>
      </c>
    </row>
    <row r="857" spans="1:34" ht="14.25">
      <c r="A857" s="14" t="s">
        <v>4217</v>
      </c>
      <c r="B857" s="24" t="s">
        <v>2668</v>
      </c>
      <c r="C857" s="14" t="s">
        <v>2704</v>
      </c>
      <c r="D857" s="14" t="s">
        <v>2911</v>
      </c>
      <c r="E857" s="14" t="s">
        <v>4218</v>
      </c>
      <c r="F857" s="13">
        <v>78.45</v>
      </c>
      <c r="G857" s="14" t="s">
        <v>3704</v>
      </c>
      <c r="H857" s="567" t="s">
        <v>2973</v>
      </c>
      <c r="I857" s="14" t="s">
        <v>4218</v>
      </c>
      <c r="J857" s="14" t="s">
        <v>4219</v>
      </c>
      <c r="K857" s="478">
        <v>0.77</v>
      </c>
      <c r="L857" s="220">
        <v>64.680000000000007</v>
      </c>
      <c r="M857" s="568" t="s">
        <v>4220</v>
      </c>
      <c r="N857" s="479" t="s">
        <v>2937</v>
      </c>
      <c r="O857" s="568" t="s">
        <v>4221</v>
      </c>
      <c r="P857" s="14" t="s">
        <v>3051</v>
      </c>
      <c r="Q857" s="486" t="s">
        <v>3084</v>
      </c>
      <c r="R857" s="14">
        <v>0.2</v>
      </c>
      <c r="S857" s="14">
        <f t="shared" si="817"/>
        <v>0.12936</v>
      </c>
      <c r="T857" s="487">
        <f>SUM(R832:R868)</f>
        <v>98.999999999999957</v>
      </c>
      <c r="U857">
        <f t="shared" si="921"/>
        <v>0.20202020202020204</v>
      </c>
      <c r="V857" s="220">
        <f>U857*100/SUM(U832:U834,U836:U868)</f>
        <v>0.21739130434782594</v>
      </c>
      <c r="W857" s="14" t="s">
        <v>4244</v>
      </c>
      <c r="X857">
        <f t="shared" si="819"/>
        <v>0.16739130434782598</v>
      </c>
      <c r="Y857" s="220" t="s">
        <v>1666</v>
      </c>
      <c r="Z857" s="220">
        <f>X857</f>
        <v>0.16739130434782598</v>
      </c>
      <c r="AA857" s="792">
        <f>Z857</f>
        <v>0.16739130434782598</v>
      </c>
      <c r="AB857" s="18" t="s">
        <v>2661</v>
      </c>
      <c r="AC857" s="14" t="s">
        <v>134</v>
      </c>
      <c r="AD857" s="14" t="s">
        <v>3053</v>
      </c>
      <c r="AE857" s="12">
        <v>3.0177940758293843E-3</v>
      </c>
      <c r="AF857" s="12">
        <v>8.8728561611374421E-3</v>
      </c>
      <c r="AG857" s="12">
        <v>5.9155383175355464E-5</v>
      </c>
      <c r="AH857" s="12">
        <v>5.56622037914692E-4</v>
      </c>
    </row>
    <row r="858" spans="1:34" ht="14.25">
      <c r="A858" s="14" t="s">
        <v>4217</v>
      </c>
      <c r="B858" s="24" t="s">
        <v>2668</v>
      </c>
      <c r="C858" s="14" t="s">
        <v>2704</v>
      </c>
      <c r="D858" s="14" t="s">
        <v>2911</v>
      </c>
      <c r="E858" s="14" t="s">
        <v>4218</v>
      </c>
      <c r="F858" s="13">
        <v>78.45</v>
      </c>
      <c r="G858" s="14" t="s">
        <v>3704</v>
      </c>
      <c r="H858" s="567" t="s">
        <v>2973</v>
      </c>
      <c r="I858" s="14" t="s">
        <v>4218</v>
      </c>
      <c r="J858" s="14" t="s">
        <v>4219</v>
      </c>
      <c r="K858" s="478">
        <v>0.77</v>
      </c>
      <c r="L858" s="220">
        <v>64.680000000000007</v>
      </c>
      <c r="M858" s="568" t="s">
        <v>4220</v>
      </c>
      <c r="N858" s="479" t="s">
        <v>2937</v>
      </c>
      <c r="O858" s="568" t="s">
        <v>4221</v>
      </c>
      <c r="P858" s="14" t="s">
        <v>3021</v>
      </c>
      <c r="Q858" s="486" t="s">
        <v>3022</v>
      </c>
      <c r="R858" s="14">
        <v>0.2</v>
      </c>
      <c r="S858" s="14">
        <f t="shared" si="817"/>
        <v>0.12936</v>
      </c>
      <c r="T858" s="487">
        <f>SUM(R832:R868)</f>
        <v>98.999999999999957</v>
      </c>
      <c r="U858">
        <f t="shared" si="921"/>
        <v>0.20202020202020204</v>
      </c>
      <c r="V858" s="220">
        <f>U858*100/SUM(U832:U834,U836:U868)</f>
        <v>0.21739130434782594</v>
      </c>
      <c r="W858" s="14" t="s">
        <v>346</v>
      </c>
      <c r="X858">
        <f t="shared" si="819"/>
        <v>0.16739130434782598</v>
      </c>
      <c r="Y858" s="220" t="s">
        <v>1666</v>
      </c>
      <c r="Z858" s="220" t="str">
        <f t="shared" ref="Z858:AH858" si="927">Y858</f>
        <v>*</v>
      </c>
      <c r="AA858" s="792" t="str">
        <f t="shared" si="927"/>
        <v>*</v>
      </c>
      <c r="AB858" s="458" t="str">
        <f t="shared" si="927"/>
        <v>*</v>
      </c>
      <c r="AC858" s="497" t="str">
        <f t="shared" si="927"/>
        <v>*</v>
      </c>
      <c r="AD858" s="497" t="str">
        <f t="shared" si="927"/>
        <v>*</v>
      </c>
      <c r="AE858" s="454" t="str">
        <f t="shared" si="927"/>
        <v>*</v>
      </c>
      <c r="AF858" s="454" t="str">
        <f t="shared" si="927"/>
        <v>*</v>
      </c>
      <c r="AG858" s="454" t="str">
        <f t="shared" si="927"/>
        <v>*</v>
      </c>
      <c r="AH858" s="454" t="str">
        <f t="shared" si="927"/>
        <v>*</v>
      </c>
    </row>
    <row r="859" spans="1:34" ht="14.25">
      <c r="A859" s="14" t="s">
        <v>4217</v>
      </c>
      <c r="B859" s="24" t="s">
        <v>2668</v>
      </c>
      <c r="C859" s="14" t="s">
        <v>2704</v>
      </c>
      <c r="D859" s="14" t="s">
        <v>2911</v>
      </c>
      <c r="E859" s="14" t="s">
        <v>4218</v>
      </c>
      <c r="F859" s="13">
        <v>78.45</v>
      </c>
      <c r="G859" s="14" t="s">
        <v>3704</v>
      </c>
      <c r="H859" s="567" t="s">
        <v>2973</v>
      </c>
      <c r="I859" s="14" t="s">
        <v>4218</v>
      </c>
      <c r="J859" s="14" t="s">
        <v>4219</v>
      </c>
      <c r="K859" s="478">
        <v>0.77</v>
      </c>
      <c r="L859" s="220">
        <v>64.680000000000007</v>
      </c>
      <c r="M859" s="568" t="s">
        <v>4220</v>
      </c>
      <c r="N859" s="479" t="s">
        <v>2937</v>
      </c>
      <c r="O859" s="568" t="s">
        <v>4221</v>
      </c>
      <c r="P859" s="655" t="s">
        <v>3005</v>
      </c>
      <c r="Q859" s="486" t="s">
        <v>4245</v>
      </c>
      <c r="R859" s="14">
        <v>0.2</v>
      </c>
      <c r="S859" s="14">
        <f t="shared" si="817"/>
        <v>0.12936</v>
      </c>
      <c r="T859" s="487">
        <f>SUM(R832:R868)</f>
        <v>98.999999999999957</v>
      </c>
      <c r="U859">
        <f t="shared" si="921"/>
        <v>0.20202020202020204</v>
      </c>
      <c r="V859" s="220">
        <f>U859*100/SUM(U832:U834,U836:U868)</f>
        <v>0.21739130434782594</v>
      </c>
      <c r="W859" s="14" t="s">
        <v>2779</v>
      </c>
      <c r="X859">
        <f t="shared" si="819"/>
        <v>0.16739130434782598</v>
      </c>
      <c r="Y859" s="220" t="s">
        <v>1666</v>
      </c>
      <c r="Z859" s="220" t="str">
        <f t="shared" ref="Z859:AH859" si="928">Y859</f>
        <v>*</v>
      </c>
      <c r="AA859" s="792" t="str">
        <f t="shared" si="928"/>
        <v>*</v>
      </c>
      <c r="AB859" s="458" t="str">
        <f t="shared" si="928"/>
        <v>*</v>
      </c>
      <c r="AC859" s="497" t="str">
        <f t="shared" si="928"/>
        <v>*</v>
      </c>
      <c r="AD859" s="497" t="str">
        <f t="shared" si="928"/>
        <v>*</v>
      </c>
      <c r="AE859" s="454" t="str">
        <f t="shared" si="928"/>
        <v>*</v>
      </c>
      <c r="AF859" s="454" t="str">
        <f t="shared" si="928"/>
        <v>*</v>
      </c>
      <c r="AG859" s="454" t="str">
        <f t="shared" si="928"/>
        <v>*</v>
      </c>
      <c r="AH859" s="454" t="str">
        <f t="shared" si="928"/>
        <v>*</v>
      </c>
    </row>
    <row r="860" spans="1:34" ht="14.25">
      <c r="A860" s="14" t="s">
        <v>4217</v>
      </c>
      <c r="B860" s="24" t="s">
        <v>2668</v>
      </c>
      <c r="C860" s="14" t="s">
        <v>2704</v>
      </c>
      <c r="D860" s="14" t="s">
        <v>2911</v>
      </c>
      <c r="E860" s="14" t="s">
        <v>4218</v>
      </c>
      <c r="F860" s="13">
        <v>78.45</v>
      </c>
      <c r="G860" s="14" t="s">
        <v>3704</v>
      </c>
      <c r="H860" s="567" t="s">
        <v>2973</v>
      </c>
      <c r="I860" s="14" t="s">
        <v>4218</v>
      </c>
      <c r="J860" s="14" t="s">
        <v>4219</v>
      </c>
      <c r="K860" s="478">
        <v>0.77</v>
      </c>
      <c r="L860" s="220">
        <v>64.680000000000007</v>
      </c>
      <c r="M860" s="568" t="s">
        <v>4220</v>
      </c>
      <c r="N860" s="479" t="s">
        <v>2937</v>
      </c>
      <c r="O860" s="568" t="s">
        <v>4221</v>
      </c>
      <c r="P860" s="655" t="s">
        <v>2977</v>
      </c>
      <c r="Q860" s="527" t="s">
        <v>4246</v>
      </c>
      <c r="R860" s="14">
        <v>0.2</v>
      </c>
      <c r="S860" s="14">
        <f t="shared" si="817"/>
        <v>0.12936</v>
      </c>
      <c r="T860" s="487">
        <f>SUM(R832:R868)</f>
        <v>98.999999999999957</v>
      </c>
      <c r="U860">
        <f t="shared" si="921"/>
        <v>0.20202020202020204</v>
      </c>
      <c r="V860" s="220">
        <f>U860*100/SUM(U832:U834,U836:U868)</f>
        <v>0.21739130434782594</v>
      </c>
      <c r="W860" s="14" t="s">
        <v>227</v>
      </c>
      <c r="X860">
        <f t="shared" si="819"/>
        <v>0.16739130434782598</v>
      </c>
      <c r="Y860" s="220" t="s">
        <v>1666</v>
      </c>
      <c r="Z860" s="220" t="str">
        <f t="shared" ref="Z860:AH860" si="929">Y860</f>
        <v>*</v>
      </c>
      <c r="AA860" s="792" t="str">
        <f t="shared" si="929"/>
        <v>*</v>
      </c>
      <c r="AB860" s="458" t="str">
        <f t="shared" si="929"/>
        <v>*</v>
      </c>
      <c r="AC860" s="497" t="str">
        <f t="shared" si="929"/>
        <v>*</v>
      </c>
      <c r="AD860" s="497" t="str">
        <f t="shared" si="929"/>
        <v>*</v>
      </c>
      <c r="AE860" s="454" t="str">
        <f t="shared" si="929"/>
        <v>*</v>
      </c>
      <c r="AF860" s="454" t="str">
        <f t="shared" si="929"/>
        <v>*</v>
      </c>
      <c r="AG860" s="454" t="str">
        <f t="shared" si="929"/>
        <v>*</v>
      </c>
      <c r="AH860" s="454" t="str">
        <f t="shared" si="929"/>
        <v>*</v>
      </c>
    </row>
    <row r="861" spans="1:34" ht="14.25">
      <c r="A861" s="14" t="s">
        <v>4217</v>
      </c>
      <c r="B861" s="24" t="s">
        <v>2668</v>
      </c>
      <c r="C861" s="14" t="s">
        <v>2704</v>
      </c>
      <c r="D861" s="14" t="s">
        <v>2911</v>
      </c>
      <c r="E861" s="14" t="s">
        <v>4218</v>
      </c>
      <c r="F861" s="13">
        <v>78.45</v>
      </c>
      <c r="G861" s="14" t="s">
        <v>3704</v>
      </c>
      <c r="H861" s="567" t="s">
        <v>2973</v>
      </c>
      <c r="I861" s="14" t="s">
        <v>4218</v>
      </c>
      <c r="J861" s="14" t="s">
        <v>4219</v>
      </c>
      <c r="K861" s="478">
        <v>0.77</v>
      </c>
      <c r="L861" s="220">
        <v>64.680000000000007</v>
      </c>
      <c r="M861" s="568" t="s">
        <v>4220</v>
      </c>
      <c r="N861" s="479" t="s">
        <v>2937</v>
      </c>
      <c r="O861" s="568" t="s">
        <v>4221</v>
      </c>
      <c r="P861" s="14" t="s">
        <v>3865</v>
      </c>
      <c r="Q861" s="486" t="s">
        <v>4247</v>
      </c>
      <c r="R861" s="14">
        <v>0.1</v>
      </c>
      <c r="S861" s="14">
        <f t="shared" si="817"/>
        <v>6.4680000000000001E-2</v>
      </c>
      <c r="T861" s="487">
        <f>SUM(R832:R868)</f>
        <v>98.999999999999957</v>
      </c>
      <c r="U861">
        <f t="shared" si="921"/>
        <v>0.10101010101010102</v>
      </c>
      <c r="V861" s="220">
        <f>U861*100/SUM(U832:U834,U836:U868)</f>
        <v>0.10869565217391297</v>
      </c>
      <c r="W861" s="14" t="s">
        <v>1165</v>
      </c>
      <c r="X861">
        <f t="shared" si="819"/>
        <v>8.3695652173912991E-2</v>
      </c>
      <c r="Y861" s="220" t="s">
        <v>1666</v>
      </c>
      <c r="Z861" s="220">
        <f>SUM(X861,X879)</f>
        <v>0.38873585111317321</v>
      </c>
      <c r="AA861" s="792">
        <f t="shared" ref="AA861:AA862" si="930">Z861</f>
        <v>0.38873585111317321</v>
      </c>
      <c r="AB861" s="18" t="s">
        <v>2663</v>
      </c>
      <c r="AC861" s="13" t="s">
        <v>3867</v>
      </c>
      <c r="AD861" s="13" t="s">
        <v>3007</v>
      </c>
      <c r="AE861" s="12">
        <v>3.1660297063617504E-2</v>
      </c>
      <c r="AF861" s="12">
        <v>0.3735301190055475</v>
      </c>
      <c r="AG861" s="12">
        <v>2.1604141815772032E-3</v>
      </c>
      <c r="AH861" s="12">
        <v>1.8530021654934324E-3</v>
      </c>
    </row>
    <row r="862" spans="1:34" ht="14.25">
      <c r="A862" s="14" t="s">
        <v>4217</v>
      </c>
      <c r="B862" s="24" t="s">
        <v>2668</v>
      </c>
      <c r="C862" s="14" t="s">
        <v>2704</v>
      </c>
      <c r="D862" s="14" t="s">
        <v>2911</v>
      </c>
      <c r="E862" s="14" t="s">
        <v>4218</v>
      </c>
      <c r="F862" s="13">
        <v>78.45</v>
      </c>
      <c r="G862" s="14" t="s">
        <v>3704</v>
      </c>
      <c r="H862" s="567" t="s">
        <v>2973</v>
      </c>
      <c r="I862" s="14" t="s">
        <v>4218</v>
      </c>
      <c r="J862" s="14" t="s">
        <v>4219</v>
      </c>
      <c r="K862" s="478">
        <v>0.77</v>
      </c>
      <c r="L862" s="220">
        <v>64.680000000000007</v>
      </c>
      <c r="M862" s="568" t="s">
        <v>4220</v>
      </c>
      <c r="N862" s="479" t="s">
        <v>2937</v>
      </c>
      <c r="O862" s="568" t="s">
        <v>4221</v>
      </c>
      <c r="P862" s="14" t="s">
        <v>4248</v>
      </c>
      <c r="Q862" s="486" t="s">
        <v>4249</v>
      </c>
      <c r="R862" s="14">
        <v>0.1</v>
      </c>
      <c r="S862" s="14">
        <f t="shared" si="817"/>
        <v>6.4680000000000001E-2</v>
      </c>
      <c r="T862" s="487">
        <f>SUM(R832:R868)</f>
        <v>98.999999999999957</v>
      </c>
      <c r="U862">
        <f t="shared" si="921"/>
        <v>0.10101010101010102</v>
      </c>
      <c r="V862" s="220">
        <f>U862*100/SUM(U832:U834,U836:U868)</f>
        <v>0.10869565217391297</v>
      </c>
      <c r="W862" s="14" t="s">
        <v>4250</v>
      </c>
      <c r="X862">
        <f t="shared" si="819"/>
        <v>8.3695652173912991E-2</v>
      </c>
      <c r="Y862" s="499">
        <f>X862</f>
        <v>8.3695652173912991E-2</v>
      </c>
      <c r="Z862" s="220" t="s">
        <v>1624</v>
      </c>
      <c r="AA862" s="792" t="str">
        <f t="shared" si="930"/>
        <v>-</v>
      </c>
      <c r="AB862" s="458" t="str">
        <f t="shared" ref="AB862:AH862" si="931">AA862</f>
        <v>-</v>
      </c>
      <c r="AC862" s="497" t="str">
        <f t="shared" si="931"/>
        <v>-</v>
      </c>
      <c r="AD862" s="497" t="str">
        <f t="shared" si="931"/>
        <v>-</v>
      </c>
      <c r="AE862" s="454" t="str">
        <f t="shared" si="931"/>
        <v>-</v>
      </c>
      <c r="AF862" s="454" t="str">
        <f t="shared" si="931"/>
        <v>-</v>
      </c>
      <c r="AG862" s="454" t="str">
        <f t="shared" si="931"/>
        <v>-</v>
      </c>
      <c r="AH862" s="454" t="str">
        <f t="shared" si="931"/>
        <v>-</v>
      </c>
    </row>
    <row r="863" spans="1:34" ht="14.25">
      <c r="A863" s="14" t="s">
        <v>4217</v>
      </c>
      <c r="B863" s="24" t="s">
        <v>2668</v>
      </c>
      <c r="C863" s="14" t="s">
        <v>2704</v>
      </c>
      <c r="D863" s="14" t="s">
        <v>2911</v>
      </c>
      <c r="E863" s="14" t="s">
        <v>4218</v>
      </c>
      <c r="F863" s="13">
        <v>78.45</v>
      </c>
      <c r="G863" s="14" t="s">
        <v>3704</v>
      </c>
      <c r="H863" s="567" t="s">
        <v>2973</v>
      </c>
      <c r="I863" s="14" t="s">
        <v>4218</v>
      </c>
      <c r="J863" s="14" t="s">
        <v>4219</v>
      </c>
      <c r="K863" s="478">
        <v>0.77</v>
      </c>
      <c r="L863" s="220">
        <v>64.680000000000007</v>
      </c>
      <c r="M863" s="568" t="s">
        <v>4220</v>
      </c>
      <c r="N863" s="479" t="s">
        <v>2937</v>
      </c>
      <c r="O863" s="568" t="s">
        <v>4221</v>
      </c>
      <c r="P863" s="14" t="s">
        <v>3072</v>
      </c>
      <c r="Q863" s="14" t="s">
        <v>3073</v>
      </c>
      <c r="R863" s="14">
        <v>0.1</v>
      </c>
      <c r="S863" s="14">
        <f t="shared" si="817"/>
        <v>6.4680000000000001E-2</v>
      </c>
      <c r="T863" s="487">
        <f>SUM(R832:R868)</f>
        <v>98.999999999999957</v>
      </c>
      <c r="U863">
        <f t="shared" si="921"/>
        <v>0.10101010101010102</v>
      </c>
      <c r="V863" s="220">
        <f>U863*100/SUM(U832:U834,U836:U868)</f>
        <v>0.10869565217391297</v>
      </c>
      <c r="W863" s="14" t="s">
        <v>343</v>
      </c>
      <c r="X863">
        <f t="shared" si="819"/>
        <v>8.3695652173912991E-2</v>
      </c>
      <c r="Y863" s="220" t="s">
        <v>1666</v>
      </c>
      <c r="Z863" s="220" t="str">
        <f t="shared" ref="Z863:AH863" si="932">Y863</f>
        <v>*</v>
      </c>
      <c r="AA863" s="792" t="str">
        <f t="shared" si="932"/>
        <v>*</v>
      </c>
      <c r="AB863" s="458" t="str">
        <f t="shared" si="932"/>
        <v>*</v>
      </c>
      <c r="AC863" s="497" t="str">
        <f t="shared" si="932"/>
        <v>*</v>
      </c>
      <c r="AD863" s="497" t="str">
        <f t="shared" si="932"/>
        <v>*</v>
      </c>
      <c r="AE863" s="454" t="str">
        <f t="shared" si="932"/>
        <v>*</v>
      </c>
      <c r="AF863" s="454" t="str">
        <f t="shared" si="932"/>
        <v>*</v>
      </c>
      <c r="AG863" s="454" t="str">
        <f t="shared" si="932"/>
        <v>*</v>
      </c>
      <c r="AH863" s="454" t="str">
        <f t="shared" si="932"/>
        <v>*</v>
      </c>
    </row>
    <row r="864" spans="1:34" ht="14.25">
      <c r="A864" s="14" t="s">
        <v>4217</v>
      </c>
      <c r="B864" s="24" t="s">
        <v>2668</v>
      </c>
      <c r="C864" s="14" t="s">
        <v>2704</v>
      </c>
      <c r="D864" s="14" t="s">
        <v>2911</v>
      </c>
      <c r="E864" s="14" t="s">
        <v>4218</v>
      </c>
      <c r="F864" s="13">
        <v>78.45</v>
      </c>
      <c r="G864" s="14" t="s">
        <v>3704</v>
      </c>
      <c r="H864" s="567" t="s">
        <v>2973</v>
      </c>
      <c r="I864" s="14" t="s">
        <v>4218</v>
      </c>
      <c r="J864" s="14" t="s">
        <v>4219</v>
      </c>
      <c r="K864" s="478">
        <v>0.77</v>
      </c>
      <c r="L864" s="220">
        <v>64.680000000000007</v>
      </c>
      <c r="M864" s="568" t="s">
        <v>4220</v>
      </c>
      <c r="N864" s="479" t="s">
        <v>2937</v>
      </c>
      <c r="O864" s="568" t="s">
        <v>4221</v>
      </c>
      <c r="P864" s="14" t="s">
        <v>2994</v>
      </c>
      <c r="Q864" s="14" t="s">
        <v>4251</v>
      </c>
      <c r="R864" s="14">
        <v>0.1</v>
      </c>
      <c r="S864" s="14">
        <f t="shared" si="817"/>
        <v>6.4680000000000001E-2</v>
      </c>
      <c r="T864" s="487">
        <f>SUM(R832:R868)</f>
        <v>98.999999999999957</v>
      </c>
      <c r="U864">
        <f t="shared" si="921"/>
        <v>0.10101010101010102</v>
      </c>
      <c r="V864" s="220">
        <f>U864*100/SUM(U832:U834,U836:U868)</f>
        <v>0.10869565217391297</v>
      </c>
      <c r="W864" s="14" t="s">
        <v>121</v>
      </c>
      <c r="X864">
        <f t="shared" si="819"/>
        <v>8.3695652173912991E-2</v>
      </c>
      <c r="Y864" s="220" t="s">
        <v>1666</v>
      </c>
      <c r="Z864" s="220">
        <f t="shared" ref="Z864:Z865" si="933">X864</f>
        <v>8.3695652173912991E-2</v>
      </c>
      <c r="AA864" s="792">
        <f t="shared" ref="AA864:AA865" si="934">Z864</f>
        <v>8.3695652173912991E-2</v>
      </c>
      <c r="AB864" s="18" t="s">
        <v>121</v>
      </c>
      <c r="AC864" s="13" t="s">
        <v>121</v>
      </c>
      <c r="AD864" s="14" t="s">
        <v>3016</v>
      </c>
      <c r="AE864" s="12">
        <v>4.1127278199052132E-2</v>
      </c>
      <c r="AF864" s="12">
        <v>0.12092157867298578</v>
      </c>
      <c r="AG864" s="12">
        <v>8.0618486208530824E-4</v>
      </c>
      <c r="AH864" s="12">
        <v>7.5857890995260661E-3</v>
      </c>
    </row>
    <row r="865" spans="1:34" ht="14.25">
      <c r="A865" s="14" t="s">
        <v>4217</v>
      </c>
      <c r="B865" s="24" t="s">
        <v>2668</v>
      </c>
      <c r="C865" s="14" t="s">
        <v>2704</v>
      </c>
      <c r="D865" s="14" t="s">
        <v>2911</v>
      </c>
      <c r="E865" s="14" t="s">
        <v>4218</v>
      </c>
      <c r="F865" s="13">
        <v>78.45</v>
      </c>
      <c r="G865" s="14" t="s">
        <v>3704</v>
      </c>
      <c r="H865" s="567" t="s">
        <v>2973</v>
      </c>
      <c r="I865" s="14" t="s">
        <v>4218</v>
      </c>
      <c r="J865" s="14" t="s">
        <v>4219</v>
      </c>
      <c r="K865" s="478">
        <v>0.77</v>
      </c>
      <c r="L865" s="220">
        <v>64.680000000000007</v>
      </c>
      <c r="M865" s="568" t="s">
        <v>4220</v>
      </c>
      <c r="N865" s="479" t="s">
        <v>2937</v>
      </c>
      <c r="O865" s="568" t="s">
        <v>4221</v>
      </c>
      <c r="P865" s="655" t="s">
        <v>4252</v>
      </c>
      <c r="Q865" s="486" t="s">
        <v>4253</v>
      </c>
      <c r="R865" s="14">
        <v>0.1</v>
      </c>
      <c r="S865" s="14">
        <f t="shared" si="817"/>
        <v>6.4680000000000001E-2</v>
      </c>
      <c r="T865" s="487">
        <f>SUM(R832:R868)</f>
        <v>98.999999999999957</v>
      </c>
      <c r="U865">
        <f t="shared" si="921"/>
        <v>0.10101010101010102</v>
      </c>
      <c r="V865" s="220">
        <f>U865*100/SUM(U832:U834,U836:U868)</f>
        <v>0.10869565217391297</v>
      </c>
      <c r="W865" s="14" t="s">
        <v>128</v>
      </c>
      <c r="X865">
        <f t="shared" si="819"/>
        <v>8.3695652173912991E-2</v>
      </c>
      <c r="Y865" s="499" t="s">
        <v>1666</v>
      </c>
      <c r="Z865" s="220">
        <f t="shared" si="933"/>
        <v>8.3695652173912991E-2</v>
      </c>
      <c r="AA865" s="792">
        <f t="shared" si="934"/>
        <v>8.3695652173912991E-2</v>
      </c>
      <c r="AB865" s="18" t="s">
        <v>128</v>
      </c>
      <c r="AC865" s="622" t="s">
        <v>4254</v>
      </c>
      <c r="AD865" s="14" t="s">
        <v>4255</v>
      </c>
      <c r="AE865" s="12">
        <v>1.42078990521327E-2</v>
      </c>
      <c r="AF865" s="12">
        <v>4.1773772985781985E-2</v>
      </c>
      <c r="AG865" s="12">
        <v>2.785059853080569E-4</v>
      </c>
      <c r="AH865" s="12">
        <v>2.6205995260663506E-3</v>
      </c>
    </row>
    <row r="866" spans="1:34" ht="14.25">
      <c r="A866" s="14" t="s">
        <v>4217</v>
      </c>
      <c r="B866" s="24" t="s">
        <v>2668</v>
      </c>
      <c r="C866" s="14" t="s">
        <v>2704</v>
      </c>
      <c r="D866" s="14" t="s">
        <v>2911</v>
      </c>
      <c r="E866" s="14" t="s">
        <v>4218</v>
      </c>
      <c r="F866" s="13">
        <v>78.45</v>
      </c>
      <c r="G866" s="14" t="s">
        <v>3704</v>
      </c>
      <c r="H866" s="567" t="s">
        <v>2973</v>
      </c>
      <c r="I866" s="14" t="s">
        <v>4218</v>
      </c>
      <c r="J866" s="14" t="s">
        <v>4219</v>
      </c>
      <c r="K866" s="478">
        <v>0.77</v>
      </c>
      <c r="L866" s="220">
        <v>64.680000000000007</v>
      </c>
      <c r="M866" s="568" t="s">
        <v>4220</v>
      </c>
      <c r="N866" s="479" t="s">
        <v>2937</v>
      </c>
      <c r="O866" s="568" t="s">
        <v>4221</v>
      </c>
      <c r="P866" s="655" t="s">
        <v>3005</v>
      </c>
      <c r="Q866" s="486" t="s">
        <v>3006</v>
      </c>
      <c r="R866" s="14">
        <v>0.1</v>
      </c>
      <c r="S866" s="14">
        <f t="shared" si="817"/>
        <v>6.4680000000000001E-2</v>
      </c>
      <c r="T866" s="487">
        <f>SUM(R832:R868)</f>
        <v>98.999999999999957</v>
      </c>
      <c r="U866">
        <f t="shared" si="921"/>
        <v>0.10101010101010102</v>
      </c>
      <c r="V866" s="220">
        <f>U866*100/SUM(U832:U834,U836:U868)</f>
        <v>0.10869565217391297</v>
      </c>
      <c r="W866" s="14" t="s">
        <v>2779</v>
      </c>
      <c r="X866">
        <f t="shared" si="819"/>
        <v>8.3695652173912991E-2</v>
      </c>
      <c r="Y866" s="220" t="s">
        <v>1666</v>
      </c>
      <c r="Z866" s="220" t="str">
        <f t="shared" ref="Z866:AH866" si="935">Y866</f>
        <v>*</v>
      </c>
      <c r="AA866" s="792" t="str">
        <f t="shared" si="935"/>
        <v>*</v>
      </c>
      <c r="AB866" s="458" t="str">
        <f t="shared" si="935"/>
        <v>*</v>
      </c>
      <c r="AC866" s="497" t="str">
        <f t="shared" si="935"/>
        <v>*</v>
      </c>
      <c r="AD866" s="497" t="str">
        <f t="shared" si="935"/>
        <v>*</v>
      </c>
      <c r="AE866" s="454" t="str">
        <f t="shared" si="935"/>
        <v>*</v>
      </c>
      <c r="AF866" s="454" t="str">
        <f t="shared" si="935"/>
        <v>*</v>
      </c>
      <c r="AG866" s="454" t="str">
        <f t="shared" si="935"/>
        <v>*</v>
      </c>
      <c r="AH866" s="454" t="str">
        <f t="shared" si="935"/>
        <v>*</v>
      </c>
    </row>
    <row r="867" spans="1:34" ht="14.25">
      <c r="A867" s="14" t="s">
        <v>4217</v>
      </c>
      <c r="B867" s="24" t="s">
        <v>2668</v>
      </c>
      <c r="C867" s="14" t="s">
        <v>2704</v>
      </c>
      <c r="D867" s="14" t="s">
        <v>2911</v>
      </c>
      <c r="E867" s="14" t="s">
        <v>4218</v>
      </c>
      <c r="F867" s="13">
        <v>78.45</v>
      </c>
      <c r="G867" s="14" t="s">
        <v>3704</v>
      </c>
      <c r="H867" s="567" t="s">
        <v>2973</v>
      </c>
      <c r="I867" s="14" t="s">
        <v>4218</v>
      </c>
      <c r="J867" s="14" t="s">
        <v>4219</v>
      </c>
      <c r="K867" s="478">
        <v>0.77</v>
      </c>
      <c r="L867" s="220">
        <v>64.680000000000007</v>
      </c>
      <c r="M867" s="568" t="s">
        <v>4220</v>
      </c>
      <c r="N867" s="479" t="s">
        <v>2937</v>
      </c>
      <c r="O867" s="568" t="s">
        <v>4221</v>
      </c>
      <c r="P867" s="14" t="s">
        <v>421</v>
      </c>
      <c r="Q867" s="435" t="s">
        <v>2952</v>
      </c>
      <c r="R867" s="14">
        <v>0.1</v>
      </c>
      <c r="S867" s="14">
        <f t="shared" si="817"/>
        <v>6.4680000000000001E-2</v>
      </c>
      <c r="T867" s="487">
        <f>SUM(R832:R868)</f>
        <v>98.999999999999957</v>
      </c>
      <c r="U867">
        <f t="shared" si="921"/>
        <v>0.10101010101010102</v>
      </c>
      <c r="V867" s="220">
        <f>U867*100/SUM(U832:U834,U836:U868)</f>
        <v>0.10869565217391297</v>
      </c>
      <c r="W867" s="14" t="s">
        <v>421</v>
      </c>
      <c r="X867">
        <f t="shared" si="819"/>
        <v>8.3695652173912991E-2</v>
      </c>
      <c r="Y867" s="220" t="s">
        <v>1666</v>
      </c>
      <c r="Z867" s="220" t="str">
        <f t="shared" ref="Z867:AH867" si="936">Y867</f>
        <v>*</v>
      </c>
      <c r="AA867" s="792" t="str">
        <f t="shared" si="936"/>
        <v>*</v>
      </c>
      <c r="AB867" s="458" t="str">
        <f t="shared" si="936"/>
        <v>*</v>
      </c>
      <c r="AC867" s="497" t="str">
        <f t="shared" si="936"/>
        <v>*</v>
      </c>
      <c r="AD867" s="497" t="str">
        <f t="shared" si="936"/>
        <v>*</v>
      </c>
      <c r="AE867" s="454" t="str">
        <f t="shared" si="936"/>
        <v>*</v>
      </c>
      <c r="AF867" s="454" t="str">
        <f t="shared" si="936"/>
        <v>*</v>
      </c>
      <c r="AG867" s="454" t="str">
        <f t="shared" si="936"/>
        <v>*</v>
      </c>
      <c r="AH867" s="454" t="str">
        <f t="shared" si="936"/>
        <v>*</v>
      </c>
    </row>
    <row r="868" spans="1:34" ht="14.25">
      <c r="A868" s="14" t="s">
        <v>4217</v>
      </c>
      <c r="B868" s="24" t="s">
        <v>2668</v>
      </c>
      <c r="C868" s="14" t="s">
        <v>2704</v>
      </c>
      <c r="D868" s="14" t="s">
        <v>2911</v>
      </c>
      <c r="E868" s="14" t="s">
        <v>4218</v>
      </c>
      <c r="F868" s="13">
        <v>78.45</v>
      </c>
      <c r="G868" s="14" t="s">
        <v>3704</v>
      </c>
      <c r="H868" s="567" t="s">
        <v>2973</v>
      </c>
      <c r="I868" s="135" t="s">
        <v>4218</v>
      </c>
      <c r="J868" s="135" t="s">
        <v>4219</v>
      </c>
      <c r="K868" s="475">
        <v>0.77</v>
      </c>
      <c r="L868" s="476">
        <v>64.680000000000007</v>
      </c>
      <c r="M868" s="570" t="s">
        <v>4220</v>
      </c>
      <c r="N868" s="493" t="s">
        <v>2937</v>
      </c>
      <c r="O868" s="570" t="s">
        <v>4221</v>
      </c>
      <c r="P868" s="135" t="s">
        <v>2948</v>
      </c>
      <c r="Q868" s="135" t="s">
        <v>4256</v>
      </c>
      <c r="R868" s="135">
        <v>0.1</v>
      </c>
      <c r="S868" s="135">
        <f t="shared" si="817"/>
        <v>6.4680000000000001E-2</v>
      </c>
      <c r="T868" s="496">
        <f>SUM(R832:R868)</f>
        <v>98.999999999999957</v>
      </c>
      <c r="U868" s="135">
        <f t="shared" si="921"/>
        <v>0.10101010101010102</v>
      </c>
      <c r="V868" s="476">
        <f>U868*100/SUM(U832:U834,U836:U868)</f>
        <v>0.10869565217391297</v>
      </c>
      <c r="W868" s="135" t="s">
        <v>305</v>
      </c>
      <c r="X868">
        <f t="shared" si="819"/>
        <v>8.3695652173912991E-2</v>
      </c>
      <c r="Y868" s="220" t="s">
        <v>1666</v>
      </c>
      <c r="Z868" s="220" t="str">
        <f t="shared" ref="Z868:AH868" si="937">Y868</f>
        <v>*</v>
      </c>
      <c r="AA868" s="792" t="str">
        <f t="shared" si="937"/>
        <v>*</v>
      </c>
      <c r="AB868" s="458" t="str">
        <f t="shared" si="937"/>
        <v>*</v>
      </c>
      <c r="AC868" s="497" t="str">
        <f t="shared" si="937"/>
        <v>*</v>
      </c>
      <c r="AD868" s="497" t="str">
        <f t="shared" si="937"/>
        <v>*</v>
      </c>
      <c r="AE868" s="454" t="str">
        <f t="shared" si="937"/>
        <v>*</v>
      </c>
      <c r="AF868" s="454" t="str">
        <f t="shared" si="937"/>
        <v>*</v>
      </c>
      <c r="AG868" s="454" t="str">
        <f t="shared" si="937"/>
        <v>*</v>
      </c>
      <c r="AH868" s="454" t="str">
        <f t="shared" si="937"/>
        <v>*</v>
      </c>
    </row>
    <row r="869" spans="1:34" ht="14.25">
      <c r="A869" s="14" t="s">
        <v>4217</v>
      </c>
      <c r="B869" s="24" t="s">
        <v>2668</v>
      </c>
      <c r="C869" s="14" t="s">
        <v>2704</v>
      </c>
      <c r="D869" s="14" t="s">
        <v>2911</v>
      </c>
      <c r="E869" s="14" t="s">
        <v>4218</v>
      </c>
      <c r="F869" s="13">
        <v>78.45</v>
      </c>
      <c r="G869" s="14" t="s">
        <v>3704</v>
      </c>
      <c r="H869" s="567" t="s">
        <v>2973</v>
      </c>
      <c r="I869" s="14" t="s">
        <v>4257</v>
      </c>
      <c r="J869" s="14" t="s">
        <v>4258</v>
      </c>
      <c r="K869" s="478">
        <v>0.23</v>
      </c>
      <c r="L869" s="220">
        <v>13.8</v>
      </c>
      <c r="M869" s="573" t="s">
        <v>4259</v>
      </c>
      <c r="N869" s="479" t="s">
        <v>2937</v>
      </c>
      <c r="O869" s="568" t="s">
        <v>4221</v>
      </c>
      <c r="P869" s="655" t="s">
        <v>3005</v>
      </c>
      <c r="Q869" s="486" t="s">
        <v>3006</v>
      </c>
      <c r="R869" s="14">
        <v>49</v>
      </c>
      <c r="S869" s="14">
        <f t="shared" si="817"/>
        <v>6.7620000000000005</v>
      </c>
      <c r="T869" s="220">
        <f>SUM(R869:R886)</f>
        <v>98.300000000000011</v>
      </c>
      <c r="U869">
        <f t="shared" ref="U869:U948" si="938">R869*100/T869</f>
        <v>49.847405900305183</v>
      </c>
      <c r="V869" s="220">
        <f>U869*100/SUM(U869,U871:U887)</f>
        <v>64.986824991407602</v>
      </c>
      <c r="W869" s="14" t="s">
        <v>2526</v>
      </c>
      <c r="X869">
        <f t="shared" si="819"/>
        <v>14.946969748023749</v>
      </c>
      <c r="Y869" s="220" t="s">
        <v>1666</v>
      </c>
      <c r="Z869" s="220" t="str">
        <f t="shared" ref="Z869:AH869" si="939">Y869</f>
        <v>*</v>
      </c>
      <c r="AA869" s="792" t="str">
        <f t="shared" si="939"/>
        <v>*</v>
      </c>
      <c r="AB869" s="458" t="str">
        <f t="shared" si="939"/>
        <v>*</v>
      </c>
      <c r="AC869" s="497" t="str">
        <f t="shared" si="939"/>
        <v>*</v>
      </c>
      <c r="AD869" s="497" t="str">
        <f t="shared" si="939"/>
        <v>*</v>
      </c>
      <c r="AE869" s="454" t="str">
        <f t="shared" si="939"/>
        <v>*</v>
      </c>
      <c r="AF869" s="454" t="str">
        <f t="shared" si="939"/>
        <v>*</v>
      </c>
      <c r="AG869" s="454" t="str">
        <f t="shared" si="939"/>
        <v>*</v>
      </c>
      <c r="AH869" s="454" t="str">
        <f t="shared" si="939"/>
        <v>*</v>
      </c>
    </row>
    <row r="870" spans="1:34" ht="14.25">
      <c r="A870" s="14" t="s">
        <v>4217</v>
      </c>
      <c r="B870" s="24" t="s">
        <v>2668</v>
      </c>
      <c r="C870" s="14" t="s">
        <v>2704</v>
      </c>
      <c r="D870" s="14" t="s">
        <v>2911</v>
      </c>
      <c r="E870" s="14" t="s">
        <v>4218</v>
      </c>
      <c r="F870" s="13">
        <v>78.45</v>
      </c>
      <c r="G870" s="14" t="s">
        <v>3704</v>
      </c>
      <c r="H870" s="567" t="s">
        <v>2973</v>
      </c>
      <c r="I870" s="14" t="s">
        <v>4257</v>
      </c>
      <c r="J870" s="14" t="s">
        <v>4258</v>
      </c>
      <c r="K870" s="478">
        <v>0.23</v>
      </c>
      <c r="L870" s="220">
        <v>13.8</v>
      </c>
      <c r="M870" s="573" t="s">
        <v>4259</v>
      </c>
      <c r="N870" s="479" t="s">
        <v>2937</v>
      </c>
      <c r="O870" s="568" t="s">
        <v>4221</v>
      </c>
      <c r="P870" s="14" t="s">
        <v>2938</v>
      </c>
      <c r="Q870" s="435" t="s">
        <v>2939</v>
      </c>
      <c r="R870" s="14">
        <v>23</v>
      </c>
      <c r="S870" s="14">
        <f t="shared" si="817"/>
        <v>3.1740000000000004</v>
      </c>
      <c r="T870" s="220">
        <f>SUM(R869:R886)</f>
        <v>98.300000000000011</v>
      </c>
      <c r="U870" s="482">
        <f t="shared" si="938"/>
        <v>23.397761953204473</v>
      </c>
      <c r="V870" s="481">
        <f>U870</f>
        <v>23.397761953204473</v>
      </c>
      <c r="W870" s="482" t="s">
        <v>72</v>
      </c>
      <c r="X870" s="482">
        <f t="shared" si="819"/>
        <v>5.3814852492370289</v>
      </c>
      <c r="Y870" s="470" t="s">
        <v>1666</v>
      </c>
      <c r="Z870" s="220" t="str">
        <f t="shared" ref="Z870:AH870" si="940">Y870</f>
        <v>*</v>
      </c>
      <c r="AA870" s="792" t="str">
        <f t="shared" si="940"/>
        <v>*</v>
      </c>
      <c r="AB870" s="458" t="str">
        <f t="shared" si="940"/>
        <v>*</v>
      </c>
      <c r="AC870" s="497" t="str">
        <f t="shared" si="940"/>
        <v>*</v>
      </c>
      <c r="AD870" s="497" t="str">
        <f t="shared" si="940"/>
        <v>*</v>
      </c>
      <c r="AE870" s="454" t="str">
        <f t="shared" si="940"/>
        <v>*</v>
      </c>
      <c r="AF870" s="454" t="str">
        <f t="shared" si="940"/>
        <v>*</v>
      </c>
      <c r="AG870" s="454" t="str">
        <f t="shared" si="940"/>
        <v>*</v>
      </c>
      <c r="AH870" s="454" t="str">
        <f t="shared" si="940"/>
        <v>*</v>
      </c>
    </row>
    <row r="871" spans="1:34" ht="14.25">
      <c r="A871" s="14" t="s">
        <v>4217</v>
      </c>
      <c r="B871" s="24" t="s">
        <v>2668</v>
      </c>
      <c r="C871" s="14" t="s">
        <v>2704</v>
      </c>
      <c r="D871" s="14" t="s">
        <v>2911</v>
      </c>
      <c r="E871" s="14" t="s">
        <v>4218</v>
      </c>
      <c r="F871" s="13">
        <v>78.45</v>
      </c>
      <c r="G871" s="14" t="s">
        <v>3704</v>
      </c>
      <c r="H871" s="567" t="s">
        <v>2973</v>
      </c>
      <c r="I871" s="14" t="s">
        <v>4257</v>
      </c>
      <c r="J871" s="14" t="s">
        <v>4258</v>
      </c>
      <c r="K871" s="478">
        <v>0.23</v>
      </c>
      <c r="L871" s="220">
        <v>13.8</v>
      </c>
      <c r="M871" s="573" t="s">
        <v>4259</v>
      </c>
      <c r="N871" s="479" t="s">
        <v>2937</v>
      </c>
      <c r="O871" s="568" t="s">
        <v>4221</v>
      </c>
      <c r="P871" s="489" t="s">
        <v>2980</v>
      </c>
      <c r="Q871" s="563" t="s">
        <v>4127</v>
      </c>
      <c r="R871" s="510">
        <f t="shared" ref="R871:R872" si="941">8.6/2</f>
        <v>4.3</v>
      </c>
      <c r="S871" s="14">
        <f t="shared" si="817"/>
        <v>0.59339999999999993</v>
      </c>
      <c r="T871" s="220">
        <f>SUM(R869:R886)</f>
        <v>98.300000000000011</v>
      </c>
      <c r="U871">
        <f t="shared" si="938"/>
        <v>4.3743641912512707</v>
      </c>
      <c r="V871" s="220">
        <f>U871*100/SUM(U869,U871:U887)</f>
        <v>5.7029254584296467</v>
      </c>
      <c r="W871" s="14" t="s">
        <v>349</v>
      </c>
      <c r="X871">
        <f t="shared" si="819"/>
        <v>1.3116728554388188</v>
      </c>
      <c r="Y871" s="220" t="s">
        <v>1666</v>
      </c>
      <c r="Z871" s="220" t="str">
        <f t="shared" ref="Z871:AH871" si="942">Y871</f>
        <v>*</v>
      </c>
      <c r="AA871" s="792" t="str">
        <f t="shared" si="942"/>
        <v>*</v>
      </c>
      <c r="AB871" s="458" t="str">
        <f t="shared" si="942"/>
        <v>*</v>
      </c>
      <c r="AC871" s="497" t="str">
        <f t="shared" si="942"/>
        <v>*</v>
      </c>
      <c r="AD871" s="497" t="str">
        <f t="shared" si="942"/>
        <v>*</v>
      </c>
      <c r="AE871" s="454" t="str">
        <f t="shared" si="942"/>
        <v>*</v>
      </c>
      <c r="AF871" s="454" t="str">
        <f t="shared" si="942"/>
        <v>*</v>
      </c>
      <c r="AG871" s="454" t="str">
        <f t="shared" si="942"/>
        <v>*</v>
      </c>
      <c r="AH871" s="454" t="str">
        <f t="shared" si="942"/>
        <v>*</v>
      </c>
    </row>
    <row r="872" spans="1:34" ht="14.25">
      <c r="A872" s="14" t="s">
        <v>4217</v>
      </c>
      <c r="B872" s="24" t="s">
        <v>2668</v>
      </c>
      <c r="C872" s="14" t="s">
        <v>2704</v>
      </c>
      <c r="D872" s="14" t="s">
        <v>2911</v>
      </c>
      <c r="E872" s="14" t="s">
        <v>4218</v>
      </c>
      <c r="F872" s="13">
        <v>78.45</v>
      </c>
      <c r="G872" s="14" t="s">
        <v>3704</v>
      </c>
      <c r="H872" s="567" t="s">
        <v>2973</v>
      </c>
      <c r="I872" s="14" t="s">
        <v>4257</v>
      </c>
      <c r="J872" s="14" t="s">
        <v>4258</v>
      </c>
      <c r="K872" s="478">
        <v>0.23</v>
      </c>
      <c r="L872" s="220">
        <v>13.8</v>
      </c>
      <c r="M872" s="573" t="s">
        <v>4259</v>
      </c>
      <c r="N872" s="479" t="s">
        <v>2937</v>
      </c>
      <c r="O872" s="568" t="s">
        <v>4221</v>
      </c>
      <c r="P872" s="490" t="s">
        <v>2980</v>
      </c>
      <c r="Q872" s="491" t="s">
        <v>4128</v>
      </c>
      <c r="R872" s="510">
        <f t="shared" si="941"/>
        <v>4.3</v>
      </c>
      <c r="S872" s="14">
        <f t="shared" si="817"/>
        <v>0.59339999999999993</v>
      </c>
      <c r="T872" s="487">
        <f>SUM(R869:R886)</f>
        <v>98.300000000000011</v>
      </c>
      <c r="U872">
        <f t="shared" si="938"/>
        <v>4.3743641912512707</v>
      </c>
      <c r="V872" s="220">
        <f>U872*100/SUM(U869,U871:U887)</f>
        <v>5.7029254584296467</v>
      </c>
      <c r="W872" s="14" t="s">
        <v>2521</v>
      </c>
      <c r="X872">
        <f t="shared" si="819"/>
        <v>1.3116728554388188</v>
      </c>
      <c r="Y872" s="220" t="s">
        <v>1666</v>
      </c>
      <c r="Z872" s="220" t="str">
        <f t="shared" ref="Z872:AH872" si="943">Y872</f>
        <v>*</v>
      </c>
      <c r="AA872" s="792" t="str">
        <f t="shared" si="943"/>
        <v>*</v>
      </c>
      <c r="AB872" s="458" t="str">
        <f t="shared" si="943"/>
        <v>*</v>
      </c>
      <c r="AC872" s="497" t="str">
        <f t="shared" si="943"/>
        <v>*</v>
      </c>
      <c r="AD872" s="497" t="str">
        <f t="shared" si="943"/>
        <v>*</v>
      </c>
      <c r="AE872" s="454" t="str">
        <f t="shared" si="943"/>
        <v>*</v>
      </c>
      <c r="AF872" s="454" t="str">
        <f t="shared" si="943"/>
        <v>*</v>
      </c>
      <c r="AG872" s="454" t="str">
        <f t="shared" si="943"/>
        <v>*</v>
      </c>
      <c r="AH872" s="454" t="str">
        <f t="shared" si="943"/>
        <v>*</v>
      </c>
    </row>
    <row r="873" spans="1:34" ht="14.25">
      <c r="A873" s="14" t="s">
        <v>4217</v>
      </c>
      <c r="B873" s="24" t="s">
        <v>2668</v>
      </c>
      <c r="C873" s="14" t="s">
        <v>2704</v>
      </c>
      <c r="D873" s="14" t="s">
        <v>2911</v>
      </c>
      <c r="E873" s="14" t="s">
        <v>4218</v>
      </c>
      <c r="F873" s="13">
        <v>78.45</v>
      </c>
      <c r="G873" s="14" t="s">
        <v>3704</v>
      </c>
      <c r="H873" s="567" t="s">
        <v>2973</v>
      </c>
      <c r="I873" s="14" t="s">
        <v>4257</v>
      </c>
      <c r="J873" s="14" t="s">
        <v>4258</v>
      </c>
      <c r="K873" s="478">
        <v>0.23</v>
      </c>
      <c r="L873" s="220">
        <v>13.8</v>
      </c>
      <c r="M873" s="573" t="s">
        <v>4259</v>
      </c>
      <c r="N873" s="479" t="s">
        <v>2937</v>
      </c>
      <c r="O873" s="568" t="s">
        <v>4221</v>
      </c>
      <c r="P873" s="655" t="s">
        <v>2987</v>
      </c>
      <c r="Q873" s="486" t="s">
        <v>2981</v>
      </c>
      <c r="R873" s="14">
        <v>1.4</v>
      </c>
      <c r="S873" s="14">
        <f t="shared" si="817"/>
        <v>0.19319999999999998</v>
      </c>
      <c r="T873" s="220">
        <f>SUM(R869:R886)</f>
        <v>98.300000000000011</v>
      </c>
      <c r="U873">
        <f t="shared" si="938"/>
        <v>1.4242115971515767</v>
      </c>
      <c r="V873" s="220">
        <f>U873*100/SUM(U869,U871:U887)</f>
        <v>1.8567664283259318</v>
      </c>
      <c r="W873" s="14" t="s">
        <v>4260</v>
      </c>
      <c r="X873">
        <f t="shared" si="819"/>
        <v>0.4270562785149643</v>
      </c>
      <c r="Y873" s="220" t="s">
        <v>1666</v>
      </c>
      <c r="Z873" s="220" t="str">
        <f t="shared" ref="Z873:AH873" si="944">Y873</f>
        <v>*</v>
      </c>
      <c r="AA873" s="792" t="str">
        <f t="shared" si="944"/>
        <v>*</v>
      </c>
      <c r="AB873" s="458" t="str">
        <f t="shared" si="944"/>
        <v>*</v>
      </c>
      <c r="AC873" s="497" t="str">
        <f t="shared" si="944"/>
        <v>*</v>
      </c>
      <c r="AD873" s="497" t="str">
        <f t="shared" si="944"/>
        <v>*</v>
      </c>
      <c r="AE873" s="454" t="str">
        <f t="shared" si="944"/>
        <v>*</v>
      </c>
      <c r="AF873" s="454" t="str">
        <f t="shared" si="944"/>
        <v>*</v>
      </c>
      <c r="AG873" s="454" t="str">
        <f t="shared" si="944"/>
        <v>*</v>
      </c>
      <c r="AH873" s="454" t="str">
        <f t="shared" si="944"/>
        <v>*</v>
      </c>
    </row>
    <row r="874" spans="1:34" ht="14.25">
      <c r="A874" s="14" t="s">
        <v>4217</v>
      </c>
      <c r="B874" s="24" t="s">
        <v>2668</v>
      </c>
      <c r="C874" s="14" t="s">
        <v>2704</v>
      </c>
      <c r="D874" s="14" t="s">
        <v>2911</v>
      </c>
      <c r="E874" s="14" t="s">
        <v>4218</v>
      </c>
      <c r="F874" s="13">
        <v>78.45</v>
      </c>
      <c r="G874" s="14" t="s">
        <v>3704</v>
      </c>
      <c r="H874" s="567" t="s">
        <v>2973</v>
      </c>
      <c r="I874" s="14" t="s">
        <v>4257</v>
      </c>
      <c r="J874" s="14" t="s">
        <v>4258</v>
      </c>
      <c r="K874" s="478">
        <v>0.23</v>
      </c>
      <c r="L874" s="220">
        <v>13.8</v>
      </c>
      <c r="M874" s="573" t="s">
        <v>4259</v>
      </c>
      <c r="N874" s="479" t="s">
        <v>2937</v>
      </c>
      <c r="O874" s="568" t="s">
        <v>4221</v>
      </c>
      <c r="P874" s="655" t="s">
        <v>2985</v>
      </c>
      <c r="Q874" s="486" t="s">
        <v>4261</v>
      </c>
      <c r="R874" s="14">
        <v>1.9</v>
      </c>
      <c r="S874" s="14">
        <f t="shared" si="817"/>
        <v>0.26219999999999999</v>
      </c>
      <c r="T874" s="220">
        <f>SUM(R869:R886)</f>
        <v>98.300000000000011</v>
      </c>
      <c r="U874">
        <f t="shared" si="938"/>
        <v>1.9328585961342826</v>
      </c>
      <c r="V874" s="220">
        <f>U874*100/SUM(U869,U871:U887)</f>
        <v>2.5198972955851926</v>
      </c>
      <c r="W874" s="14" t="s">
        <v>1370</v>
      </c>
      <c r="X874">
        <f t="shared" si="819"/>
        <v>0.57957637798459427</v>
      </c>
      <c r="Y874" s="499">
        <f t="shared" ref="Y874:AA874" si="945">X874</f>
        <v>0.57957637798459427</v>
      </c>
      <c r="Z874" s="220">
        <f t="shared" si="945"/>
        <v>0.57957637798459427</v>
      </c>
      <c r="AA874" s="792">
        <f t="shared" si="945"/>
        <v>0.57957637798459427</v>
      </c>
      <c r="AB874" s="18" t="s">
        <v>1370</v>
      </c>
      <c r="AC874" s="13" t="s">
        <v>18</v>
      </c>
      <c r="AD874" s="13" t="s">
        <v>3144</v>
      </c>
      <c r="AE874" s="12">
        <v>1.7000000000000001E-2</v>
      </c>
      <c r="AF874" s="12">
        <v>3.15E-2</v>
      </c>
      <c r="AG874" s="12">
        <v>9.9999999999999995E-7</v>
      </c>
      <c r="AH874" s="12">
        <v>9.0389601227534877E-4</v>
      </c>
    </row>
    <row r="875" spans="1:34" ht="14.25">
      <c r="A875" s="14" t="s">
        <v>4217</v>
      </c>
      <c r="B875" s="24" t="s">
        <v>2668</v>
      </c>
      <c r="C875" s="14" t="s">
        <v>2704</v>
      </c>
      <c r="D875" s="14" t="s">
        <v>2911</v>
      </c>
      <c r="E875" s="14" t="s">
        <v>4218</v>
      </c>
      <c r="F875" s="13">
        <v>78.45</v>
      </c>
      <c r="G875" s="14" t="s">
        <v>3704</v>
      </c>
      <c r="H875" s="567" t="s">
        <v>2973</v>
      </c>
      <c r="I875" s="14" t="s">
        <v>4257</v>
      </c>
      <c r="J875" s="14" t="s">
        <v>4258</v>
      </c>
      <c r="K875" s="478">
        <v>0.23</v>
      </c>
      <c r="L875" s="220">
        <v>13.8</v>
      </c>
      <c r="M875" s="573" t="s">
        <v>4259</v>
      </c>
      <c r="N875" s="472" t="s">
        <v>2937</v>
      </c>
      <c r="O875" s="568" t="s">
        <v>4221</v>
      </c>
      <c r="P875" s="14" t="s">
        <v>3021</v>
      </c>
      <c r="Q875" s="486" t="s">
        <v>3022</v>
      </c>
      <c r="R875" s="14">
        <v>1</v>
      </c>
      <c r="S875" s="14">
        <f t="shared" si="817"/>
        <v>0.13800000000000001</v>
      </c>
      <c r="T875" s="220">
        <f>SUM(R869:R886)</f>
        <v>98.300000000000011</v>
      </c>
      <c r="U875">
        <f t="shared" si="938"/>
        <v>1.0172939979654119</v>
      </c>
      <c r="V875" s="220">
        <f>U875*100/SUM(U869,U871:U887)</f>
        <v>1.3262617345185226</v>
      </c>
      <c r="W875" s="14" t="s">
        <v>346</v>
      </c>
      <c r="X875">
        <f t="shared" si="819"/>
        <v>0.30504019893926021</v>
      </c>
      <c r="Y875" s="220" t="s">
        <v>1666</v>
      </c>
      <c r="Z875" s="220" t="str">
        <f t="shared" ref="Z875:AH875" si="946">Y875</f>
        <v>*</v>
      </c>
      <c r="AA875" s="792" t="str">
        <f t="shared" si="946"/>
        <v>*</v>
      </c>
      <c r="AB875" s="458" t="str">
        <f t="shared" si="946"/>
        <v>*</v>
      </c>
      <c r="AC875" s="497" t="str">
        <f t="shared" si="946"/>
        <v>*</v>
      </c>
      <c r="AD875" s="497" t="str">
        <f t="shared" si="946"/>
        <v>*</v>
      </c>
      <c r="AE875" s="454" t="str">
        <f t="shared" si="946"/>
        <v>*</v>
      </c>
      <c r="AF875" s="454" t="str">
        <f t="shared" si="946"/>
        <v>*</v>
      </c>
      <c r="AG875" s="454" t="str">
        <f t="shared" si="946"/>
        <v>*</v>
      </c>
      <c r="AH875" s="454" t="str">
        <f t="shared" si="946"/>
        <v>*</v>
      </c>
    </row>
    <row r="876" spans="1:34" ht="14.25">
      <c r="A876" s="14" t="s">
        <v>4217</v>
      </c>
      <c r="B876" s="24" t="s">
        <v>2668</v>
      </c>
      <c r="C876" s="14" t="s">
        <v>2704</v>
      </c>
      <c r="D876" s="14" t="s">
        <v>2911</v>
      </c>
      <c r="E876" s="14" t="s">
        <v>4218</v>
      </c>
      <c r="F876" s="13">
        <v>78.45</v>
      </c>
      <c r="G876" s="14" t="s">
        <v>3704</v>
      </c>
      <c r="H876" s="567" t="s">
        <v>2973</v>
      </c>
      <c r="I876" s="14" t="s">
        <v>4257</v>
      </c>
      <c r="J876" s="14" t="s">
        <v>4258</v>
      </c>
      <c r="K876" s="478">
        <v>0.23</v>
      </c>
      <c r="L876" s="220">
        <v>13.8</v>
      </c>
      <c r="M876" s="573" t="s">
        <v>4259</v>
      </c>
      <c r="N876" s="479" t="s">
        <v>2937</v>
      </c>
      <c r="O876" s="568" t="s">
        <v>4221</v>
      </c>
      <c r="P876" s="14" t="s">
        <v>2945</v>
      </c>
      <c r="Q876" s="435" t="s">
        <v>2946</v>
      </c>
      <c r="R876" s="14">
        <v>4.7</v>
      </c>
      <c r="S876" s="14">
        <f t="shared" si="817"/>
        <v>0.64860000000000007</v>
      </c>
      <c r="T876" s="220">
        <f>SUM(R869:R886)</f>
        <v>98.300000000000011</v>
      </c>
      <c r="U876">
        <f t="shared" si="938"/>
        <v>4.7812817904374363</v>
      </c>
      <c r="V876" s="220">
        <f>U876*100/SUM(U869,U871:U887)</f>
        <v>6.2334301522370561</v>
      </c>
      <c r="W876" s="14" t="s">
        <v>433</v>
      </c>
      <c r="X876">
        <f t="shared" si="819"/>
        <v>1.433688935014523</v>
      </c>
      <c r="Y876" s="220" t="s">
        <v>1666</v>
      </c>
      <c r="Z876" s="220" t="str">
        <f t="shared" ref="Z876:AH876" si="947">Y876</f>
        <v>*</v>
      </c>
      <c r="AA876" s="792" t="str">
        <f t="shared" si="947"/>
        <v>*</v>
      </c>
      <c r="AB876" s="458" t="str">
        <f t="shared" si="947"/>
        <v>*</v>
      </c>
      <c r="AC876" s="497" t="str">
        <f t="shared" si="947"/>
        <v>*</v>
      </c>
      <c r="AD876" s="497" t="str">
        <f t="shared" si="947"/>
        <v>*</v>
      </c>
      <c r="AE876" s="454" t="str">
        <f t="shared" si="947"/>
        <v>*</v>
      </c>
      <c r="AF876" s="454" t="str">
        <f t="shared" si="947"/>
        <v>*</v>
      </c>
      <c r="AG876" s="454" t="str">
        <f t="shared" si="947"/>
        <v>*</v>
      </c>
      <c r="AH876" s="454" t="str">
        <f t="shared" si="947"/>
        <v>*</v>
      </c>
    </row>
    <row r="877" spans="1:34" ht="14.25">
      <c r="A877" s="14" t="s">
        <v>4217</v>
      </c>
      <c r="B877" s="24" t="s">
        <v>2668</v>
      </c>
      <c r="C877" s="14" t="s">
        <v>2704</v>
      </c>
      <c r="D877" s="14" t="s">
        <v>2911</v>
      </c>
      <c r="E877" s="14" t="s">
        <v>4218</v>
      </c>
      <c r="F877" s="13">
        <v>78.45</v>
      </c>
      <c r="G877" s="14" t="s">
        <v>3704</v>
      </c>
      <c r="H877" s="567" t="s">
        <v>2973</v>
      </c>
      <c r="I877" s="14" t="s">
        <v>4257</v>
      </c>
      <c r="J877" s="14" t="s">
        <v>4258</v>
      </c>
      <c r="K877" s="478">
        <v>0.23</v>
      </c>
      <c r="L877" s="220">
        <v>13.8</v>
      </c>
      <c r="M877" s="573" t="s">
        <v>4259</v>
      </c>
      <c r="N877" s="479" t="s">
        <v>2937</v>
      </c>
      <c r="O877" s="568" t="s">
        <v>4221</v>
      </c>
      <c r="P877" s="14" t="s">
        <v>4262</v>
      </c>
      <c r="Q877" s="486" t="s">
        <v>4263</v>
      </c>
      <c r="R877" s="14">
        <v>3</v>
      </c>
      <c r="S877" s="14">
        <f t="shared" si="817"/>
        <v>0.41399999999999998</v>
      </c>
      <c r="T877" s="220">
        <f>SUM(R869:R886)</f>
        <v>98.300000000000011</v>
      </c>
      <c r="U877">
        <f t="shared" si="938"/>
        <v>3.0518819938962358</v>
      </c>
      <c r="V877" s="220">
        <f>U877*100/SUM(U869,U871:U887)</f>
        <v>3.9787852035555682</v>
      </c>
      <c r="W877" s="14" t="s">
        <v>92</v>
      </c>
      <c r="X877">
        <f t="shared" si="819"/>
        <v>0.91512059681778068</v>
      </c>
      <c r="Y877" s="220" t="s">
        <v>1666</v>
      </c>
      <c r="Z877" s="220">
        <f>X877</f>
        <v>0.91512059681778068</v>
      </c>
      <c r="AA877" s="792">
        <f>Z877</f>
        <v>0.91512059681778068</v>
      </c>
      <c r="AB877" s="18" t="s">
        <v>92</v>
      </c>
      <c r="AC877" s="14" t="s">
        <v>92</v>
      </c>
      <c r="AD877" s="14" t="s">
        <v>4264</v>
      </c>
      <c r="AE877" s="12">
        <v>4.7583080568720385E-3</v>
      </c>
      <c r="AF877" s="12">
        <v>1.399027962085308E-2</v>
      </c>
      <c r="AG877" s="12">
        <v>9.3273274881516596E-5</v>
      </c>
      <c r="AH877" s="12">
        <v>8.7765402843601901E-4</v>
      </c>
    </row>
    <row r="878" spans="1:34" ht="14.25">
      <c r="A878" s="14" t="s">
        <v>4217</v>
      </c>
      <c r="B878" s="24" t="s">
        <v>2668</v>
      </c>
      <c r="C878" s="14" t="s">
        <v>2704</v>
      </c>
      <c r="D878" s="14" t="s">
        <v>2911</v>
      </c>
      <c r="E878" s="14" t="s">
        <v>4218</v>
      </c>
      <c r="F878" s="13">
        <v>78.45</v>
      </c>
      <c r="G878" s="14" t="s">
        <v>3704</v>
      </c>
      <c r="H878" s="567" t="s">
        <v>2973</v>
      </c>
      <c r="I878" s="14" t="s">
        <v>4257</v>
      </c>
      <c r="J878" s="14" t="s">
        <v>4258</v>
      </c>
      <c r="K878" s="478">
        <v>0.23</v>
      </c>
      <c r="L878" s="220">
        <v>13.8</v>
      </c>
      <c r="M878" s="573" t="s">
        <v>4259</v>
      </c>
      <c r="N878" s="479" t="s">
        <v>2937</v>
      </c>
      <c r="O878" s="568" t="s">
        <v>4221</v>
      </c>
      <c r="P878" s="14" t="s">
        <v>83</v>
      </c>
      <c r="Q878" s="527" t="s">
        <v>3430</v>
      </c>
      <c r="R878" s="14">
        <v>2.2999999999999998</v>
      </c>
      <c r="S878" s="14">
        <f t="shared" si="817"/>
        <v>0.31740000000000002</v>
      </c>
      <c r="T878" s="220">
        <f>SUM(R869:R886)</f>
        <v>98.300000000000011</v>
      </c>
      <c r="U878">
        <f t="shared" si="938"/>
        <v>2.339776195320447</v>
      </c>
      <c r="V878" s="220">
        <f>U878*100/SUM(U869,U871:U887)</f>
        <v>3.0504019893926015</v>
      </c>
      <c r="W878" s="14" t="s">
        <v>83</v>
      </c>
      <c r="X878">
        <f t="shared" si="819"/>
        <v>0.70159245756029842</v>
      </c>
      <c r="Y878" s="220" t="s">
        <v>1666</v>
      </c>
      <c r="Z878" s="220" t="str">
        <f t="shared" ref="Z878:AH878" si="948">Y878</f>
        <v>*</v>
      </c>
      <c r="AA878" s="792" t="str">
        <f t="shared" si="948"/>
        <v>*</v>
      </c>
      <c r="AB878" s="458" t="str">
        <f t="shared" si="948"/>
        <v>*</v>
      </c>
      <c r="AC878" s="497" t="str">
        <f t="shared" si="948"/>
        <v>*</v>
      </c>
      <c r="AD878" s="497" t="str">
        <f t="shared" si="948"/>
        <v>*</v>
      </c>
      <c r="AE878" s="454" t="str">
        <f t="shared" si="948"/>
        <v>*</v>
      </c>
      <c r="AF878" s="454" t="str">
        <f t="shared" si="948"/>
        <v>*</v>
      </c>
      <c r="AG878" s="454" t="str">
        <f t="shared" si="948"/>
        <v>*</v>
      </c>
      <c r="AH878" s="454" t="str">
        <f t="shared" si="948"/>
        <v>*</v>
      </c>
    </row>
    <row r="879" spans="1:34" ht="14.25">
      <c r="A879" s="14" t="s">
        <v>4217</v>
      </c>
      <c r="B879" s="24" t="s">
        <v>2668</v>
      </c>
      <c r="C879" s="14" t="s">
        <v>2704</v>
      </c>
      <c r="D879" s="14" t="s">
        <v>2911</v>
      </c>
      <c r="E879" s="14" t="s">
        <v>4218</v>
      </c>
      <c r="F879" s="13">
        <v>78.45</v>
      </c>
      <c r="G879" s="14" t="s">
        <v>3704</v>
      </c>
      <c r="H879" s="567" t="s">
        <v>2973</v>
      </c>
      <c r="I879" s="14" t="s">
        <v>4257</v>
      </c>
      <c r="J879" s="14" t="s">
        <v>4258</v>
      </c>
      <c r="K879" s="478">
        <v>0.23</v>
      </c>
      <c r="L879" s="220">
        <v>13.8</v>
      </c>
      <c r="M879" s="573" t="s">
        <v>4259</v>
      </c>
      <c r="N879" s="479" t="s">
        <v>2937</v>
      </c>
      <c r="O879" s="568" t="s">
        <v>4221</v>
      </c>
      <c r="P879" s="14" t="s">
        <v>3865</v>
      </c>
      <c r="Q879" s="486" t="s">
        <v>4265</v>
      </c>
      <c r="R879" s="14">
        <v>1</v>
      </c>
      <c r="S879" s="14">
        <f t="shared" si="817"/>
        <v>0.13800000000000001</v>
      </c>
      <c r="T879" s="220">
        <f>SUM(R869:R886)</f>
        <v>98.300000000000011</v>
      </c>
      <c r="U879">
        <f t="shared" si="938"/>
        <v>1.0172939979654119</v>
      </c>
      <c r="V879" s="220">
        <f>U879*100/SUM(U869,U871:U887)</f>
        <v>1.3262617345185226</v>
      </c>
      <c r="W879" s="14" t="s">
        <v>1165</v>
      </c>
      <c r="X879">
        <f t="shared" si="819"/>
        <v>0.30504019893926021</v>
      </c>
      <c r="Y879" s="220" t="s">
        <v>1666</v>
      </c>
      <c r="Z879" s="220" t="str">
        <f t="shared" ref="Z879:AH879" si="949">Y879</f>
        <v>*</v>
      </c>
      <c r="AA879" s="792" t="str">
        <f t="shared" si="949"/>
        <v>*</v>
      </c>
      <c r="AB879" s="458" t="str">
        <f t="shared" si="949"/>
        <v>*</v>
      </c>
      <c r="AC879" s="497" t="str">
        <f t="shared" si="949"/>
        <v>*</v>
      </c>
      <c r="AD879" s="497" t="str">
        <f t="shared" si="949"/>
        <v>*</v>
      </c>
      <c r="AE879" s="454" t="str">
        <f t="shared" si="949"/>
        <v>*</v>
      </c>
      <c r="AF879" s="454" t="str">
        <f t="shared" si="949"/>
        <v>*</v>
      </c>
      <c r="AG879" s="454" t="str">
        <f t="shared" si="949"/>
        <v>*</v>
      </c>
      <c r="AH879" s="454" t="str">
        <f t="shared" si="949"/>
        <v>*</v>
      </c>
    </row>
    <row r="880" spans="1:34" ht="14.25">
      <c r="A880" s="14" t="s">
        <v>4217</v>
      </c>
      <c r="B880" s="24" t="s">
        <v>2668</v>
      </c>
      <c r="C880" s="14" t="s">
        <v>2704</v>
      </c>
      <c r="D880" s="14" t="s">
        <v>2911</v>
      </c>
      <c r="E880" s="14" t="s">
        <v>4218</v>
      </c>
      <c r="F880" s="13">
        <v>78.45</v>
      </c>
      <c r="G880" s="14" t="s">
        <v>3704</v>
      </c>
      <c r="H880" s="567" t="s">
        <v>2973</v>
      </c>
      <c r="I880" s="14" t="s">
        <v>4257</v>
      </c>
      <c r="J880" s="14" t="s">
        <v>4258</v>
      </c>
      <c r="K880" s="478">
        <v>0.23</v>
      </c>
      <c r="L880" s="220">
        <v>13.8</v>
      </c>
      <c r="M880" s="573" t="s">
        <v>4259</v>
      </c>
      <c r="N880" s="472" t="s">
        <v>2937</v>
      </c>
      <c r="O880" s="568" t="s">
        <v>4221</v>
      </c>
      <c r="P880" s="14" t="s">
        <v>3048</v>
      </c>
      <c r="Q880" s="14" t="s">
        <v>4266</v>
      </c>
      <c r="R880" s="14">
        <v>1</v>
      </c>
      <c r="S880" s="14">
        <f t="shared" si="817"/>
        <v>0.13800000000000001</v>
      </c>
      <c r="T880" s="220">
        <f>SUM(R869:R886)</f>
        <v>98.300000000000011</v>
      </c>
      <c r="U880">
        <f t="shared" si="938"/>
        <v>1.0172939979654119</v>
      </c>
      <c r="V880" s="220">
        <f>U880*100/SUM(U869,U871:U887)</f>
        <v>1.3262617345185226</v>
      </c>
      <c r="W880" s="14" t="s">
        <v>4267</v>
      </c>
      <c r="X880">
        <f t="shared" si="819"/>
        <v>0.30504019893926021</v>
      </c>
      <c r="Y880" s="220" t="s">
        <v>1666</v>
      </c>
      <c r="Z880" s="220">
        <f>SUM(X880,X883:X884)</f>
        <v>0.4270562785149643</v>
      </c>
      <c r="AA880" s="792">
        <f t="shared" ref="AA880:AA881" si="950">Z880</f>
        <v>0.4270562785149643</v>
      </c>
      <c r="AB880" s="18" t="s">
        <v>2712</v>
      </c>
      <c r="AC880" s="13" t="s">
        <v>878</v>
      </c>
      <c r="AD880" s="14" t="s">
        <v>3050</v>
      </c>
      <c r="AE880" s="12">
        <v>4.0401172748815169E-2</v>
      </c>
      <c r="AF880" s="12">
        <v>0.11878669834123222</v>
      </c>
      <c r="AG880" s="12">
        <v>7.919516026066351E-4</v>
      </c>
      <c r="AH880" s="12">
        <v>7.4518613744075819E-3</v>
      </c>
    </row>
    <row r="881" spans="1:34" ht="14.25">
      <c r="A881" s="14" t="s">
        <v>4217</v>
      </c>
      <c r="B881" s="24" t="s">
        <v>2668</v>
      </c>
      <c r="C881" s="14" t="s">
        <v>2704</v>
      </c>
      <c r="D881" s="14" t="s">
        <v>2911</v>
      </c>
      <c r="E881" s="14" t="s">
        <v>4218</v>
      </c>
      <c r="F881" s="13">
        <v>78.45</v>
      </c>
      <c r="G881" s="14" t="s">
        <v>3704</v>
      </c>
      <c r="H881" s="567" t="s">
        <v>2973</v>
      </c>
      <c r="I881" s="14" t="s">
        <v>4257</v>
      </c>
      <c r="J881" s="14" t="s">
        <v>4258</v>
      </c>
      <c r="K881" s="478">
        <v>0.23</v>
      </c>
      <c r="L881" s="220">
        <v>13.8</v>
      </c>
      <c r="M881" s="573" t="s">
        <v>4259</v>
      </c>
      <c r="N881" s="479" t="s">
        <v>2937</v>
      </c>
      <c r="O881" s="568" t="s">
        <v>4221</v>
      </c>
      <c r="P881" s="14" t="s">
        <v>2912</v>
      </c>
      <c r="Q881" s="14" t="s">
        <v>4268</v>
      </c>
      <c r="R881" s="14">
        <v>0.5</v>
      </c>
      <c r="S881" s="14">
        <f t="shared" si="817"/>
        <v>6.9000000000000006E-2</v>
      </c>
      <c r="T881" s="220">
        <f>SUM(R869:R886)</f>
        <v>98.300000000000011</v>
      </c>
      <c r="U881">
        <f t="shared" si="938"/>
        <v>0.50864699898270593</v>
      </c>
      <c r="V881" s="220">
        <f>U881*100/SUM(U869,U871:U887)</f>
        <v>0.66313086725926129</v>
      </c>
      <c r="W881" s="14" t="s">
        <v>124</v>
      </c>
      <c r="X881">
        <f t="shared" si="819"/>
        <v>0.1525200994696301</v>
      </c>
      <c r="Y881" s="220" t="s">
        <v>1666</v>
      </c>
      <c r="Z881" s="220">
        <f>X881</f>
        <v>0.1525200994696301</v>
      </c>
      <c r="AA881" s="792">
        <f t="shared" si="950"/>
        <v>0.1525200994696301</v>
      </c>
      <c r="AB881" s="18" t="s">
        <v>124</v>
      </c>
      <c r="AC881" s="13" t="s">
        <v>877</v>
      </c>
      <c r="AD881" s="14" t="s">
        <v>2916</v>
      </c>
      <c r="AE881" s="12">
        <v>3.9416473933649287E-3</v>
      </c>
      <c r="AF881" s="12">
        <v>1.1589150710900475E-2</v>
      </c>
      <c r="AG881" s="12">
        <v>7.7264934597156404E-5</v>
      </c>
      <c r="AH881" s="12">
        <v>7.2702369668246447E-4</v>
      </c>
    </row>
    <row r="882" spans="1:34" ht="14.25">
      <c r="A882" s="14" t="s">
        <v>4217</v>
      </c>
      <c r="B882" s="24" t="s">
        <v>2668</v>
      </c>
      <c r="C882" s="14" t="s">
        <v>2704</v>
      </c>
      <c r="D882" s="14" t="s">
        <v>2911</v>
      </c>
      <c r="E882" s="14" t="s">
        <v>4218</v>
      </c>
      <c r="F882" s="13">
        <v>78.45</v>
      </c>
      <c r="G882" s="14" t="s">
        <v>3704</v>
      </c>
      <c r="H882" s="567" t="s">
        <v>2973</v>
      </c>
      <c r="I882" s="14" t="s">
        <v>4257</v>
      </c>
      <c r="J882" s="14" t="s">
        <v>4258</v>
      </c>
      <c r="K882" s="478">
        <v>0.23</v>
      </c>
      <c r="L882" s="220">
        <v>13.8</v>
      </c>
      <c r="M882" s="573" t="s">
        <v>4259</v>
      </c>
      <c r="N882" s="479" t="s">
        <v>2937</v>
      </c>
      <c r="O882" s="568" t="s">
        <v>4221</v>
      </c>
      <c r="P882" s="14" t="s">
        <v>2945</v>
      </c>
      <c r="Q882" s="14" t="s">
        <v>4269</v>
      </c>
      <c r="R882" s="14">
        <v>0.2</v>
      </c>
      <c r="S882" s="14">
        <f t="shared" si="817"/>
        <v>2.7600000000000003E-2</v>
      </c>
      <c r="T882" s="220">
        <f>SUM(R869:R886)</f>
        <v>98.300000000000011</v>
      </c>
      <c r="U882">
        <f t="shared" si="938"/>
        <v>0.20345879959308238</v>
      </c>
      <c r="V882" s="220">
        <f>U882*100/SUM(U869,U871:U887)</f>
        <v>0.26525234690370453</v>
      </c>
      <c r="W882" s="14" t="s">
        <v>433</v>
      </c>
      <c r="X882">
        <f t="shared" si="819"/>
        <v>6.1008039787852048E-2</v>
      </c>
      <c r="Y882" s="220" t="s">
        <v>1666</v>
      </c>
      <c r="Z882" s="220" t="str">
        <f t="shared" ref="Z882:AH882" si="951">Y882</f>
        <v>*</v>
      </c>
      <c r="AA882" s="792" t="str">
        <f t="shared" si="951"/>
        <v>*</v>
      </c>
      <c r="AB882" s="458" t="str">
        <f t="shared" si="951"/>
        <v>*</v>
      </c>
      <c r="AC882" s="497" t="str">
        <f t="shared" si="951"/>
        <v>*</v>
      </c>
      <c r="AD882" s="497" t="str">
        <f t="shared" si="951"/>
        <v>*</v>
      </c>
      <c r="AE882" s="454" t="str">
        <f t="shared" si="951"/>
        <v>*</v>
      </c>
      <c r="AF882" s="454" t="str">
        <f t="shared" si="951"/>
        <v>*</v>
      </c>
      <c r="AG882" s="454" t="str">
        <f t="shared" si="951"/>
        <v>*</v>
      </c>
      <c r="AH882" s="454" t="str">
        <f t="shared" si="951"/>
        <v>*</v>
      </c>
    </row>
    <row r="883" spans="1:34" ht="14.25">
      <c r="A883" s="14" t="s">
        <v>4217</v>
      </c>
      <c r="B883" s="24" t="s">
        <v>2668</v>
      </c>
      <c r="C883" s="14" t="s">
        <v>2704</v>
      </c>
      <c r="D883" s="14" t="s">
        <v>2911</v>
      </c>
      <c r="E883" s="14" t="s">
        <v>4218</v>
      </c>
      <c r="F883" s="13">
        <v>78.45</v>
      </c>
      <c r="G883" s="14" t="s">
        <v>3704</v>
      </c>
      <c r="H883" s="567" t="s">
        <v>2973</v>
      </c>
      <c r="I883" s="14" t="s">
        <v>4257</v>
      </c>
      <c r="J883" s="14" t="s">
        <v>4258</v>
      </c>
      <c r="K883" s="478">
        <v>0.23</v>
      </c>
      <c r="L883" s="220">
        <v>13.8</v>
      </c>
      <c r="M883" s="573" t="s">
        <v>4259</v>
      </c>
      <c r="N883" s="479" t="s">
        <v>2937</v>
      </c>
      <c r="O883" s="568" t="s">
        <v>4221</v>
      </c>
      <c r="P883" s="14" t="s">
        <v>3048</v>
      </c>
      <c r="Q883" s="14" t="s">
        <v>4270</v>
      </c>
      <c r="R883" s="14">
        <v>0.2</v>
      </c>
      <c r="S883" s="14">
        <f t="shared" si="817"/>
        <v>2.7600000000000003E-2</v>
      </c>
      <c r="T883" s="220">
        <f>SUM(R869:R886)</f>
        <v>98.300000000000011</v>
      </c>
      <c r="U883">
        <f t="shared" si="938"/>
        <v>0.20345879959308238</v>
      </c>
      <c r="V883" s="220">
        <f>U883*100/SUM(U869,U871:U887)</f>
        <v>0.26525234690370453</v>
      </c>
      <c r="W883" s="14" t="s">
        <v>4267</v>
      </c>
      <c r="X883">
        <f t="shared" si="819"/>
        <v>6.1008039787852048E-2</v>
      </c>
      <c r="Y883" s="220" t="s">
        <v>1666</v>
      </c>
      <c r="Z883" s="220" t="str">
        <f t="shared" ref="Z883:AH883" si="952">Y883</f>
        <v>*</v>
      </c>
      <c r="AA883" s="792" t="str">
        <f t="shared" si="952"/>
        <v>*</v>
      </c>
      <c r="AB883" s="458" t="str">
        <f t="shared" si="952"/>
        <v>*</v>
      </c>
      <c r="AC883" s="497" t="str">
        <f t="shared" si="952"/>
        <v>*</v>
      </c>
      <c r="AD883" s="497" t="str">
        <f t="shared" si="952"/>
        <v>*</v>
      </c>
      <c r="AE883" s="454" t="str">
        <f t="shared" si="952"/>
        <v>*</v>
      </c>
      <c r="AF883" s="454" t="str">
        <f t="shared" si="952"/>
        <v>*</v>
      </c>
      <c r="AG883" s="454" t="str">
        <f t="shared" si="952"/>
        <v>*</v>
      </c>
      <c r="AH883" s="454" t="str">
        <f t="shared" si="952"/>
        <v>*</v>
      </c>
    </row>
    <row r="884" spans="1:34" ht="14.25">
      <c r="A884" s="14" t="s">
        <v>4217</v>
      </c>
      <c r="B884" s="24" t="s">
        <v>2668</v>
      </c>
      <c r="C884" s="14" t="s">
        <v>2704</v>
      </c>
      <c r="D884" s="14" t="s">
        <v>2911</v>
      </c>
      <c r="E884" s="14" t="s">
        <v>4218</v>
      </c>
      <c r="F884" s="13">
        <v>78.45</v>
      </c>
      <c r="G884" s="14" t="s">
        <v>3704</v>
      </c>
      <c r="H884" s="567" t="s">
        <v>2973</v>
      </c>
      <c r="I884" s="14" t="s">
        <v>4257</v>
      </c>
      <c r="J884" s="14" t="s">
        <v>4258</v>
      </c>
      <c r="K884" s="478">
        <v>0.23</v>
      </c>
      <c r="L884" s="220">
        <v>13.8</v>
      </c>
      <c r="M884" s="573" t="s">
        <v>4259</v>
      </c>
      <c r="N884" s="472" t="s">
        <v>2937</v>
      </c>
      <c r="O884" s="568" t="s">
        <v>4221</v>
      </c>
      <c r="P884" s="14" t="s">
        <v>3048</v>
      </c>
      <c r="Q884" s="14" t="s">
        <v>4266</v>
      </c>
      <c r="R884" s="14">
        <v>0.2</v>
      </c>
      <c r="S884" s="14">
        <f t="shared" si="817"/>
        <v>2.7600000000000003E-2</v>
      </c>
      <c r="T884" s="220">
        <f>SUM(R869:R886)</f>
        <v>98.300000000000011</v>
      </c>
      <c r="U884">
        <f t="shared" si="938"/>
        <v>0.20345879959308238</v>
      </c>
      <c r="V884" s="220">
        <f>U884*100/SUM(U869,U871:U887)</f>
        <v>0.26525234690370453</v>
      </c>
      <c r="W884" s="14" t="s">
        <v>4267</v>
      </c>
      <c r="X884">
        <f t="shared" si="819"/>
        <v>6.1008039787852048E-2</v>
      </c>
      <c r="Y884" s="220" t="s">
        <v>1666</v>
      </c>
      <c r="Z884" s="220" t="str">
        <f t="shared" ref="Z884:AH884" si="953">Y884</f>
        <v>*</v>
      </c>
      <c r="AA884" s="792" t="str">
        <f t="shared" si="953"/>
        <v>*</v>
      </c>
      <c r="AB884" s="458" t="str">
        <f t="shared" si="953"/>
        <v>*</v>
      </c>
      <c r="AC884" s="497" t="str">
        <f t="shared" si="953"/>
        <v>*</v>
      </c>
      <c r="AD884" s="497" t="str">
        <f t="shared" si="953"/>
        <v>*</v>
      </c>
      <c r="AE884" s="454" t="str">
        <f t="shared" si="953"/>
        <v>*</v>
      </c>
      <c r="AF884" s="454" t="str">
        <f t="shared" si="953"/>
        <v>*</v>
      </c>
      <c r="AG884" s="454" t="str">
        <f t="shared" si="953"/>
        <v>*</v>
      </c>
      <c r="AH884" s="454" t="str">
        <f t="shared" si="953"/>
        <v>*</v>
      </c>
    </row>
    <row r="885" spans="1:34" ht="14.25">
      <c r="A885" s="14" t="s">
        <v>4217</v>
      </c>
      <c r="B885" s="24" t="s">
        <v>2668</v>
      </c>
      <c r="C885" s="14" t="s">
        <v>2704</v>
      </c>
      <c r="D885" s="14" t="s">
        <v>2911</v>
      </c>
      <c r="E885" s="14" t="s">
        <v>4218</v>
      </c>
      <c r="F885" s="13">
        <v>78.45</v>
      </c>
      <c r="G885" s="14" t="s">
        <v>3704</v>
      </c>
      <c r="H885" s="567" t="s">
        <v>2973</v>
      </c>
      <c r="I885" s="14" t="s">
        <v>4257</v>
      </c>
      <c r="J885" s="14" t="s">
        <v>4258</v>
      </c>
      <c r="K885" s="478">
        <v>0.23</v>
      </c>
      <c r="L885" s="220">
        <v>13.8</v>
      </c>
      <c r="M885" s="573" t="s">
        <v>4259</v>
      </c>
      <c r="N885" s="479" t="s">
        <v>2937</v>
      </c>
      <c r="O885" s="568" t="s">
        <v>4221</v>
      </c>
      <c r="P885" s="655" t="s">
        <v>3978</v>
      </c>
      <c r="Q885" s="486" t="s">
        <v>4271</v>
      </c>
      <c r="R885" s="14">
        <v>0.2</v>
      </c>
      <c r="S885" s="14">
        <f t="shared" si="817"/>
        <v>2.7600000000000003E-2</v>
      </c>
      <c r="T885" s="220">
        <f>SUM(R869:R886)</f>
        <v>98.300000000000011</v>
      </c>
      <c r="U885">
        <f t="shared" si="938"/>
        <v>0.20345879959308238</v>
      </c>
      <c r="V885" s="220">
        <f>U885*100/SUM(U869,U871:U887)</f>
        <v>0.26525234690370453</v>
      </c>
      <c r="W885" s="14" t="s">
        <v>1164</v>
      </c>
      <c r="X885">
        <f t="shared" si="819"/>
        <v>6.1008039787852048E-2</v>
      </c>
      <c r="Y885" s="220" t="s">
        <v>1666</v>
      </c>
      <c r="Z885" s="220" t="str">
        <f t="shared" ref="Z885:AH885" si="954">Y885</f>
        <v>*</v>
      </c>
      <c r="AA885" s="792" t="str">
        <f t="shared" si="954"/>
        <v>*</v>
      </c>
      <c r="AB885" s="458" t="str">
        <f t="shared" si="954"/>
        <v>*</v>
      </c>
      <c r="AC885" s="497" t="str">
        <f t="shared" si="954"/>
        <v>*</v>
      </c>
      <c r="AD885" s="497" t="str">
        <f t="shared" si="954"/>
        <v>*</v>
      </c>
      <c r="AE885" s="454" t="str">
        <f t="shared" si="954"/>
        <v>*</v>
      </c>
      <c r="AF885" s="454" t="str">
        <f t="shared" si="954"/>
        <v>*</v>
      </c>
      <c r="AG885" s="454" t="str">
        <f t="shared" si="954"/>
        <v>*</v>
      </c>
      <c r="AH885" s="454" t="str">
        <f t="shared" si="954"/>
        <v>*</v>
      </c>
    </row>
    <row r="886" spans="1:34" ht="14.25">
      <c r="A886" s="14" t="s">
        <v>4217</v>
      </c>
      <c r="B886" s="24" t="s">
        <v>2668</v>
      </c>
      <c r="C886" s="14" t="s">
        <v>2704</v>
      </c>
      <c r="D886" s="14" t="s">
        <v>2911</v>
      </c>
      <c r="E886" s="14" t="s">
        <v>4218</v>
      </c>
      <c r="F886" s="13">
        <v>78.45</v>
      </c>
      <c r="G886" s="14" t="s">
        <v>3704</v>
      </c>
      <c r="H886" s="567" t="s">
        <v>2973</v>
      </c>
      <c r="I886" s="14" t="s">
        <v>4257</v>
      </c>
      <c r="J886" s="14" t="s">
        <v>4258</v>
      </c>
      <c r="K886" s="478">
        <v>0.23</v>
      </c>
      <c r="L886" s="220">
        <v>13.8</v>
      </c>
      <c r="M886" s="573" t="s">
        <v>4259</v>
      </c>
      <c r="N886" s="479" t="s">
        <v>2937</v>
      </c>
      <c r="O886" s="568" t="s">
        <v>4221</v>
      </c>
      <c r="P886" s="655" t="s">
        <v>2987</v>
      </c>
      <c r="Q886" s="486" t="s">
        <v>4272</v>
      </c>
      <c r="R886" s="14">
        <v>0.1</v>
      </c>
      <c r="S886" s="14">
        <f t="shared" si="817"/>
        <v>1.3800000000000002E-2</v>
      </c>
      <c r="T886" s="220">
        <f>SUM(R869:R886)</f>
        <v>98.300000000000011</v>
      </c>
      <c r="U886">
        <f t="shared" si="938"/>
        <v>0.10172939979654119</v>
      </c>
      <c r="V886" s="220">
        <f>U886*100/SUM(U869,U871:U887)</f>
        <v>0.13262617345185226</v>
      </c>
      <c r="W886" s="14" t="s">
        <v>4260</v>
      </c>
      <c r="X886">
        <f t="shared" si="819"/>
        <v>3.0504019893926024E-2</v>
      </c>
      <c r="Y886" s="220" t="s">
        <v>1666</v>
      </c>
      <c r="Z886" s="220" t="str">
        <f t="shared" ref="Z886:AH886" si="955">Y886</f>
        <v>*</v>
      </c>
      <c r="AA886" s="792" t="str">
        <f t="shared" si="955"/>
        <v>*</v>
      </c>
      <c r="AB886" s="458" t="str">
        <f t="shared" si="955"/>
        <v>*</v>
      </c>
      <c r="AC886" s="497" t="str">
        <f t="shared" si="955"/>
        <v>*</v>
      </c>
      <c r="AD886" s="497" t="str">
        <f t="shared" si="955"/>
        <v>*</v>
      </c>
      <c r="AE886" s="454" t="str">
        <f t="shared" si="955"/>
        <v>*</v>
      </c>
      <c r="AF886" s="454" t="str">
        <f t="shared" si="955"/>
        <v>*</v>
      </c>
      <c r="AG886" s="454" t="str">
        <f t="shared" si="955"/>
        <v>*</v>
      </c>
      <c r="AH886" s="454" t="str">
        <f t="shared" si="955"/>
        <v>*</v>
      </c>
    </row>
    <row r="887" spans="1:34" ht="14.25">
      <c r="A887" s="617" t="s">
        <v>4217</v>
      </c>
      <c r="B887" s="794" t="s">
        <v>2668</v>
      </c>
      <c r="C887" s="617" t="s">
        <v>2704</v>
      </c>
      <c r="D887" s="617" t="s">
        <v>2911</v>
      </c>
      <c r="E887" s="617" t="s">
        <v>4218</v>
      </c>
      <c r="F887" s="799">
        <v>78.45</v>
      </c>
      <c r="G887" s="617" t="s">
        <v>3704</v>
      </c>
      <c r="H887" s="910" t="s">
        <v>2973</v>
      </c>
      <c r="I887" s="617" t="s">
        <v>4257</v>
      </c>
      <c r="J887" s="617" t="s">
        <v>4258</v>
      </c>
      <c r="K887" s="838">
        <v>0.23</v>
      </c>
      <c r="L887" s="725">
        <v>13.8</v>
      </c>
      <c r="M887" s="911" t="s">
        <v>4259</v>
      </c>
      <c r="N887" s="841" t="s">
        <v>2937</v>
      </c>
      <c r="O887" s="911" t="s">
        <v>4221</v>
      </c>
      <c r="P887" s="617" t="s">
        <v>83</v>
      </c>
      <c r="Q887" s="876" t="s">
        <v>3430</v>
      </c>
      <c r="R887" s="617">
        <v>0.1</v>
      </c>
      <c r="S887" s="617">
        <f t="shared" si="817"/>
        <v>1.3800000000000002E-2</v>
      </c>
      <c r="T887" s="868">
        <f>SUM(R869:R887)</f>
        <v>98.4</v>
      </c>
      <c r="U887" s="617">
        <f t="shared" si="938"/>
        <v>0.1016260162601626</v>
      </c>
      <c r="V887" s="725">
        <f>U887*100/SUM(U869,U871:U887)</f>
        <v>0.13249139075525485</v>
      </c>
      <c r="W887" s="617" t="s">
        <v>83</v>
      </c>
      <c r="X887" s="617">
        <f t="shared" si="819"/>
        <v>3.0473019873708616E-2</v>
      </c>
      <c r="Y887" s="725" t="s">
        <v>1666</v>
      </c>
      <c r="Z887" s="725" t="str">
        <f t="shared" ref="Z887:AH887" si="956">Y887</f>
        <v>*</v>
      </c>
      <c r="AA887" s="465" t="str">
        <f t="shared" si="956"/>
        <v>*</v>
      </c>
      <c r="AB887" s="799" t="str">
        <f t="shared" si="956"/>
        <v>*</v>
      </c>
      <c r="AC887" s="799" t="str">
        <f t="shared" si="956"/>
        <v>*</v>
      </c>
      <c r="AD887" s="799" t="str">
        <f t="shared" si="956"/>
        <v>*</v>
      </c>
      <c r="AE887" s="725" t="str">
        <f t="shared" si="956"/>
        <v>*</v>
      </c>
      <c r="AF887" s="725" t="str">
        <f t="shared" si="956"/>
        <v>*</v>
      </c>
      <c r="AG887" s="725" t="str">
        <f t="shared" si="956"/>
        <v>*</v>
      </c>
      <c r="AH887" s="725" t="str">
        <f t="shared" si="956"/>
        <v>*</v>
      </c>
    </row>
    <row r="888" spans="1:34" ht="14.25">
      <c r="A888" s="14" t="s">
        <v>4273</v>
      </c>
      <c r="B888" s="24" t="s">
        <v>2668</v>
      </c>
      <c r="C888" s="14" t="s">
        <v>2713</v>
      </c>
      <c r="D888" s="14" t="s">
        <v>2911</v>
      </c>
      <c r="E888" s="14" t="s">
        <v>4274</v>
      </c>
      <c r="F888" s="13">
        <v>76</v>
      </c>
      <c r="G888" s="14" t="s">
        <v>4275</v>
      </c>
      <c r="H888" s="567" t="s">
        <v>2934</v>
      </c>
      <c r="I888" s="14" t="s">
        <v>4274</v>
      </c>
      <c r="J888" s="14" t="s">
        <v>4276</v>
      </c>
      <c r="K888" s="478">
        <v>1</v>
      </c>
      <c r="L888" s="220">
        <v>76</v>
      </c>
      <c r="M888" s="568" t="s">
        <v>4277</v>
      </c>
      <c r="N888" s="479" t="s">
        <v>2937</v>
      </c>
      <c r="O888" s="569" t="s">
        <v>2976</v>
      </c>
      <c r="P888" s="14" t="s">
        <v>2938</v>
      </c>
      <c r="Q888" s="435" t="s">
        <v>2939</v>
      </c>
      <c r="R888" s="14">
        <v>40</v>
      </c>
      <c r="S888" s="14">
        <f t="shared" si="817"/>
        <v>30.400000000000002</v>
      </c>
      <c r="T888" s="487">
        <f>SUM(R888:R911)</f>
        <v>100.7</v>
      </c>
      <c r="U888">
        <f t="shared" si="938"/>
        <v>39.72194637537239</v>
      </c>
      <c r="V888" s="481">
        <f>U888</f>
        <v>39.72194637537239</v>
      </c>
      <c r="W888" s="482" t="s">
        <v>72</v>
      </c>
      <c r="X888" s="482">
        <f t="shared" ref="X888:X911" si="957">V888</f>
        <v>39.72194637537239</v>
      </c>
      <c r="Y888" s="481">
        <f t="shared" ref="Y888:AA888" si="958">X888</f>
        <v>39.72194637537239</v>
      </c>
      <c r="Z888" s="481">
        <f t="shared" si="958"/>
        <v>39.72194637537239</v>
      </c>
      <c r="AA888" s="796">
        <f t="shared" si="958"/>
        <v>39.72194637537239</v>
      </c>
      <c r="AB888" s="456" t="s">
        <v>72</v>
      </c>
      <c r="AC888" s="469" t="s">
        <v>2938</v>
      </c>
      <c r="AD888" s="469" t="s">
        <v>2940</v>
      </c>
      <c r="AE888" s="457">
        <v>0</v>
      </c>
      <c r="AF888" s="457">
        <v>0</v>
      </c>
      <c r="AG888" s="457">
        <v>0</v>
      </c>
      <c r="AH888" s="457">
        <v>0</v>
      </c>
    </row>
    <row r="889" spans="1:34" ht="14.25">
      <c r="A889" s="14" t="s">
        <v>4273</v>
      </c>
      <c r="B889" s="24" t="s">
        <v>2668</v>
      </c>
      <c r="C889" s="14" t="s">
        <v>2713</v>
      </c>
      <c r="D889" s="14" t="s">
        <v>2911</v>
      </c>
      <c r="E889" s="14" t="s">
        <v>4274</v>
      </c>
      <c r="F889" s="13">
        <v>76</v>
      </c>
      <c r="G889" s="14" t="s">
        <v>4275</v>
      </c>
      <c r="H889" s="567" t="s">
        <v>2934</v>
      </c>
      <c r="I889" s="14" t="s">
        <v>4274</v>
      </c>
      <c r="J889" s="14" t="s">
        <v>4276</v>
      </c>
      <c r="K889" s="478">
        <v>1</v>
      </c>
      <c r="L889" s="220">
        <v>76</v>
      </c>
      <c r="M889" s="568" t="s">
        <v>4277</v>
      </c>
      <c r="N889" s="479" t="s">
        <v>2937</v>
      </c>
      <c r="O889" s="569" t="s">
        <v>2976</v>
      </c>
      <c r="P889" s="655" t="s">
        <v>3005</v>
      </c>
      <c r="Q889" s="486" t="s">
        <v>3006</v>
      </c>
      <c r="R889" s="14">
        <v>22</v>
      </c>
      <c r="S889" s="14">
        <f t="shared" si="817"/>
        <v>16.72</v>
      </c>
      <c r="T889" s="487">
        <f>SUM(R888:R911)</f>
        <v>100.7</v>
      </c>
      <c r="U889">
        <f t="shared" si="938"/>
        <v>21.847070506454816</v>
      </c>
      <c r="V889" s="220">
        <f>U889*100/SUM(U889:U911)</f>
        <v>36.243822075782553</v>
      </c>
      <c r="W889" s="14" t="s">
        <v>2779</v>
      </c>
      <c r="X889">
        <f t="shared" si="957"/>
        <v>36.243822075782553</v>
      </c>
      <c r="Y889" s="220">
        <f>SUM(X889,X890,X905,X910,X907,X903)</f>
        <v>67.133443163097226</v>
      </c>
      <c r="Z889" s="220">
        <f>SUM(X889,X890,X905)</f>
        <v>64.250411861614523</v>
      </c>
      <c r="AA889" s="792">
        <f>Z889</f>
        <v>64.250411861614523</v>
      </c>
      <c r="AB889" s="18" t="s">
        <v>2714</v>
      </c>
      <c r="AC889" s="13" t="s">
        <v>215</v>
      </c>
      <c r="AD889" s="13" t="s">
        <v>3007</v>
      </c>
      <c r="AE889" s="12">
        <v>5.0851930036188197E-3</v>
      </c>
      <c r="AF889" s="12">
        <v>5.9995417730640897E-2</v>
      </c>
      <c r="AG889" s="12">
        <v>3.4699999999999998E-4</v>
      </c>
      <c r="AH889" s="12">
        <v>2.9762429672480995E-4</v>
      </c>
    </row>
    <row r="890" spans="1:34" ht="14.25">
      <c r="A890" s="14" t="s">
        <v>4273</v>
      </c>
      <c r="B890" s="24" t="s">
        <v>2668</v>
      </c>
      <c r="C890" s="14" t="s">
        <v>2713</v>
      </c>
      <c r="D890" s="14" t="s">
        <v>2911</v>
      </c>
      <c r="E890" s="14" t="s">
        <v>4274</v>
      </c>
      <c r="F890" s="13">
        <v>76</v>
      </c>
      <c r="G890" s="14" t="s">
        <v>4275</v>
      </c>
      <c r="H890" s="567" t="s">
        <v>2934</v>
      </c>
      <c r="I890" s="14" t="s">
        <v>4274</v>
      </c>
      <c r="J890" s="14" t="s">
        <v>4276</v>
      </c>
      <c r="K890" s="478">
        <v>1</v>
      </c>
      <c r="L890" s="220">
        <v>76</v>
      </c>
      <c r="M890" s="568" t="s">
        <v>4277</v>
      </c>
      <c r="N890" s="479" t="s">
        <v>2937</v>
      </c>
      <c r="O890" s="569" t="s">
        <v>2976</v>
      </c>
      <c r="P890" s="655" t="s">
        <v>3978</v>
      </c>
      <c r="Q890" s="486" t="s">
        <v>3979</v>
      </c>
      <c r="R890" s="14">
        <v>16</v>
      </c>
      <c r="S890" s="14">
        <f t="shared" si="817"/>
        <v>12.16</v>
      </c>
      <c r="T890" s="487">
        <f>SUM(R888:R911)</f>
        <v>100.7</v>
      </c>
      <c r="U890">
        <f t="shared" si="938"/>
        <v>15.888778550148956</v>
      </c>
      <c r="V890" s="220">
        <f>U890*100/SUM(U889:U911)</f>
        <v>26.359143327841856</v>
      </c>
      <c r="W890" s="14" t="s">
        <v>1164</v>
      </c>
      <c r="X890">
        <f t="shared" si="957"/>
        <v>26.359143327841856</v>
      </c>
      <c r="Y890" s="220" t="s">
        <v>1666</v>
      </c>
      <c r="Z890" s="220" t="str">
        <f t="shared" ref="Z890:AH890" si="959">Y890</f>
        <v>*</v>
      </c>
      <c r="AA890" s="792" t="str">
        <f t="shared" si="959"/>
        <v>*</v>
      </c>
      <c r="AB890" s="458" t="str">
        <f t="shared" si="959"/>
        <v>*</v>
      </c>
      <c r="AC890" s="497" t="str">
        <f t="shared" si="959"/>
        <v>*</v>
      </c>
      <c r="AD890" s="497" t="str">
        <f t="shared" si="959"/>
        <v>*</v>
      </c>
      <c r="AE890" s="454" t="str">
        <f t="shared" si="959"/>
        <v>*</v>
      </c>
      <c r="AF890" s="454" t="str">
        <f t="shared" si="959"/>
        <v>*</v>
      </c>
      <c r="AG890" s="454" t="str">
        <f t="shared" si="959"/>
        <v>*</v>
      </c>
      <c r="AH890" s="454" t="str">
        <f t="shared" si="959"/>
        <v>*</v>
      </c>
    </row>
    <row r="891" spans="1:34" ht="14.25">
      <c r="A891" s="14" t="s">
        <v>4273</v>
      </c>
      <c r="B891" s="24" t="s">
        <v>2668</v>
      </c>
      <c r="C891" s="14" t="s">
        <v>2713</v>
      </c>
      <c r="D891" s="14" t="s">
        <v>2911</v>
      </c>
      <c r="E891" s="14" t="s">
        <v>4274</v>
      </c>
      <c r="F891" s="13">
        <v>76</v>
      </c>
      <c r="G891" s="14" t="s">
        <v>4275</v>
      </c>
      <c r="H891" s="567" t="s">
        <v>2934</v>
      </c>
      <c r="I891" s="14" t="s">
        <v>4274</v>
      </c>
      <c r="J891" s="14" t="s">
        <v>4276</v>
      </c>
      <c r="K891" s="478">
        <v>1</v>
      </c>
      <c r="L891" s="220">
        <v>76</v>
      </c>
      <c r="M891" s="568" t="s">
        <v>4277</v>
      </c>
      <c r="N891" s="479" t="s">
        <v>2937</v>
      </c>
      <c r="O891" s="569" t="s">
        <v>2976</v>
      </c>
      <c r="P891" s="14" t="s">
        <v>139</v>
      </c>
      <c r="Q891" s="14" t="s">
        <v>3020</v>
      </c>
      <c r="R891" s="14">
        <v>3</v>
      </c>
      <c r="S891" s="14">
        <f t="shared" si="817"/>
        <v>2.2799999999999998</v>
      </c>
      <c r="T891" s="487">
        <f>SUM(R888:R911)</f>
        <v>100.7</v>
      </c>
      <c r="U891">
        <f t="shared" si="938"/>
        <v>2.9791459781529293</v>
      </c>
      <c r="V891" s="220">
        <f>U891*100/SUM(U889:U911)</f>
        <v>4.9423393739703485</v>
      </c>
      <c r="W891" s="14" t="s">
        <v>139</v>
      </c>
      <c r="X891">
        <f t="shared" si="957"/>
        <v>4.9423393739703485</v>
      </c>
      <c r="Y891" s="220">
        <f>SUM(X891,X901)</f>
        <v>6.5897858319604641</v>
      </c>
      <c r="Z891" s="220">
        <f t="shared" ref="Z891:AA891" si="960">Y891</f>
        <v>6.5897858319604641</v>
      </c>
      <c r="AA891" s="792">
        <f t="shared" si="960"/>
        <v>6.5897858319604641</v>
      </c>
      <c r="AB891" s="18" t="s">
        <v>139</v>
      </c>
      <c r="AC891" s="13" t="s">
        <v>138</v>
      </c>
      <c r="AD891" s="13" t="s">
        <v>3019</v>
      </c>
      <c r="AE891" s="12">
        <v>4.0165275294130297E-3</v>
      </c>
      <c r="AF891" s="12">
        <v>3.2725331200335404E-2</v>
      </c>
      <c r="AG891" s="12">
        <v>2.4399999999999999E-4</v>
      </c>
      <c r="AH891" s="12">
        <v>2.0392735E-3</v>
      </c>
    </row>
    <row r="892" spans="1:34" ht="14.25">
      <c r="A892" s="14" t="s">
        <v>4273</v>
      </c>
      <c r="B892" s="24" t="s">
        <v>2668</v>
      </c>
      <c r="C892" s="14" t="s">
        <v>2713</v>
      </c>
      <c r="D892" s="14" t="s">
        <v>2911</v>
      </c>
      <c r="E892" s="14" t="s">
        <v>4274</v>
      </c>
      <c r="F892" s="13">
        <v>76</v>
      </c>
      <c r="G892" s="14" t="s">
        <v>4275</v>
      </c>
      <c r="H892" s="567" t="s">
        <v>2934</v>
      </c>
      <c r="I892" s="14" t="s">
        <v>4274</v>
      </c>
      <c r="J892" s="14" t="s">
        <v>4276</v>
      </c>
      <c r="K892" s="478">
        <v>1</v>
      </c>
      <c r="L892" s="220">
        <v>76</v>
      </c>
      <c r="M892" s="568" t="s">
        <v>4277</v>
      </c>
      <c r="N892" s="479" t="s">
        <v>2937</v>
      </c>
      <c r="O892" s="569" t="s">
        <v>2976</v>
      </c>
      <c r="P892" s="14" t="s">
        <v>3021</v>
      </c>
      <c r="Q892" s="486" t="s">
        <v>3022</v>
      </c>
      <c r="R892" s="14">
        <v>2</v>
      </c>
      <c r="S892" s="14">
        <f t="shared" si="817"/>
        <v>1.52</v>
      </c>
      <c r="T892" s="487">
        <f>SUM(R888:R911)</f>
        <v>100.7</v>
      </c>
      <c r="U892">
        <f t="shared" si="938"/>
        <v>1.9860973187686195</v>
      </c>
      <c r="V892" s="220">
        <f>U892*100/SUM(U889:U911)</f>
        <v>3.294892915980232</v>
      </c>
      <c r="W892" s="14" t="s">
        <v>346</v>
      </c>
      <c r="X892">
        <f t="shared" si="957"/>
        <v>3.294892915980232</v>
      </c>
      <c r="Y892" s="220">
        <f>SUM(X892,X893,X906,X908)</f>
        <v>7.6606260296540398</v>
      </c>
      <c r="Z892" s="220">
        <f>SUM(X892,X893,X906)</f>
        <v>6.836902800658982</v>
      </c>
      <c r="AA892" s="792">
        <f>Z892</f>
        <v>6.836902800658982</v>
      </c>
      <c r="AB892" s="18" t="s">
        <v>2715</v>
      </c>
      <c r="AC892" s="13" t="s">
        <v>2982</v>
      </c>
      <c r="AD892" s="13" t="s">
        <v>2983</v>
      </c>
      <c r="AE892" s="12">
        <v>2.9691872042618299E-2</v>
      </c>
      <c r="AF892" s="12">
        <v>7.5368545517799299E-2</v>
      </c>
      <c r="AG892" s="12">
        <v>2.9014018691588786E-4</v>
      </c>
      <c r="AH892" s="12">
        <v>1.4770983615231311E-3</v>
      </c>
    </row>
    <row r="893" spans="1:34" ht="14.25">
      <c r="A893" s="14" t="s">
        <v>4273</v>
      </c>
      <c r="B893" s="24" t="s">
        <v>2668</v>
      </c>
      <c r="C893" s="14" t="s">
        <v>2713</v>
      </c>
      <c r="D893" s="14" t="s">
        <v>2911</v>
      </c>
      <c r="E893" s="14" t="s">
        <v>4274</v>
      </c>
      <c r="F893" s="13">
        <v>76</v>
      </c>
      <c r="G893" s="14" t="s">
        <v>4275</v>
      </c>
      <c r="H893" s="567" t="s">
        <v>2934</v>
      </c>
      <c r="I893" s="14" t="s">
        <v>4274</v>
      </c>
      <c r="J893" s="14" t="s">
        <v>4276</v>
      </c>
      <c r="K893" s="478">
        <v>1</v>
      </c>
      <c r="L893" s="220">
        <v>76</v>
      </c>
      <c r="M893" s="568" t="s">
        <v>4277</v>
      </c>
      <c r="N893" s="479" t="s">
        <v>2937</v>
      </c>
      <c r="O893" s="569" t="s">
        <v>2976</v>
      </c>
      <c r="P893" s="655" t="s">
        <v>2987</v>
      </c>
      <c r="Q893" s="486" t="s">
        <v>2981</v>
      </c>
      <c r="R893" s="14">
        <v>1.35</v>
      </c>
      <c r="S893" s="14">
        <f t="shared" si="817"/>
        <v>1.026</v>
      </c>
      <c r="T893" s="487">
        <f>SUM(R888:R911)</f>
        <v>100.7</v>
      </c>
      <c r="U893">
        <f t="shared" si="938"/>
        <v>1.3406156901688182</v>
      </c>
      <c r="V893" s="220">
        <f>U893*100/SUM(U889:U911)</f>
        <v>2.2240527182866572</v>
      </c>
      <c r="W893" s="14" t="s">
        <v>4260</v>
      </c>
      <c r="X893">
        <f t="shared" si="957"/>
        <v>2.2240527182866572</v>
      </c>
      <c r="Y893" s="220" t="s">
        <v>1666</v>
      </c>
      <c r="Z893" s="220" t="str">
        <f t="shared" ref="Z893:AH893" si="961">Y893</f>
        <v>*</v>
      </c>
      <c r="AA893" s="792" t="str">
        <f t="shared" si="961"/>
        <v>*</v>
      </c>
      <c r="AB893" s="458" t="str">
        <f t="shared" si="961"/>
        <v>*</v>
      </c>
      <c r="AC893" s="497" t="str">
        <f t="shared" si="961"/>
        <v>*</v>
      </c>
      <c r="AD893" s="497" t="str">
        <f t="shared" si="961"/>
        <v>*</v>
      </c>
      <c r="AE893" s="454" t="str">
        <f t="shared" si="961"/>
        <v>*</v>
      </c>
      <c r="AF893" s="454" t="str">
        <f t="shared" si="961"/>
        <v>*</v>
      </c>
      <c r="AG893" s="454" t="str">
        <f t="shared" si="961"/>
        <v>*</v>
      </c>
      <c r="AH893" s="454" t="str">
        <f t="shared" si="961"/>
        <v>*</v>
      </c>
    </row>
    <row r="894" spans="1:34" ht="14.25">
      <c r="A894" s="14" t="s">
        <v>4273</v>
      </c>
      <c r="B894" s="24" t="s">
        <v>2668</v>
      </c>
      <c r="C894" s="14" t="s">
        <v>2713</v>
      </c>
      <c r="D894" s="14" t="s">
        <v>2911</v>
      </c>
      <c r="E894" s="14" t="s">
        <v>4274</v>
      </c>
      <c r="F894" s="13">
        <v>76</v>
      </c>
      <c r="G894" s="14" t="s">
        <v>4275</v>
      </c>
      <c r="H894" s="567" t="s">
        <v>2934</v>
      </c>
      <c r="I894" s="14" t="s">
        <v>4274</v>
      </c>
      <c r="J894" s="14" t="s">
        <v>4276</v>
      </c>
      <c r="K894" s="478">
        <v>1</v>
      </c>
      <c r="L894" s="220">
        <v>76</v>
      </c>
      <c r="M894" s="568" t="s">
        <v>4277</v>
      </c>
      <c r="N894" s="479" t="s">
        <v>2937</v>
      </c>
      <c r="O894" s="569" t="s">
        <v>2976</v>
      </c>
      <c r="P894" s="14" t="s">
        <v>4278</v>
      </c>
      <c r="Q894" s="486" t="s">
        <v>3113</v>
      </c>
      <c r="R894" s="14">
        <v>0.4</v>
      </c>
      <c r="S894" s="14">
        <f t="shared" si="817"/>
        <v>0.30399999999999999</v>
      </c>
      <c r="T894" s="487">
        <f>SUM(R888:R911)</f>
        <v>100.7</v>
      </c>
      <c r="U894">
        <f t="shared" si="938"/>
        <v>0.39721946375372391</v>
      </c>
      <c r="V894" s="220">
        <f>U894*100/SUM(U889:U911)</f>
        <v>0.65897858319604641</v>
      </c>
      <c r="W894" s="14" t="s">
        <v>332</v>
      </c>
      <c r="X894">
        <f t="shared" si="957"/>
        <v>0.65897858319604641</v>
      </c>
      <c r="Y894" s="499">
        <f>SUM(X894:X895)</f>
        <v>1.3179571663920928</v>
      </c>
      <c r="Z894" s="220">
        <f t="shared" ref="Z894:AA894" si="962">Y894</f>
        <v>1.3179571663920928</v>
      </c>
      <c r="AA894" s="792">
        <f t="shared" si="962"/>
        <v>1.3179571663920928</v>
      </c>
      <c r="AB894" s="18" t="s">
        <v>332</v>
      </c>
      <c r="AC894" s="13" t="s">
        <v>18</v>
      </c>
      <c r="AD894" s="13" t="s">
        <v>3144</v>
      </c>
      <c r="AE894" s="12">
        <v>2.3E-3</v>
      </c>
      <c r="AF894" s="12">
        <v>4.7879999999999999E-2</v>
      </c>
      <c r="AG894" s="12">
        <v>9.9999999999999995E-7</v>
      </c>
      <c r="AH894" s="12">
        <v>4.4092488403675551E-4</v>
      </c>
    </row>
    <row r="895" spans="1:34" ht="14.25">
      <c r="A895" s="14" t="s">
        <v>4273</v>
      </c>
      <c r="B895" s="24" t="s">
        <v>2668</v>
      </c>
      <c r="C895" s="14" t="s">
        <v>2713</v>
      </c>
      <c r="D895" s="14" t="s">
        <v>2911</v>
      </c>
      <c r="E895" s="14" t="s">
        <v>4274</v>
      </c>
      <c r="F895" s="13">
        <v>76</v>
      </c>
      <c r="G895" s="14" t="s">
        <v>4275</v>
      </c>
      <c r="H895" s="567" t="s">
        <v>2934</v>
      </c>
      <c r="I895" s="14" t="s">
        <v>4274</v>
      </c>
      <c r="J895" s="14" t="s">
        <v>4276</v>
      </c>
      <c r="K895" s="478">
        <v>1</v>
      </c>
      <c r="L895" s="220">
        <v>76</v>
      </c>
      <c r="M895" s="568" t="s">
        <v>4277</v>
      </c>
      <c r="N895" s="479" t="s">
        <v>2937</v>
      </c>
      <c r="O895" s="569" t="s">
        <v>2976</v>
      </c>
      <c r="P895" s="14" t="s">
        <v>4279</v>
      </c>
      <c r="Q895" s="486" t="s">
        <v>2968</v>
      </c>
      <c r="R895" s="14">
        <v>0.4</v>
      </c>
      <c r="S895" s="14">
        <f t="shared" si="817"/>
        <v>0.30399999999999999</v>
      </c>
      <c r="T895" s="487">
        <f>SUM(R888:R911)</f>
        <v>100.7</v>
      </c>
      <c r="U895">
        <f t="shared" si="938"/>
        <v>0.39721946375372391</v>
      </c>
      <c r="V895" s="220">
        <f>U895*100/SUM(U889:U911)</f>
        <v>0.65897858319604641</v>
      </c>
      <c r="W895" s="14" t="s">
        <v>1370</v>
      </c>
      <c r="X895">
        <f t="shared" si="957"/>
        <v>0.65897858319604641</v>
      </c>
      <c r="Y895" s="220" t="s">
        <v>1666</v>
      </c>
      <c r="Z895" s="220" t="str">
        <f t="shared" ref="Z895:AH895" si="963">Y895</f>
        <v>*</v>
      </c>
      <c r="AA895" s="792" t="str">
        <f t="shared" si="963"/>
        <v>*</v>
      </c>
      <c r="AB895" s="458" t="str">
        <f t="shared" si="963"/>
        <v>*</v>
      </c>
      <c r="AC895" s="497" t="str">
        <f t="shared" si="963"/>
        <v>*</v>
      </c>
      <c r="AD895" s="497" t="str">
        <f t="shared" si="963"/>
        <v>*</v>
      </c>
      <c r="AE895" s="454" t="str">
        <f t="shared" si="963"/>
        <v>*</v>
      </c>
      <c r="AF895" s="454" t="str">
        <f t="shared" si="963"/>
        <v>*</v>
      </c>
      <c r="AG895" s="454" t="str">
        <f t="shared" si="963"/>
        <v>*</v>
      </c>
      <c r="AH895" s="454" t="str">
        <f t="shared" si="963"/>
        <v>*</v>
      </c>
    </row>
    <row r="896" spans="1:34" ht="14.25">
      <c r="A896" s="14" t="s">
        <v>4273</v>
      </c>
      <c r="B896" s="24" t="s">
        <v>2668</v>
      </c>
      <c r="C896" s="14" t="s">
        <v>2713</v>
      </c>
      <c r="D896" s="14" t="s">
        <v>2911</v>
      </c>
      <c r="E896" s="14" t="s">
        <v>4274</v>
      </c>
      <c r="F896" s="13">
        <v>76</v>
      </c>
      <c r="G896" s="14" t="s">
        <v>4275</v>
      </c>
      <c r="H896" s="567" t="s">
        <v>2934</v>
      </c>
      <c r="I896" s="14" t="s">
        <v>4274</v>
      </c>
      <c r="J896" s="14" t="s">
        <v>4276</v>
      </c>
      <c r="K896" s="478">
        <v>1</v>
      </c>
      <c r="L896" s="220">
        <v>76</v>
      </c>
      <c r="M896" s="568" t="s">
        <v>4277</v>
      </c>
      <c r="N896" s="479" t="s">
        <v>2937</v>
      </c>
      <c r="O896" s="569" t="s">
        <v>2976</v>
      </c>
      <c r="P896" s="14" t="s">
        <v>1376</v>
      </c>
      <c r="Q896" s="486" t="s">
        <v>3114</v>
      </c>
      <c r="R896" s="14">
        <v>1</v>
      </c>
      <c r="S896" s="14">
        <f t="shared" si="817"/>
        <v>0.76</v>
      </c>
      <c r="T896" s="487">
        <f>SUM(R888:R911)</f>
        <v>100.7</v>
      </c>
      <c r="U896">
        <f t="shared" si="938"/>
        <v>0.99304865938430975</v>
      </c>
      <c r="V896" s="220">
        <f>U896*100/SUM(U889:U911)</f>
        <v>1.647446457990116</v>
      </c>
      <c r="W896" s="14" t="s">
        <v>340</v>
      </c>
      <c r="X896">
        <f t="shared" si="957"/>
        <v>1.647446457990116</v>
      </c>
      <c r="Y896" s="220">
        <f>X896</f>
        <v>1.647446457990116</v>
      </c>
      <c r="Z896" s="220">
        <f t="shared" ref="Z896:Z901" si="964">X896</f>
        <v>1.647446457990116</v>
      </c>
      <c r="AA896" s="792">
        <f t="shared" ref="AA896:AA901" si="965">Z896</f>
        <v>1.647446457990116</v>
      </c>
      <c r="AB896" s="18" t="s">
        <v>340</v>
      </c>
      <c r="AC896" s="13" t="s">
        <v>3115</v>
      </c>
      <c r="AD896" s="13" t="s">
        <v>3116</v>
      </c>
      <c r="AE896" s="12">
        <v>2.1708241661196198E-2</v>
      </c>
      <c r="AF896" s="12">
        <v>0.36572952458380198</v>
      </c>
      <c r="AG896" s="12">
        <v>4.6350652173913045E-4</v>
      </c>
      <c r="AH896" s="12">
        <v>1.6975608035415088E-3</v>
      </c>
    </row>
    <row r="897" spans="1:34" ht="14.25">
      <c r="A897" s="14" t="s">
        <v>4273</v>
      </c>
      <c r="B897" s="24" t="s">
        <v>2668</v>
      </c>
      <c r="C897" s="14" t="s">
        <v>2713</v>
      </c>
      <c r="D897" s="14" t="s">
        <v>2911</v>
      </c>
      <c r="E897" s="14" t="s">
        <v>4274</v>
      </c>
      <c r="F897" s="13">
        <v>76</v>
      </c>
      <c r="G897" s="14" t="s">
        <v>4275</v>
      </c>
      <c r="H897" s="567" t="s">
        <v>2934</v>
      </c>
      <c r="I897" s="14" t="s">
        <v>4274</v>
      </c>
      <c r="J897" s="14" t="s">
        <v>4276</v>
      </c>
      <c r="K897" s="478">
        <v>1</v>
      </c>
      <c r="L897" s="220">
        <v>76</v>
      </c>
      <c r="M897" s="568" t="s">
        <v>4277</v>
      </c>
      <c r="N897" s="479" t="s">
        <v>2937</v>
      </c>
      <c r="O897" s="569" t="s">
        <v>2976</v>
      </c>
      <c r="P897" s="14" t="s">
        <v>2945</v>
      </c>
      <c r="Q897" s="435" t="s">
        <v>2946</v>
      </c>
      <c r="R897" s="14">
        <v>3</v>
      </c>
      <c r="S897" s="14">
        <f t="shared" si="817"/>
        <v>2.2799999999999998</v>
      </c>
      <c r="T897" s="487">
        <f>SUM(R888:R911)</f>
        <v>100.7</v>
      </c>
      <c r="U897">
        <f t="shared" si="938"/>
        <v>2.9791459781529293</v>
      </c>
      <c r="V897" s="220">
        <f>U897*100/SUM(U889:U911)</f>
        <v>4.9423393739703485</v>
      </c>
      <c r="W897" s="14" t="s">
        <v>433</v>
      </c>
      <c r="X897">
        <f t="shared" si="957"/>
        <v>4.9423393739703485</v>
      </c>
      <c r="Y897" s="220">
        <f>SUM(X897,X900,X904)</f>
        <v>8.2372322899505797</v>
      </c>
      <c r="Z897" s="220">
        <f t="shared" si="964"/>
        <v>4.9423393739703485</v>
      </c>
      <c r="AA897" s="792">
        <f t="shared" si="965"/>
        <v>4.9423393739703485</v>
      </c>
      <c r="AB897" s="18" t="s">
        <v>2716</v>
      </c>
      <c r="AC897" s="13" t="s">
        <v>433</v>
      </c>
      <c r="AD897" s="13" t="s">
        <v>2947</v>
      </c>
      <c r="AE897" s="12">
        <v>3.0104466724907065E-4</v>
      </c>
      <c r="AF897" s="12">
        <v>1.2500000000000001E-2</v>
      </c>
      <c r="AG897" s="12">
        <v>5.1818181818181835E-4</v>
      </c>
      <c r="AH897" s="12">
        <v>4.0084080366977777E-4</v>
      </c>
    </row>
    <row r="898" spans="1:34" ht="14.25">
      <c r="A898" s="14" t="s">
        <v>4273</v>
      </c>
      <c r="B898" s="24" t="s">
        <v>2668</v>
      </c>
      <c r="C898" s="14" t="s">
        <v>2713</v>
      </c>
      <c r="D898" s="14" t="s">
        <v>2911</v>
      </c>
      <c r="E898" s="14" t="s">
        <v>4274</v>
      </c>
      <c r="F898" s="13">
        <v>76</v>
      </c>
      <c r="G898" s="14" t="s">
        <v>4275</v>
      </c>
      <c r="H898" s="567" t="s">
        <v>2934</v>
      </c>
      <c r="I898" s="14" t="s">
        <v>4274</v>
      </c>
      <c r="J898" s="14" t="s">
        <v>4276</v>
      </c>
      <c r="K898" s="478">
        <v>1</v>
      </c>
      <c r="L898" s="220">
        <v>76</v>
      </c>
      <c r="M898" s="568" t="s">
        <v>4277</v>
      </c>
      <c r="N898" s="479" t="s">
        <v>2937</v>
      </c>
      <c r="O898" s="569" t="s">
        <v>2976</v>
      </c>
      <c r="P898" s="14" t="s">
        <v>4262</v>
      </c>
      <c r="Q898" s="486" t="s">
        <v>4280</v>
      </c>
      <c r="R898" s="14">
        <v>2</v>
      </c>
      <c r="S898" s="14">
        <f t="shared" si="817"/>
        <v>1.52</v>
      </c>
      <c r="T898" s="487">
        <f>SUM(R888:R911)</f>
        <v>100.7</v>
      </c>
      <c r="U898">
        <f t="shared" si="938"/>
        <v>1.9860973187686195</v>
      </c>
      <c r="V898" s="220">
        <f>U898*100/SUM(U889:U911)</f>
        <v>3.294892915980232</v>
      </c>
      <c r="W898" s="14" t="s">
        <v>92</v>
      </c>
      <c r="X898">
        <f t="shared" si="957"/>
        <v>3.294892915980232</v>
      </c>
      <c r="Y898" s="220">
        <f>SUM(X898,X901,X911)</f>
        <v>5.3542009884678778</v>
      </c>
      <c r="Z898" s="220">
        <f t="shared" si="964"/>
        <v>3.294892915980232</v>
      </c>
      <c r="AA898" s="792">
        <f t="shared" si="965"/>
        <v>3.294892915980232</v>
      </c>
      <c r="AB898" s="18" t="s">
        <v>2717</v>
      </c>
      <c r="AC898" s="14" t="s">
        <v>92</v>
      </c>
      <c r="AD898" s="14" t="s">
        <v>4264</v>
      </c>
      <c r="AE898" s="12">
        <v>4.7583080568720385E-3</v>
      </c>
      <c r="AF898" s="12">
        <v>1.399027962085308E-2</v>
      </c>
      <c r="AG898" s="12">
        <v>9.3273274881516596E-5</v>
      </c>
      <c r="AH898" s="12">
        <v>8.7765402843601901E-4</v>
      </c>
    </row>
    <row r="899" spans="1:34" ht="14.25">
      <c r="A899" s="14" t="s">
        <v>4273</v>
      </c>
      <c r="B899" s="24" t="s">
        <v>2668</v>
      </c>
      <c r="C899" s="14" t="s">
        <v>2713</v>
      </c>
      <c r="D899" s="14" t="s">
        <v>2911</v>
      </c>
      <c r="E899" s="14" t="s">
        <v>4274</v>
      </c>
      <c r="F899" s="13">
        <v>76</v>
      </c>
      <c r="G899" s="14" t="s">
        <v>4275</v>
      </c>
      <c r="H899" s="567" t="s">
        <v>2934</v>
      </c>
      <c r="I899" s="14" t="s">
        <v>4274</v>
      </c>
      <c r="J899" s="14" t="s">
        <v>4276</v>
      </c>
      <c r="K899" s="478">
        <v>1</v>
      </c>
      <c r="L899" s="220">
        <v>76</v>
      </c>
      <c r="M899" s="568" t="s">
        <v>4277</v>
      </c>
      <c r="N899" s="479" t="s">
        <v>2937</v>
      </c>
      <c r="O899" s="569" t="s">
        <v>2976</v>
      </c>
      <c r="P899" s="14" t="s">
        <v>2962</v>
      </c>
      <c r="Q899" s="435" t="s">
        <v>2963</v>
      </c>
      <c r="R899" s="14">
        <v>1</v>
      </c>
      <c r="S899" s="14">
        <f t="shared" si="817"/>
        <v>0.76</v>
      </c>
      <c r="T899" s="487">
        <f>SUM(R888:R911)</f>
        <v>100.7</v>
      </c>
      <c r="U899">
        <f t="shared" si="938"/>
        <v>0.99304865938430975</v>
      </c>
      <c r="V899" s="220">
        <f>U899*100/SUM(U889:U911)</f>
        <v>1.647446457990116</v>
      </c>
      <c r="W899" s="14" t="s">
        <v>425</v>
      </c>
      <c r="X899">
        <f t="shared" si="957"/>
        <v>1.647446457990116</v>
      </c>
      <c r="Y899" s="220">
        <f>X899</f>
        <v>1.647446457990116</v>
      </c>
      <c r="Z899" s="220">
        <f t="shared" si="964"/>
        <v>1.647446457990116</v>
      </c>
      <c r="AA899" s="792">
        <f t="shared" si="965"/>
        <v>1.647446457990116</v>
      </c>
      <c r="AB899" s="18" t="s">
        <v>425</v>
      </c>
      <c r="AC899" s="13" t="s">
        <v>2964</v>
      </c>
      <c r="AD899" s="13" t="s">
        <v>2965</v>
      </c>
      <c r="AE899" s="12">
        <v>3.8102374934982654E-3</v>
      </c>
      <c r="AF899" s="12">
        <v>0.20470422547079484</v>
      </c>
      <c r="AG899" s="12">
        <v>1.210810810810811E-4</v>
      </c>
      <c r="AH899" s="12">
        <v>1.0002400855855065E-3</v>
      </c>
    </row>
    <row r="900" spans="1:34" ht="14.25">
      <c r="A900" s="14" t="s">
        <v>4273</v>
      </c>
      <c r="B900" s="24" t="s">
        <v>2668</v>
      </c>
      <c r="C900" s="14" t="s">
        <v>2713</v>
      </c>
      <c r="D900" s="14" t="s">
        <v>2911</v>
      </c>
      <c r="E900" s="14" t="s">
        <v>4274</v>
      </c>
      <c r="F900" s="13">
        <v>76</v>
      </c>
      <c r="G900" s="14" t="s">
        <v>4275</v>
      </c>
      <c r="H900" s="567" t="s">
        <v>2934</v>
      </c>
      <c r="I900" s="14" t="s">
        <v>4274</v>
      </c>
      <c r="J900" s="14" t="s">
        <v>4276</v>
      </c>
      <c r="K900" s="478">
        <v>1</v>
      </c>
      <c r="L900" s="220">
        <v>76</v>
      </c>
      <c r="M900" s="568" t="s">
        <v>4277</v>
      </c>
      <c r="N900" s="479" t="s">
        <v>2937</v>
      </c>
      <c r="O900" s="569" t="s">
        <v>2976</v>
      </c>
      <c r="P900" s="14" t="s">
        <v>3008</v>
      </c>
      <c r="Q900" s="486" t="s">
        <v>4281</v>
      </c>
      <c r="R900" s="14">
        <v>1</v>
      </c>
      <c r="S900" s="14">
        <f t="shared" si="817"/>
        <v>0.76</v>
      </c>
      <c r="T900" s="487">
        <f>SUM(R888:R911)</f>
        <v>100.7</v>
      </c>
      <c r="U900">
        <f t="shared" si="938"/>
        <v>0.99304865938430975</v>
      </c>
      <c r="V900" s="220">
        <f>U900*100/SUM(U889:U911)</f>
        <v>1.647446457990116</v>
      </c>
      <c r="W900" s="14" t="s">
        <v>1588</v>
      </c>
      <c r="X900">
        <f t="shared" si="957"/>
        <v>1.647446457990116</v>
      </c>
      <c r="Y900" s="220" t="s">
        <v>1666</v>
      </c>
      <c r="Z900" s="220">
        <f t="shared" si="964"/>
        <v>1.647446457990116</v>
      </c>
      <c r="AA900" s="792">
        <f t="shared" si="965"/>
        <v>1.647446457990116</v>
      </c>
      <c r="AB900" s="18" t="s">
        <v>1588</v>
      </c>
      <c r="AC900" s="13" t="str">
        <f t="shared" ref="AC900:AD900" si="966">AB900</f>
        <v>brown sugar</v>
      </c>
      <c r="AD900" s="13" t="str">
        <f t="shared" si="966"/>
        <v>brown sugar</v>
      </c>
      <c r="AE900" s="12">
        <v>2.9559941486988851E-4</v>
      </c>
      <c r="AF900" s="12">
        <v>1.227390180878553E-2</v>
      </c>
      <c r="AG900" s="12">
        <v>5.0880902043692758E-4</v>
      </c>
      <c r="AH900" s="12">
        <v>3.9359045321580248E-4</v>
      </c>
    </row>
    <row r="901" spans="1:34" ht="14.25">
      <c r="A901" s="14" t="s">
        <v>4273</v>
      </c>
      <c r="B901" s="24" t="s">
        <v>2668</v>
      </c>
      <c r="C901" s="14" t="s">
        <v>2713</v>
      </c>
      <c r="D901" s="14" t="s">
        <v>2911</v>
      </c>
      <c r="E901" s="14" t="s">
        <v>4274</v>
      </c>
      <c r="F901" s="13">
        <v>76</v>
      </c>
      <c r="G901" s="14" t="s">
        <v>4275</v>
      </c>
      <c r="H901" s="567" t="s">
        <v>2934</v>
      </c>
      <c r="I901" s="14" t="s">
        <v>4274</v>
      </c>
      <c r="J901" s="14" t="s">
        <v>4276</v>
      </c>
      <c r="K901" s="478">
        <v>1</v>
      </c>
      <c r="L901" s="220">
        <v>76</v>
      </c>
      <c r="M901" s="568" t="s">
        <v>4277</v>
      </c>
      <c r="N901" s="479" t="s">
        <v>2937</v>
      </c>
      <c r="O901" s="569" t="s">
        <v>2976</v>
      </c>
      <c r="P901" s="14" t="s">
        <v>3051</v>
      </c>
      <c r="Q901" s="486" t="s">
        <v>3084</v>
      </c>
      <c r="R901" s="14">
        <v>1</v>
      </c>
      <c r="S901" s="14">
        <f t="shared" si="817"/>
        <v>0.76</v>
      </c>
      <c r="T901" s="487">
        <f>SUM(R888:R911)</f>
        <v>100.7</v>
      </c>
      <c r="U901">
        <f t="shared" si="938"/>
        <v>0.99304865938430975</v>
      </c>
      <c r="V901" s="220">
        <f>U901*100/SUM(U889:U911)</f>
        <v>1.647446457990116</v>
      </c>
      <c r="W901" s="14" t="s">
        <v>4282</v>
      </c>
      <c r="X901">
        <f t="shared" si="957"/>
        <v>1.647446457990116</v>
      </c>
      <c r="Y901" s="220" t="s">
        <v>1666</v>
      </c>
      <c r="Z901" s="220">
        <f t="shared" si="964"/>
        <v>1.647446457990116</v>
      </c>
      <c r="AA901" s="792">
        <f t="shared" si="965"/>
        <v>1.647446457990116</v>
      </c>
      <c r="AB901" s="18" t="s">
        <v>2533</v>
      </c>
      <c r="AC901" s="14" t="s">
        <v>134</v>
      </c>
      <c r="AD901" s="14" t="s">
        <v>3053</v>
      </c>
      <c r="AE901" s="12">
        <v>3.0177940758293843E-3</v>
      </c>
      <c r="AF901" s="12">
        <v>8.8728561611374421E-3</v>
      </c>
      <c r="AG901" s="12">
        <v>5.9155383175355464E-5</v>
      </c>
      <c r="AH901" s="12">
        <v>5.56622037914692E-4</v>
      </c>
    </row>
    <row r="902" spans="1:34" ht="14.25">
      <c r="A902" s="14" t="s">
        <v>4273</v>
      </c>
      <c r="B902" s="24" t="s">
        <v>2668</v>
      </c>
      <c r="C902" s="14" t="s">
        <v>2713</v>
      </c>
      <c r="D902" s="14" t="s">
        <v>2911</v>
      </c>
      <c r="E902" s="14" t="s">
        <v>4274</v>
      </c>
      <c r="F902" s="13">
        <v>76</v>
      </c>
      <c r="G902" s="14" t="s">
        <v>4275</v>
      </c>
      <c r="H902" s="567" t="s">
        <v>2934</v>
      </c>
      <c r="I902" s="14" t="s">
        <v>4274</v>
      </c>
      <c r="J902" s="14" t="s">
        <v>4276</v>
      </c>
      <c r="K902" s="478">
        <v>1</v>
      </c>
      <c r="L902" s="220">
        <v>76</v>
      </c>
      <c r="M902" s="568" t="s">
        <v>4277</v>
      </c>
      <c r="N902" s="479" t="s">
        <v>2937</v>
      </c>
      <c r="O902" s="569" t="s">
        <v>2976</v>
      </c>
      <c r="P902" s="14" t="s">
        <v>3025</v>
      </c>
      <c r="Q902" s="486" t="s">
        <v>4283</v>
      </c>
      <c r="R902" s="14">
        <v>1</v>
      </c>
      <c r="S902" s="14">
        <f t="shared" si="817"/>
        <v>0.76</v>
      </c>
      <c r="T902" s="487">
        <f>SUM(R888:R911)</f>
        <v>100.7</v>
      </c>
      <c r="U902">
        <f t="shared" si="938"/>
        <v>0.99304865938430975</v>
      </c>
      <c r="V902" s="220">
        <f>U902*100/SUM(U889:U911)</f>
        <v>1.647446457990116</v>
      </c>
      <c r="W902" s="14" t="s">
        <v>142</v>
      </c>
      <c r="X902">
        <f t="shared" si="957"/>
        <v>1.647446457990116</v>
      </c>
      <c r="Y902" s="220" t="s">
        <v>1666</v>
      </c>
      <c r="Z902" s="220" t="str">
        <f t="shared" ref="Z902:AH902" si="967">Y902</f>
        <v>*</v>
      </c>
      <c r="AA902" s="792" t="str">
        <f t="shared" si="967"/>
        <v>*</v>
      </c>
      <c r="AB902" s="458" t="str">
        <f t="shared" si="967"/>
        <v>*</v>
      </c>
      <c r="AC902" s="497" t="str">
        <f t="shared" si="967"/>
        <v>*</v>
      </c>
      <c r="AD902" s="497" t="str">
        <f t="shared" si="967"/>
        <v>*</v>
      </c>
      <c r="AE902" s="454" t="str">
        <f t="shared" si="967"/>
        <v>*</v>
      </c>
      <c r="AF902" s="454" t="str">
        <f t="shared" si="967"/>
        <v>*</v>
      </c>
      <c r="AG902" s="454" t="str">
        <f t="shared" si="967"/>
        <v>*</v>
      </c>
      <c r="AH902" s="454" t="str">
        <f t="shared" si="967"/>
        <v>*</v>
      </c>
    </row>
    <row r="903" spans="1:34" ht="14.25">
      <c r="A903" s="14" t="s">
        <v>4273</v>
      </c>
      <c r="B903" s="24" t="s">
        <v>2668</v>
      </c>
      <c r="C903" s="14" t="s">
        <v>2713</v>
      </c>
      <c r="D903" s="14" t="s">
        <v>2911</v>
      </c>
      <c r="E903" s="14" t="s">
        <v>4274</v>
      </c>
      <c r="F903" s="13">
        <v>76</v>
      </c>
      <c r="G903" s="14" t="s">
        <v>4275</v>
      </c>
      <c r="H903" s="567" t="s">
        <v>2934</v>
      </c>
      <c r="I903" s="14" t="s">
        <v>4274</v>
      </c>
      <c r="J903" s="14" t="s">
        <v>4276</v>
      </c>
      <c r="K903" s="478">
        <v>1</v>
      </c>
      <c r="L903" s="220">
        <v>76</v>
      </c>
      <c r="M903" s="568" t="s">
        <v>4277</v>
      </c>
      <c r="N903" s="479" t="s">
        <v>2937</v>
      </c>
      <c r="O903" s="569" t="s">
        <v>2976</v>
      </c>
      <c r="P903" s="14" t="s">
        <v>214</v>
      </c>
      <c r="Q903" s="435" t="s">
        <v>3980</v>
      </c>
      <c r="R903" s="14">
        <v>1</v>
      </c>
      <c r="S903" s="14">
        <f t="shared" si="817"/>
        <v>0.76</v>
      </c>
      <c r="T903" s="487">
        <f>SUM(R888:R911)</f>
        <v>100.7</v>
      </c>
      <c r="U903">
        <f t="shared" si="938"/>
        <v>0.99304865938430975</v>
      </c>
      <c r="V903" s="220">
        <f>U903*100/SUM(U889:U911)</f>
        <v>1.647446457990116</v>
      </c>
      <c r="W903" s="14" t="s">
        <v>214</v>
      </c>
      <c r="X903">
        <f t="shared" si="957"/>
        <v>1.647446457990116</v>
      </c>
      <c r="Y903" s="220" t="s">
        <v>1666</v>
      </c>
      <c r="Z903" s="220">
        <f t="shared" ref="Z903:Z904" si="968">X903</f>
        <v>1.647446457990116</v>
      </c>
      <c r="AA903" s="792">
        <f t="shared" ref="AA903:AA904" si="969">Z903</f>
        <v>1.647446457990116</v>
      </c>
      <c r="AB903" s="18" t="s">
        <v>2718</v>
      </c>
      <c r="AC903" s="13" t="s">
        <v>214</v>
      </c>
      <c r="AD903" s="13" t="s">
        <v>3981</v>
      </c>
      <c r="AE903" s="12">
        <v>2.5425965018094099E-4</v>
      </c>
      <c r="AF903" s="12">
        <v>2.999770886532045E-3</v>
      </c>
      <c r="AG903" s="12">
        <v>1.7349999999999998E-5</v>
      </c>
      <c r="AH903" s="12">
        <v>1.4881214836240498E-5</v>
      </c>
    </row>
    <row r="904" spans="1:34" ht="14.25">
      <c r="A904" s="14" t="s">
        <v>4273</v>
      </c>
      <c r="B904" s="24" t="s">
        <v>2668</v>
      </c>
      <c r="C904" s="14" t="s">
        <v>2713</v>
      </c>
      <c r="D904" s="14" t="s">
        <v>2911</v>
      </c>
      <c r="E904" s="14" t="s">
        <v>4274</v>
      </c>
      <c r="F904" s="13">
        <v>76</v>
      </c>
      <c r="G904" s="14" t="s">
        <v>4275</v>
      </c>
      <c r="H904" s="567" t="s">
        <v>2934</v>
      </c>
      <c r="I904" s="14" t="s">
        <v>4274</v>
      </c>
      <c r="J904" s="14" t="s">
        <v>4276</v>
      </c>
      <c r="K904" s="478">
        <v>1</v>
      </c>
      <c r="L904" s="220">
        <v>76</v>
      </c>
      <c r="M904" s="568" t="s">
        <v>4277</v>
      </c>
      <c r="N904" s="479" t="s">
        <v>2937</v>
      </c>
      <c r="O904" s="569" t="s">
        <v>2976</v>
      </c>
      <c r="P904" s="14" t="s">
        <v>432</v>
      </c>
      <c r="Q904" s="486" t="s">
        <v>3028</v>
      </c>
      <c r="R904" s="14">
        <v>1</v>
      </c>
      <c r="S904" s="14">
        <f t="shared" si="817"/>
        <v>0.76</v>
      </c>
      <c r="T904" s="487">
        <f>SUM(R888:R911)</f>
        <v>100.7</v>
      </c>
      <c r="U904">
        <f t="shared" si="938"/>
        <v>0.99304865938430975</v>
      </c>
      <c r="V904" s="220">
        <f>U904*100/SUM(U889:U911)</f>
        <v>1.647446457990116</v>
      </c>
      <c r="W904" s="14" t="s">
        <v>432</v>
      </c>
      <c r="X904">
        <f t="shared" si="957"/>
        <v>1.647446457990116</v>
      </c>
      <c r="Y904" s="220" t="s">
        <v>1666</v>
      </c>
      <c r="Z904" s="220">
        <f t="shared" si="968"/>
        <v>1.647446457990116</v>
      </c>
      <c r="AA904" s="792">
        <f t="shared" si="969"/>
        <v>1.647446457990116</v>
      </c>
      <c r="AB904" s="18" t="s">
        <v>2529</v>
      </c>
      <c r="AC904" s="14" t="s">
        <v>3029</v>
      </c>
      <c r="AD904" s="14" t="s">
        <v>3030</v>
      </c>
      <c r="AE904" s="12">
        <v>2.2558902713754649E-4</v>
      </c>
      <c r="AF904" s="12">
        <v>9.3669250645994837E-3</v>
      </c>
      <c r="AG904" s="12">
        <v>3.8830162085976054E-4</v>
      </c>
      <c r="AH904" s="12">
        <v>3.0037166166469137E-4</v>
      </c>
    </row>
    <row r="905" spans="1:34" ht="14.25">
      <c r="A905" s="14" t="s">
        <v>4273</v>
      </c>
      <c r="B905" s="24" t="s">
        <v>2668</v>
      </c>
      <c r="C905" s="14" t="s">
        <v>2713</v>
      </c>
      <c r="D905" s="14" t="s">
        <v>2911</v>
      </c>
      <c r="E905" s="14" t="s">
        <v>4274</v>
      </c>
      <c r="F905" s="13">
        <v>76</v>
      </c>
      <c r="G905" s="14" t="s">
        <v>4275</v>
      </c>
      <c r="H905" s="567" t="s">
        <v>2934</v>
      </c>
      <c r="I905" s="14" t="s">
        <v>4274</v>
      </c>
      <c r="J905" s="14" t="s">
        <v>4276</v>
      </c>
      <c r="K905" s="478">
        <v>1</v>
      </c>
      <c r="L905" s="220">
        <v>76</v>
      </c>
      <c r="M905" s="568" t="s">
        <v>4277</v>
      </c>
      <c r="N905" s="479" t="s">
        <v>2937</v>
      </c>
      <c r="O905" s="569" t="s">
        <v>2976</v>
      </c>
      <c r="P905" s="655" t="s">
        <v>3005</v>
      </c>
      <c r="Q905" s="486" t="s">
        <v>4284</v>
      </c>
      <c r="R905" s="14">
        <v>1</v>
      </c>
      <c r="S905" s="14">
        <f t="shared" si="817"/>
        <v>0.76</v>
      </c>
      <c r="T905" s="487">
        <f>SUM(R888:R911)</f>
        <v>100.7</v>
      </c>
      <c r="U905">
        <f t="shared" si="938"/>
        <v>0.99304865938430975</v>
      </c>
      <c r="V905" s="220">
        <f>U905*100/SUM(U889:U911)</f>
        <v>1.647446457990116</v>
      </c>
      <c r="W905" s="14" t="s">
        <v>2779</v>
      </c>
      <c r="X905">
        <f t="shared" si="957"/>
        <v>1.647446457990116</v>
      </c>
      <c r="Y905" s="220" t="s">
        <v>1666</v>
      </c>
      <c r="Z905" s="220" t="str">
        <f t="shared" ref="Z905:AH905" si="970">Y905</f>
        <v>*</v>
      </c>
      <c r="AA905" s="792" t="str">
        <f t="shared" si="970"/>
        <v>*</v>
      </c>
      <c r="AB905" s="458" t="str">
        <f t="shared" si="970"/>
        <v>*</v>
      </c>
      <c r="AC905" s="497" t="str">
        <f t="shared" si="970"/>
        <v>*</v>
      </c>
      <c r="AD905" s="497" t="str">
        <f t="shared" si="970"/>
        <v>*</v>
      </c>
      <c r="AE905" s="454" t="str">
        <f t="shared" si="970"/>
        <v>*</v>
      </c>
      <c r="AF905" s="454" t="str">
        <f t="shared" si="970"/>
        <v>*</v>
      </c>
      <c r="AG905" s="454" t="str">
        <f t="shared" si="970"/>
        <v>*</v>
      </c>
      <c r="AH905" s="454" t="str">
        <f t="shared" si="970"/>
        <v>*</v>
      </c>
    </row>
    <row r="906" spans="1:34" ht="14.25">
      <c r="A906" s="14" t="s">
        <v>4273</v>
      </c>
      <c r="B906" s="24" t="s">
        <v>2668</v>
      </c>
      <c r="C906" s="14" t="s">
        <v>2713</v>
      </c>
      <c r="D906" s="14" t="s">
        <v>2911</v>
      </c>
      <c r="E906" s="14" t="s">
        <v>4274</v>
      </c>
      <c r="F906" s="13">
        <v>76</v>
      </c>
      <c r="G906" s="14" t="s">
        <v>4275</v>
      </c>
      <c r="H906" s="567" t="s">
        <v>2934</v>
      </c>
      <c r="I906" s="14" t="s">
        <v>4274</v>
      </c>
      <c r="J906" s="14" t="s">
        <v>4276</v>
      </c>
      <c r="K906" s="478">
        <v>1</v>
      </c>
      <c r="L906" s="220">
        <v>76</v>
      </c>
      <c r="M906" s="568" t="s">
        <v>4277</v>
      </c>
      <c r="N906" s="479" t="s">
        <v>2937</v>
      </c>
      <c r="O906" s="569" t="s">
        <v>2976</v>
      </c>
      <c r="P906" s="14" t="s">
        <v>3072</v>
      </c>
      <c r="Q906" s="14" t="s">
        <v>3073</v>
      </c>
      <c r="R906" s="14">
        <v>0.8</v>
      </c>
      <c r="S906" s="14">
        <f t="shared" si="817"/>
        <v>0.60799999999999998</v>
      </c>
      <c r="T906" s="487">
        <f>SUM(R888:R911)</f>
        <v>100.7</v>
      </c>
      <c r="U906">
        <f t="shared" si="938"/>
        <v>0.79443892750744782</v>
      </c>
      <c r="V906" s="220">
        <f>U906*100/SUM(U889:U911)</f>
        <v>1.3179571663920928</v>
      </c>
      <c r="W906" s="14" t="s">
        <v>343</v>
      </c>
      <c r="X906">
        <f t="shared" si="957"/>
        <v>1.3179571663920928</v>
      </c>
      <c r="Y906" s="220" t="s">
        <v>1666</v>
      </c>
      <c r="Z906" s="220" t="str">
        <f t="shared" ref="Z906:AH906" si="971">Y906</f>
        <v>*</v>
      </c>
      <c r="AA906" s="792" t="str">
        <f t="shared" si="971"/>
        <v>*</v>
      </c>
      <c r="AB906" s="458" t="str">
        <f t="shared" si="971"/>
        <v>*</v>
      </c>
      <c r="AC906" s="497" t="str">
        <f t="shared" si="971"/>
        <v>*</v>
      </c>
      <c r="AD906" s="497" t="str">
        <f t="shared" si="971"/>
        <v>*</v>
      </c>
      <c r="AE906" s="454" t="str">
        <f t="shared" si="971"/>
        <v>*</v>
      </c>
      <c r="AF906" s="454" t="str">
        <f t="shared" si="971"/>
        <v>*</v>
      </c>
      <c r="AG906" s="454" t="str">
        <f t="shared" si="971"/>
        <v>*</v>
      </c>
      <c r="AH906" s="454" t="str">
        <f t="shared" si="971"/>
        <v>*</v>
      </c>
    </row>
    <row r="907" spans="1:34" ht="14.25">
      <c r="A907" s="14" t="s">
        <v>4273</v>
      </c>
      <c r="B907" s="24" t="s">
        <v>2668</v>
      </c>
      <c r="C907" s="14" t="s">
        <v>2713</v>
      </c>
      <c r="D907" s="14" t="s">
        <v>2911</v>
      </c>
      <c r="E907" s="14" t="s">
        <v>4274</v>
      </c>
      <c r="F907" s="13">
        <v>76</v>
      </c>
      <c r="G907" s="14" t="s">
        <v>4275</v>
      </c>
      <c r="H907" s="567" t="s">
        <v>2934</v>
      </c>
      <c r="I907" s="14" t="s">
        <v>4274</v>
      </c>
      <c r="J907" s="14" t="s">
        <v>4276</v>
      </c>
      <c r="K907" s="478">
        <v>1</v>
      </c>
      <c r="L907" s="220">
        <v>76</v>
      </c>
      <c r="M907" s="568" t="s">
        <v>4277</v>
      </c>
      <c r="N907" s="479" t="s">
        <v>2937</v>
      </c>
      <c r="O907" s="569" t="s">
        <v>2976</v>
      </c>
      <c r="P907" s="14" t="s">
        <v>4071</v>
      </c>
      <c r="Q907" s="435" t="s">
        <v>4072</v>
      </c>
      <c r="R907" s="14">
        <v>0.5</v>
      </c>
      <c r="S907" s="14">
        <f t="shared" si="817"/>
        <v>0.38</v>
      </c>
      <c r="T907" s="487">
        <f>SUM(R888:R911)</f>
        <v>100.7</v>
      </c>
      <c r="U907">
        <f t="shared" si="938"/>
        <v>0.49652432969215488</v>
      </c>
      <c r="V907" s="220">
        <f>U907*100/SUM(U889:U911)</f>
        <v>0.82372322899505801</v>
      </c>
      <c r="W907" s="14" t="s">
        <v>1166</v>
      </c>
      <c r="X907">
        <f t="shared" si="957"/>
        <v>0.82372322899505801</v>
      </c>
      <c r="Y907" s="220" t="s">
        <v>1666</v>
      </c>
      <c r="Z907" s="220">
        <f t="shared" ref="Z907:Z908" si="972">X907</f>
        <v>0.82372322899505801</v>
      </c>
      <c r="AA907" s="792">
        <f t="shared" ref="AA907:AA908" si="973">Z907</f>
        <v>0.82372322899505801</v>
      </c>
      <c r="AB907" s="18" t="s">
        <v>2680</v>
      </c>
      <c r="AC907" s="14" t="s">
        <v>4073</v>
      </c>
      <c r="AD907" s="14" t="s">
        <v>4074</v>
      </c>
      <c r="AE907" s="12">
        <v>2.5425965018094099E-4</v>
      </c>
      <c r="AF907" s="12">
        <v>2.999770886532045E-3</v>
      </c>
      <c r="AG907" s="12">
        <v>1.7349999999999998E-5</v>
      </c>
      <c r="AH907" s="12">
        <v>1.4881214836240498E-5</v>
      </c>
    </row>
    <row r="908" spans="1:34" ht="14.25">
      <c r="A908" s="14" t="s">
        <v>4273</v>
      </c>
      <c r="B908" s="24" t="s">
        <v>2668</v>
      </c>
      <c r="C908" s="14" t="s">
        <v>2713</v>
      </c>
      <c r="D908" s="14" t="s">
        <v>2911</v>
      </c>
      <c r="E908" s="14" t="s">
        <v>4274</v>
      </c>
      <c r="F908" s="13">
        <v>76</v>
      </c>
      <c r="G908" s="14" t="s">
        <v>4275</v>
      </c>
      <c r="H908" s="567" t="s">
        <v>2934</v>
      </c>
      <c r="I908" s="14" t="s">
        <v>4274</v>
      </c>
      <c r="J908" s="14" t="s">
        <v>4276</v>
      </c>
      <c r="K908" s="478">
        <v>1</v>
      </c>
      <c r="L908" s="220">
        <v>76</v>
      </c>
      <c r="M908" s="568" t="s">
        <v>4277</v>
      </c>
      <c r="N908" s="479" t="s">
        <v>2937</v>
      </c>
      <c r="O908" s="569" t="s">
        <v>2976</v>
      </c>
      <c r="P908" s="14" t="s">
        <v>2948</v>
      </c>
      <c r="Q908" s="435" t="s">
        <v>2949</v>
      </c>
      <c r="R908" s="14">
        <v>0.5</v>
      </c>
      <c r="S908" s="14">
        <f t="shared" si="817"/>
        <v>0.38</v>
      </c>
      <c r="T908" s="487">
        <f>SUM(R888:R911)</f>
        <v>100.7</v>
      </c>
      <c r="U908">
        <f t="shared" si="938"/>
        <v>0.49652432969215488</v>
      </c>
      <c r="V908" s="220">
        <f>U908*100/SUM(U889:U911)</f>
        <v>0.82372322899505801</v>
      </c>
      <c r="W908" s="14" t="s">
        <v>305</v>
      </c>
      <c r="X908">
        <f t="shared" si="957"/>
        <v>0.82372322899505801</v>
      </c>
      <c r="Y908" s="220" t="s">
        <v>1666</v>
      </c>
      <c r="Z908" s="220">
        <f t="shared" si="972"/>
        <v>0.82372322899505801</v>
      </c>
      <c r="AA908" s="792">
        <f t="shared" si="973"/>
        <v>0.82372322899505801</v>
      </c>
      <c r="AB908" s="18" t="s">
        <v>2684</v>
      </c>
      <c r="AC908" s="13" t="s">
        <v>3485</v>
      </c>
      <c r="AD908" s="13" t="s">
        <v>2944</v>
      </c>
      <c r="AE908" s="12">
        <v>4.7062756261925113E-3</v>
      </c>
      <c r="AF908" s="12">
        <v>3.8210906557435767E-2</v>
      </c>
      <c r="AG908" s="12">
        <v>8.2999999999999998E-5</v>
      </c>
      <c r="AH908" s="12">
        <v>5.9908272287602653E-4</v>
      </c>
    </row>
    <row r="909" spans="1:34" ht="14.25">
      <c r="A909" s="14" t="s">
        <v>4273</v>
      </c>
      <c r="B909" s="24" t="s">
        <v>2668</v>
      </c>
      <c r="C909" s="14" t="s">
        <v>2713</v>
      </c>
      <c r="D909" s="14" t="s">
        <v>2911</v>
      </c>
      <c r="E909" s="14" t="s">
        <v>4274</v>
      </c>
      <c r="F909" s="13">
        <v>76</v>
      </c>
      <c r="G909" s="14" t="s">
        <v>4275</v>
      </c>
      <c r="H909" s="567" t="s">
        <v>2934</v>
      </c>
      <c r="I909" s="14" t="s">
        <v>4274</v>
      </c>
      <c r="J909" s="14" t="s">
        <v>4276</v>
      </c>
      <c r="K909" s="478">
        <v>1</v>
      </c>
      <c r="L909" s="220">
        <v>76</v>
      </c>
      <c r="M909" s="568" t="s">
        <v>4277</v>
      </c>
      <c r="N909" s="479" t="s">
        <v>2937</v>
      </c>
      <c r="O909" s="569" t="s">
        <v>2976</v>
      </c>
      <c r="P909" s="14" t="s">
        <v>3862</v>
      </c>
      <c r="Q909" s="486" t="s">
        <v>3863</v>
      </c>
      <c r="R909" s="14">
        <v>0.25</v>
      </c>
      <c r="S909" s="14">
        <f t="shared" si="817"/>
        <v>0.19</v>
      </c>
      <c r="T909" s="487">
        <f>SUM(R888:R911)</f>
        <v>100.7</v>
      </c>
      <c r="U909">
        <f t="shared" si="938"/>
        <v>0.24826216484607744</v>
      </c>
      <c r="V909" s="220">
        <f>U909*100/SUM(U889:U911)</f>
        <v>0.411861614497529</v>
      </c>
      <c r="W909" s="14" t="s">
        <v>4285</v>
      </c>
      <c r="X909">
        <f t="shared" si="957"/>
        <v>0.411861614497529</v>
      </c>
      <c r="Y909" s="499">
        <f t="shared" ref="Y909:AA909" si="974">X909</f>
        <v>0.411861614497529</v>
      </c>
      <c r="Z909" s="220">
        <f t="shared" si="974"/>
        <v>0.411861614497529</v>
      </c>
      <c r="AA909" s="792">
        <f t="shared" si="974"/>
        <v>0.411861614497529</v>
      </c>
      <c r="AB909" s="18" t="s">
        <v>2662</v>
      </c>
      <c r="AC909" s="13" t="s">
        <v>208</v>
      </c>
      <c r="AD909" s="13" t="s">
        <v>3864</v>
      </c>
      <c r="AE909" s="12">
        <v>6.399192301960112E-3</v>
      </c>
      <c r="AF909" s="12">
        <v>0.12411340117772937</v>
      </c>
      <c r="AG909" s="12">
        <v>9.8749999999999988E-5</v>
      </c>
      <c r="AH909" s="12">
        <v>3.8580927353216109E-4</v>
      </c>
    </row>
    <row r="910" spans="1:34" ht="14.25">
      <c r="A910" s="14" t="s">
        <v>4273</v>
      </c>
      <c r="B910" s="24" t="s">
        <v>2668</v>
      </c>
      <c r="C910" s="14" t="s">
        <v>2713</v>
      </c>
      <c r="D910" s="14" t="s">
        <v>2911</v>
      </c>
      <c r="E910" s="14" t="s">
        <v>4274</v>
      </c>
      <c r="F910" s="13">
        <v>76</v>
      </c>
      <c r="G910" s="14" t="s">
        <v>4275</v>
      </c>
      <c r="H910" s="567" t="s">
        <v>2934</v>
      </c>
      <c r="I910" s="14" t="s">
        <v>4274</v>
      </c>
      <c r="J910" s="14" t="s">
        <v>4276</v>
      </c>
      <c r="K910" s="478">
        <v>1</v>
      </c>
      <c r="L910" s="220">
        <v>76</v>
      </c>
      <c r="M910" s="568" t="s">
        <v>4277</v>
      </c>
      <c r="N910" s="479" t="s">
        <v>2937</v>
      </c>
      <c r="O910" s="569" t="s">
        <v>2976</v>
      </c>
      <c r="P910" s="14" t="s">
        <v>3865</v>
      </c>
      <c r="Q910" s="553" t="s">
        <v>4094</v>
      </c>
      <c r="R910" s="14">
        <v>0.25</v>
      </c>
      <c r="S910" s="14">
        <f t="shared" si="817"/>
        <v>0.19</v>
      </c>
      <c r="T910" s="487">
        <f>SUM(R888:R911)</f>
        <v>100.7</v>
      </c>
      <c r="U910">
        <f t="shared" si="938"/>
        <v>0.24826216484607744</v>
      </c>
      <c r="V910" s="220">
        <f>U910*100/SUM(U889:U911)</f>
        <v>0.411861614497529</v>
      </c>
      <c r="W910" s="14" t="s">
        <v>1165</v>
      </c>
      <c r="X910">
        <f t="shared" si="957"/>
        <v>0.411861614497529</v>
      </c>
      <c r="Y910" s="220" t="s">
        <v>1666</v>
      </c>
      <c r="Z910" s="220">
        <f t="shared" ref="Z910:Z911" si="975">X910</f>
        <v>0.411861614497529</v>
      </c>
      <c r="AA910" s="792">
        <f t="shared" ref="AA910:AA911" si="976">Z910</f>
        <v>0.411861614497529</v>
      </c>
      <c r="AB910" s="18" t="s">
        <v>2663</v>
      </c>
      <c r="AC910" s="13" t="s">
        <v>3867</v>
      </c>
      <c r="AD910" s="13" t="s">
        <v>3007</v>
      </c>
      <c r="AE910" s="12">
        <v>3.1660297063617504E-2</v>
      </c>
      <c r="AF910" s="12">
        <v>0.3735301190055475</v>
      </c>
      <c r="AG910" s="12">
        <v>2.1604141815772032E-3</v>
      </c>
      <c r="AH910" s="12">
        <v>1.8530021654934324E-3</v>
      </c>
    </row>
    <row r="911" spans="1:34" ht="14.25">
      <c r="A911" s="617" t="s">
        <v>4273</v>
      </c>
      <c r="B911" s="794" t="s">
        <v>2668</v>
      </c>
      <c r="C911" s="617" t="s">
        <v>2713</v>
      </c>
      <c r="D911" s="617" t="s">
        <v>2911</v>
      </c>
      <c r="E911" s="617" t="s">
        <v>4274</v>
      </c>
      <c r="F911" s="799">
        <v>76</v>
      </c>
      <c r="G911" s="617" t="s">
        <v>4275</v>
      </c>
      <c r="H911" s="910" t="s">
        <v>2934</v>
      </c>
      <c r="I911" s="617" t="s">
        <v>4274</v>
      </c>
      <c r="J911" s="617" t="s">
        <v>4276</v>
      </c>
      <c r="K911" s="838">
        <v>1</v>
      </c>
      <c r="L911" s="725">
        <v>76</v>
      </c>
      <c r="M911" s="911" t="s">
        <v>4277</v>
      </c>
      <c r="N911" s="841" t="s">
        <v>2937</v>
      </c>
      <c r="O911" s="912" t="s">
        <v>2976</v>
      </c>
      <c r="P911" s="617" t="s">
        <v>2994</v>
      </c>
      <c r="Q911" s="617" t="s">
        <v>2995</v>
      </c>
      <c r="R911" s="617">
        <v>0.25</v>
      </c>
      <c r="S911" s="617">
        <f t="shared" si="817"/>
        <v>0.19</v>
      </c>
      <c r="T911" s="870">
        <f>SUM(R888:R911)</f>
        <v>100.7</v>
      </c>
      <c r="U911" s="617">
        <f t="shared" si="938"/>
        <v>0.24826216484607744</v>
      </c>
      <c r="V911" s="725">
        <f>U911*100/SUM(U889:U911)</f>
        <v>0.411861614497529</v>
      </c>
      <c r="W911" s="617" t="s">
        <v>121</v>
      </c>
      <c r="X911" s="617">
        <f t="shared" si="957"/>
        <v>0.411861614497529</v>
      </c>
      <c r="Y911" s="725" t="s">
        <v>1666</v>
      </c>
      <c r="Z911" s="725">
        <f t="shared" si="975"/>
        <v>0.411861614497529</v>
      </c>
      <c r="AA911" s="455">
        <f t="shared" si="976"/>
        <v>0.411861614497529</v>
      </c>
      <c r="AB911" s="793" t="s">
        <v>2523</v>
      </c>
      <c r="AC911" s="617" t="s">
        <v>121</v>
      </c>
      <c r="AD911" s="617" t="s">
        <v>3016</v>
      </c>
      <c r="AE911" s="635">
        <v>4.1127278199052132E-2</v>
      </c>
      <c r="AF911" s="635">
        <v>0.12092157867298578</v>
      </c>
      <c r="AG911" s="635">
        <v>8.0618486208530824E-4</v>
      </c>
      <c r="AH911" s="635">
        <v>7.5857890995260661E-3</v>
      </c>
    </row>
    <row r="912" spans="1:34" ht="12.75">
      <c r="A912" s="813" t="s">
        <v>4286</v>
      </c>
      <c r="B912" s="794" t="s">
        <v>2668</v>
      </c>
      <c r="C912" s="812" t="s">
        <v>2719</v>
      </c>
      <c r="D912" s="813" t="s">
        <v>2911</v>
      </c>
      <c r="E912" s="813" t="s">
        <v>4016</v>
      </c>
      <c r="F912" s="794">
        <v>195</v>
      </c>
      <c r="G912" s="813" t="s">
        <v>3658</v>
      </c>
      <c r="H912" s="913">
        <v>20037</v>
      </c>
      <c r="I912" s="813" t="s">
        <v>4016</v>
      </c>
      <c r="J912" s="813" t="s">
        <v>4287</v>
      </c>
      <c r="K912" s="905">
        <v>1</v>
      </c>
      <c r="L912" s="735">
        <v>195</v>
      </c>
      <c r="M912" s="914" t="s">
        <v>4288</v>
      </c>
      <c r="N912" s="914"/>
      <c r="O912" s="915"/>
      <c r="P912" s="813" t="s">
        <v>4016</v>
      </c>
      <c r="Q912" s="813" t="s">
        <v>4017</v>
      </c>
      <c r="R912" s="813">
        <v>100</v>
      </c>
      <c r="S912" s="813">
        <f t="shared" si="817"/>
        <v>195</v>
      </c>
      <c r="T912" s="916">
        <v>100</v>
      </c>
      <c r="U912" s="813">
        <f t="shared" si="938"/>
        <v>100</v>
      </c>
      <c r="V912" s="735"/>
      <c r="W912" s="813" t="s">
        <v>2702</v>
      </c>
      <c r="X912" s="813">
        <f t="shared" ref="X912:X919" si="977">U912*K912</f>
        <v>100</v>
      </c>
      <c r="Y912" s="735">
        <f t="shared" ref="Y912:Z912" si="978">X912</f>
        <v>100</v>
      </c>
      <c r="Z912" s="735">
        <f t="shared" si="978"/>
        <v>100</v>
      </c>
      <c r="AA912" s="814">
        <f t="shared" ref="AA912:AA913" si="979">X912</f>
        <v>100</v>
      </c>
      <c r="AB912" s="693" t="s">
        <v>2720</v>
      </c>
      <c r="AC912" s="794" t="s">
        <v>4018</v>
      </c>
      <c r="AD912" s="794" t="s">
        <v>3858</v>
      </c>
      <c r="AE912" s="795">
        <v>7.0063781342921748E-4</v>
      </c>
      <c r="AF912" s="795">
        <v>4.7486125575394174E-2</v>
      </c>
      <c r="AG912" s="635">
        <v>1.428576294277929E-4</v>
      </c>
      <c r="AH912" s="795">
        <v>7.2410198258570182E-4</v>
      </c>
    </row>
    <row r="913" spans="1:34" ht="12.75">
      <c r="A913" s="617" t="s">
        <v>4289</v>
      </c>
      <c r="B913" s="799" t="s">
        <v>2668</v>
      </c>
      <c r="C913" s="617" t="s">
        <v>2721</v>
      </c>
      <c r="D913" s="617" t="s">
        <v>2911</v>
      </c>
      <c r="E913" s="617" t="s">
        <v>4290</v>
      </c>
      <c r="F913" s="799">
        <v>158</v>
      </c>
      <c r="G913" s="617" t="s">
        <v>3658</v>
      </c>
      <c r="H913" s="910">
        <v>20045</v>
      </c>
      <c r="I913" s="617" t="s">
        <v>4290</v>
      </c>
      <c r="J913" s="617" t="s">
        <v>4291</v>
      </c>
      <c r="K913" s="838">
        <v>1</v>
      </c>
      <c r="L913" s="725">
        <v>158</v>
      </c>
      <c r="M913" s="911" t="s">
        <v>4292</v>
      </c>
      <c r="N913" s="911"/>
      <c r="O913" s="912"/>
      <c r="P913" s="617" t="s">
        <v>4290</v>
      </c>
      <c r="Q913" s="617" t="s">
        <v>4293</v>
      </c>
      <c r="R913" s="617">
        <v>100</v>
      </c>
      <c r="S913" s="617">
        <f t="shared" si="817"/>
        <v>158</v>
      </c>
      <c r="T913" s="725">
        <v>100</v>
      </c>
      <c r="U913" s="813">
        <f t="shared" si="938"/>
        <v>100</v>
      </c>
      <c r="V913" s="725"/>
      <c r="W913" s="617" t="s">
        <v>4294</v>
      </c>
      <c r="X913" s="617">
        <f t="shared" si="977"/>
        <v>100</v>
      </c>
      <c r="Y913" s="725">
        <f t="shared" ref="Y913:Z913" si="980">X913</f>
        <v>100</v>
      </c>
      <c r="Z913" s="725">
        <f t="shared" si="980"/>
        <v>100</v>
      </c>
      <c r="AA913" s="455">
        <f t="shared" si="979"/>
        <v>100</v>
      </c>
      <c r="AB913" s="793" t="s">
        <v>2722</v>
      </c>
      <c r="AC913" s="799" t="s">
        <v>3875</v>
      </c>
      <c r="AD913" s="799" t="s">
        <v>3876</v>
      </c>
      <c r="AE913" s="635">
        <v>4.4798514033830313E-4</v>
      </c>
      <c r="AF913" s="635">
        <v>3.0362447219192758E-2</v>
      </c>
      <c r="AG913" s="635">
        <v>9.1342622309197643E-5</v>
      </c>
      <c r="AH913" s="635">
        <v>4.4231893147834018E-4</v>
      </c>
    </row>
    <row r="914" spans="1:34" ht="12.75">
      <c r="A914" s="14" t="s">
        <v>4295</v>
      </c>
      <c r="B914" s="13" t="s">
        <v>2668</v>
      </c>
      <c r="C914" s="14" t="s">
        <v>2723</v>
      </c>
      <c r="D914" s="14" t="s">
        <v>2911</v>
      </c>
      <c r="E914" s="14" t="s">
        <v>4296</v>
      </c>
      <c r="F914" s="13">
        <v>140</v>
      </c>
      <c r="G914" s="14" t="s">
        <v>3658</v>
      </c>
      <c r="H914" s="567">
        <v>20121</v>
      </c>
      <c r="I914" s="135" t="s">
        <v>4296</v>
      </c>
      <c r="J914" s="135" t="s">
        <v>4297</v>
      </c>
      <c r="K914" s="475">
        <v>0.83</v>
      </c>
      <c r="L914" s="476">
        <v>116.2</v>
      </c>
      <c r="M914" s="570" t="s">
        <v>4298</v>
      </c>
      <c r="N914" s="570"/>
      <c r="O914" s="571"/>
      <c r="P914" s="135" t="s">
        <v>4296</v>
      </c>
      <c r="Q914" s="135" t="s">
        <v>4299</v>
      </c>
      <c r="R914" s="135">
        <v>100</v>
      </c>
      <c r="S914" s="135">
        <f t="shared" si="817"/>
        <v>116.2</v>
      </c>
      <c r="T914" s="476">
        <v>100</v>
      </c>
      <c r="U914" s="514">
        <f t="shared" si="938"/>
        <v>100</v>
      </c>
      <c r="V914" s="476"/>
      <c r="W914" s="135" t="s">
        <v>275</v>
      </c>
      <c r="X914">
        <f t="shared" si="977"/>
        <v>83</v>
      </c>
      <c r="Y914" s="220">
        <f>SUM(X914:X917,X919)</f>
        <v>99.795918367346928</v>
      </c>
      <c r="Z914" s="220">
        <f>SUM(X914:X915,X919)</f>
        <v>99.387755102040813</v>
      </c>
      <c r="AA914" s="792">
        <f>Z914</f>
        <v>99.387755102040813</v>
      </c>
      <c r="AB914" s="18" t="s">
        <v>2724</v>
      </c>
      <c r="AC914" s="13" t="s">
        <v>4300</v>
      </c>
      <c r="AD914" s="13" t="s">
        <v>4301</v>
      </c>
      <c r="AE914" s="12">
        <v>8.9416218985565125E-3</v>
      </c>
      <c r="AF914" s="12">
        <v>0.10549380143714923</v>
      </c>
      <c r="AG914" s="12">
        <v>6.1015241635687723E-4</v>
      </c>
      <c r="AH914" s="12">
        <v>5.2333194182466582E-4</v>
      </c>
    </row>
    <row r="915" spans="1:34" ht="14.25">
      <c r="A915" s="14" t="s">
        <v>4295</v>
      </c>
      <c r="B915" s="24" t="s">
        <v>2668</v>
      </c>
      <c r="C915" s="14" t="s">
        <v>2723</v>
      </c>
      <c r="D915" s="14" t="s">
        <v>2911</v>
      </c>
      <c r="E915" s="14" t="s">
        <v>4296</v>
      </c>
      <c r="F915" s="13">
        <v>140</v>
      </c>
      <c r="G915" s="14" t="s">
        <v>3658</v>
      </c>
      <c r="H915" s="567">
        <v>20121</v>
      </c>
      <c r="I915" s="14" t="s">
        <v>4302</v>
      </c>
      <c r="J915" s="14" t="s">
        <v>4303</v>
      </c>
      <c r="K915" s="478">
        <v>0.1</v>
      </c>
      <c r="L915" s="220">
        <v>14</v>
      </c>
      <c r="M915" s="573" t="s">
        <v>4304</v>
      </c>
      <c r="N915" s="479" t="s">
        <v>2937</v>
      </c>
      <c r="O915" s="569" t="s">
        <v>2976</v>
      </c>
      <c r="P915" s="14" t="s">
        <v>4296</v>
      </c>
      <c r="Q915" s="10" t="s">
        <v>4299</v>
      </c>
      <c r="R915" s="14">
        <v>92</v>
      </c>
      <c r="S915" s="14">
        <f t="shared" si="817"/>
        <v>12.88</v>
      </c>
      <c r="T915" s="487">
        <f>SUM(R915:R918)</f>
        <v>98</v>
      </c>
      <c r="U915">
        <f t="shared" si="938"/>
        <v>93.877551020408163</v>
      </c>
      <c r="V915" s="220"/>
      <c r="W915" s="14" t="s">
        <v>275</v>
      </c>
      <c r="X915">
        <f t="shared" si="977"/>
        <v>9.387755102040817</v>
      </c>
      <c r="Y915" s="220" t="s">
        <v>1666</v>
      </c>
      <c r="Z915" s="220" t="s">
        <v>1666</v>
      </c>
      <c r="AA915" s="792"/>
      <c r="AB915" s="18" t="s">
        <v>1666</v>
      </c>
      <c r="AC915" s="13" t="str">
        <f t="shared" ref="AC915:AH915" si="981">AB915</f>
        <v>*</v>
      </c>
      <c r="AD915" s="13" t="str">
        <f t="shared" si="981"/>
        <v>*</v>
      </c>
      <c r="AE915" s="454" t="str">
        <f t="shared" si="981"/>
        <v>*</v>
      </c>
      <c r="AF915" s="454" t="str">
        <f t="shared" si="981"/>
        <v>*</v>
      </c>
      <c r="AG915" s="454" t="str">
        <f t="shared" si="981"/>
        <v>*</v>
      </c>
      <c r="AH915" s="454" t="str">
        <f t="shared" si="981"/>
        <v>*</v>
      </c>
    </row>
    <row r="916" spans="1:34" ht="14.25">
      <c r="A916" s="14" t="s">
        <v>4295</v>
      </c>
      <c r="B916" s="24" t="s">
        <v>2668</v>
      </c>
      <c r="C916" s="14" t="s">
        <v>2723</v>
      </c>
      <c r="D916" s="14" t="s">
        <v>2911</v>
      </c>
      <c r="E916" s="14" t="s">
        <v>4296</v>
      </c>
      <c r="F916" s="13">
        <v>140</v>
      </c>
      <c r="G916" s="14" t="s">
        <v>3658</v>
      </c>
      <c r="H916" s="567">
        <v>20121</v>
      </c>
      <c r="I916" s="14" t="s">
        <v>4302</v>
      </c>
      <c r="J916" s="14" t="s">
        <v>4303</v>
      </c>
      <c r="K916" s="478">
        <v>0.1</v>
      </c>
      <c r="L916" s="220">
        <v>14</v>
      </c>
      <c r="M916" s="573" t="s">
        <v>4304</v>
      </c>
      <c r="N916" s="479" t="s">
        <v>2937</v>
      </c>
      <c r="O916" s="569" t="s">
        <v>2976</v>
      </c>
      <c r="P916" s="14" t="s">
        <v>214</v>
      </c>
      <c r="Q916" s="435" t="s">
        <v>3980</v>
      </c>
      <c r="R916" s="14">
        <v>2</v>
      </c>
      <c r="S916" s="14">
        <f t="shared" si="817"/>
        <v>0.28000000000000003</v>
      </c>
      <c r="T916" s="487">
        <f>SUM(R915:R918)</f>
        <v>98</v>
      </c>
      <c r="U916">
        <f t="shared" si="938"/>
        <v>2.0408163265306123</v>
      </c>
      <c r="V916" s="220"/>
      <c r="W916" s="14" t="s">
        <v>214</v>
      </c>
      <c r="X916">
        <f t="shared" si="977"/>
        <v>0.20408163265306123</v>
      </c>
      <c r="Y916" s="220" t="s">
        <v>1666</v>
      </c>
      <c r="Z916" s="220">
        <f t="shared" ref="Z916:Z917" si="982">X916</f>
        <v>0.20408163265306123</v>
      </c>
      <c r="AA916" s="792">
        <f t="shared" ref="AA916:AA917" si="983">Z916</f>
        <v>0.20408163265306123</v>
      </c>
      <c r="AB916" s="18" t="s">
        <v>2671</v>
      </c>
      <c r="AC916" s="13" t="s">
        <v>214</v>
      </c>
      <c r="AD916" s="13" t="s">
        <v>3981</v>
      </c>
      <c r="AE916" s="12">
        <v>2.5425965018094099E-4</v>
      </c>
      <c r="AF916" s="12">
        <v>2.999770886532045E-3</v>
      </c>
      <c r="AG916" s="12">
        <v>1.7349999999999998E-5</v>
      </c>
      <c r="AH916" s="12">
        <v>1.4881214836240498E-5</v>
      </c>
    </row>
    <row r="917" spans="1:34" ht="14.25">
      <c r="A917" s="14" t="s">
        <v>4295</v>
      </c>
      <c r="B917" s="24" t="s">
        <v>2668</v>
      </c>
      <c r="C917" s="14" t="s">
        <v>2723</v>
      </c>
      <c r="D917" s="14" t="s">
        <v>2911</v>
      </c>
      <c r="E917" s="14" t="s">
        <v>4296</v>
      </c>
      <c r="F917" s="13">
        <v>140</v>
      </c>
      <c r="G917" s="14" t="s">
        <v>3658</v>
      </c>
      <c r="H917" s="567">
        <v>20121</v>
      </c>
      <c r="I917" s="14" t="s">
        <v>4302</v>
      </c>
      <c r="J917" s="14" t="s">
        <v>4303</v>
      </c>
      <c r="K917" s="478">
        <v>0.1</v>
      </c>
      <c r="L917" s="220">
        <v>14</v>
      </c>
      <c r="M917" s="573" t="s">
        <v>4304</v>
      </c>
      <c r="N917" s="479" t="s">
        <v>2937</v>
      </c>
      <c r="O917" s="569" t="s">
        <v>2976</v>
      </c>
      <c r="P917" s="14" t="s">
        <v>4071</v>
      </c>
      <c r="Q917" s="435" t="s">
        <v>4072</v>
      </c>
      <c r="R917" s="14">
        <v>2</v>
      </c>
      <c r="S917" s="14">
        <f t="shared" si="817"/>
        <v>0.28000000000000003</v>
      </c>
      <c r="T917" s="487">
        <f>SUM(R915:R918)</f>
        <v>98</v>
      </c>
      <c r="U917">
        <f t="shared" si="938"/>
        <v>2.0408163265306123</v>
      </c>
      <c r="V917" s="220"/>
      <c r="W917" s="14" t="s">
        <v>1166</v>
      </c>
      <c r="X917">
        <f t="shared" si="977"/>
        <v>0.20408163265306123</v>
      </c>
      <c r="Y917" s="220" t="s">
        <v>1666</v>
      </c>
      <c r="Z917" s="220">
        <f t="shared" si="982"/>
        <v>0.20408163265306123</v>
      </c>
      <c r="AA917" s="792">
        <f t="shared" si="983"/>
        <v>0.20408163265306123</v>
      </c>
      <c r="AB917" s="18" t="s">
        <v>2680</v>
      </c>
      <c r="AC917" s="14" t="s">
        <v>4073</v>
      </c>
      <c r="AD917" s="14" t="s">
        <v>4074</v>
      </c>
      <c r="AE917" s="12">
        <v>2.5425965018094099E-4</v>
      </c>
      <c r="AF917" s="12">
        <v>2.999770886532045E-3</v>
      </c>
      <c r="AG917" s="12">
        <v>1.7349999999999998E-5</v>
      </c>
      <c r="AH917" s="12">
        <v>1.4881214836240498E-5</v>
      </c>
    </row>
    <row r="918" spans="1:34" ht="14.25">
      <c r="A918" s="14" t="s">
        <v>4295</v>
      </c>
      <c r="B918" s="24" t="s">
        <v>2668</v>
      </c>
      <c r="C918" s="14" t="s">
        <v>2723</v>
      </c>
      <c r="D918" s="14" t="s">
        <v>2911</v>
      </c>
      <c r="E918" s="14" t="s">
        <v>4296</v>
      </c>
      <c r="F918" s="13">
        <v>140</v>
      </c>
      <c r="G918" s="14" t="s">
        <v>3658</v>
      </c>
      <c r="H918" s="567">
        <v>20121</v>
      </c>
      <c r="I918" s="135" t="s">
        <v>4302</v>
      </c>
      <c r="J918" s="135" t="s">
        <v>4303</v>
      </c>
      <c r="K918" s="475">
        <v>0.1</v>
      </c>
      <c r="L918" s="476">
        <v>14</v>
      </c>
      <c r="M918" s="574" t="s">
        <v>4304</v>
      </c>
      <c r="N918" s="493" t="s">
        <v>2937</v>
      </c>
      <c r="O918" s="571" t="s">
        <v>2976</v>
      </c>
      <c r="P918" s="135" t="s">
        <v>3526</v>
      </c>
      <c r="Q918" s="135" t="s">
        <v>4159</v>
      </c>
      <c r="R918" s="135">
        <v>2</v>
      </c>
      <c r="S918" s="135">
        <f t="shared" si="817"/>
        <v>0.28000000000000003</v>
      </c>
      <c r="T918" s="854">
        <f>SUM(R915:R918)</f>
        <v>98</v>
      </c>
      <c r="U918" s="135">
        <f t="shared" si="938"/>
        <v>2.0408163265306123</v>
      </c>
      <c r="V918" s="476"/>
      <c r="W918" s="135" t="s">
        <v>1114</v>
      </c>
      <c r="X918">
        <f t="shared" si="977"/>
        <v>0.20408163265306123</v>
      </c>
      <c r="Y918" s="499">
        <f t="shared" ref="Y918:Z918" si="984">X918</f>
        <v>0.20408163265306123</v>
      </c>
      <c r="Z918" s="220">
        <f t="shared" si="984"/>
        <v>0.20408163265306123</v>
      </c>
      <c r="AA918" s="792">
        <f>Y918</f>
        <v>0.20408163265306123</v>
      </c>
      <c r="AB918" s="18" t="s">
        <v>1114</v>
      </c>
      <c r="AC918" s="13" t="s">
        <v>3528</v>
      </c>
      <c r="AD918" s="13" t="s">
        <v>3529</v>
      </c>
      <c r="AE918" s="12">
        <v>3.8297066240151499E-4</v>
      </c>
      <c r="AF918" s="12">
        <v>1.2726079536012401E-2</v>
      </c>
      <c r="AG918" s="12">
        <v>1.225E-5</v>
      </c>
      <c r="AH918" s="12">
        <v>1.5432370941286443E-5</v>
      </c>
    </row>
    <row r="919" spans="1:34" ht="12.75">
      <c r="A919" s="617" t="s">
        <v>4295</v>
      </c>
      <c r="B919" s="799" t="s">
        <v>2668</v>
      </c>
      <c r="C919" s="617" t="s">
        <v>2723</v>
      </c>
      <c r="D919" s="617" t="s">
        <v>2911</v>
      </c>
      <c r="E919" s="617" t="s">
        <v>4296</v>
      </c>
      <c r="F919" s="799">
        <v>140</v>
      </c>
      <c r="G919" s="617" t="s">
        <v>3658</v>
      </c>
      <c r="H919" s="910">
        <v>20121</v>
      </c>
      <c r="I919" s="849" t="s">
        <v>4305</v>
      </c>
      <c r="J919" s="617" t="s">
        <v>4306</v>
      </c>
      <c r="K919" s="838">
        <v>7.0000000000000007E-2</v>
      </c>
      <c r="L919" s="725">
        <v>9.8000000000000007</v>
      </c>
      <c r="M919" s="911" t="s">
        <v>4307</v>
      </c>
      <c r="N919" s="911"/>
      <c r="O919" s="912"/>
      <c r="P919" s="849" t="s">
        <v>4305</v>
      </c>
      <c r="Q919" s="617" t="s">
        <v>4308</v>
      </c>
      <c r="R919" s="617">
        <v>100</v>
      </c>
      <c r="S919" s="617">
        <f t="shared" si="817"/>
        <v>9.8000000000000007</v>
      </c>
      <c r="T919" s="916">
        <v>100</v>
      </c>
      <c r="U919" s="813">
        <f t="shared" si="938"/>
        <v>100</v>
      </c>
      <c r="V919" s="725"/>
      <c r="W919" s="617" t="s">
        <v>4309</v>
      </c>
      <c r="X919" s="617">
        <f t="shared" si="977"/>
        <v>7.0000000000000009</v>
      </c>
      <c r="Y919" s="725" t="s">
        <v>1666</v>
      </c>
      <c r="Z919" s="725" t="s">
        <v>1666</v>
      </c>
      <c r="AA919" s="455" t="str">
        <f>Z919</f>
        <v>*</v>
      </c>
      <c r="AB919" s="793" t="s">
        <v>1666</v>
      </c>
      <c r="AC919" s="799" t="str">
        <f t="shared" ref="AC919:AH919" si="985">AB919</f>
        <v>*</v>
      </c>
      <c r="AD919" s="799" t="str">
        <f t="shared" si="985"/>
        <v>*</v>
      </c>
      <c r="AE919" s="808" t="str">
        <f t="shared" si="985"/>
        <v>*</v>
      </c>
      <c r="AF919" s="808" t="str">
        <f t="shared" si="985"/>
        <v>*</v>
      </c>
      <c r="AG919" s="808" t="str">
        <f t="shared" si="985"/>
        <v>*</v>
      </c>
      <c r="AH919" s="808" t="str">
        <f t="shared" si="985"/>
        <v>*</v>
      </c>
    </row>
    <row r="920" spans="1:34" ht="12.75">
      <c r="A920" s="14" t="s">
        <v>4310</v>
      </c>
      <c r="B920" s="24" t="s">
        <v>2668</v>
      </c>
      <c r="C920" s="14" t="s">
        <v>2725</v>
      </c>
      <c r="D920" s="14" t="s">
        <v>2911</v>
      </c>
      <c r="E920" s="14" t="s">
        <v>4311</v>
      </c>
      <c r="F920" s="13">
        <v>54.24</v>
      </c>
      <c r="G920" s="14" t="s">
        <v>4312</v>
      </c>
      <c r="H920" s="567">
        <v>18363</v>
      </c>
      <c r="I920" s="655" t="s">
        <v>4313</v>
      </c>
      <c r="J920" s="14" t="s">
        <v>4314</v>
      </c>
      <c r="K920" s="478">
        <v>0.52</v>
      </c>
      <c r="L920" s="220">
        <v>31.2</v>
      </c>
      <c r="M920" s="568" t="s">
        <v>4315</v>
      </c>
      <c r="N920" s="568" t="s">
        <v>4316</v>
      </c>
      <c r="O920" s="568" t="s">
        <v>4317</v>
      </c>
      <c r="P920" s="655" t="s">
        <v>3005</v>
      </c>
      <c r="Q920" s="486" t="s">
        <v>3006</v>
      </c>
      <c r="R920" s="14">
        <v>63</v>
      </c>
      <c r="S920" s="14">
        <f t="shared" si="817"/>
        <v>19.655999999999999</v>
      </c>
      <c r="T920" s="487">
        <f>SUM(R920:R929)</f>
        <v>100.00000000000001</v>
      </c>
      <c r="U920" s="14">
        <f t="shared" si="938"/>
        <v>62.999999999999993</v>
      </c>
      <c r="V920" s="220">
        <f>U920*100/SUM(U920,U922:U929)</f>
        <v>81.185567010309271</v>
      </c>
      <c r="W920" s="14" t="s">
        <v>2779</v>
      </c>
      <c r="X920" s="220">
        <f t="shared" ref="X920:X933" si="986">V920*K920</f>
        <v>42.21649484536082</v>
      </c>
      <c r="Y920" s="220">
        <f t="shared" ref="Y920:AA920" si="987">X920</f>
        <v>42.21649484536082</v>
      </c>
      <c r="Z920" s="220">
        <f t="shared" si="987"/>
        <v>42.21649484536082</v>
      </c>
      <c r="AA920" s="792">
        <f t="shared" si="987"/>
        <v>42.21649484536082</v>
      </c>
      <c r="AB920" s="18" t="s">
        <v>2658</v>
      </c>
      <c r="AC920" s="13" t="s">
        <v>215</v>
      </c>
      <c r="AD920" s="13" t="s">
        <v>3007</v>
      </c>
      <c r="AE920" s="12">
        <v>5.0851930036188197E-3</v>
      </c>
      <c r="AF920" s="12">
        <v>5.9995417730640897E-2</v>
      </c>
      <c r="AG920" s="12">
        <v>3.4699999999999998E-4</v>
      </c>
      <c r="AH920" s="12">
        <v>2.9762429672480995E-4</v>
      </c>
    </row>
    <row r="921" spans="1:34" ht="12.75">
      <c r="A921" s="14" t="s">
        <v>4310</v>
      </c>
      <c r="B921" s="24" t="s">
        <v>2668</v>
      </c>
      <c r="C921" s="14" t="s">
        <v>2725</v>
      </c>
      <c r="D921" s="14" t="s">
        <v>2911</v>
      </c>
      <c r="E921" s="14" t="s">
        <v>4311</v>
      </c>
      <c r="F921" s="13">
        <v>54.24</v>
      </c>
      <c r="G921" s="14" t="s">
        <v>4312</v>
      </c>
      <c r="H921" s="567">
        <v>18363</v>
      </c>
      <c r="I921" s="655" t="s">
        <v>4313</v>
      </c>
      <c r="J921" s="14" t="s">
        <v>4314</v>
      </c>
      <c r="K921" s="478">
        <v>0.52</v>
      </c>
      <c r="L921" s="220">
        <v>31.2</v>
      </c>
      <c r="M921" s="568" t="s">
        <v>4315</v>
      </c>
      <c r="N921" s="568" t="s">
        <v>4316</v>
      </c>
      <c r="O921" s="568" t="s">
        <v>4317</v>
      </c>
      <c r="P921" s="14" t="s">
        <v>2938</v>
      </c>
      <c r="Q921" s="435" t="s">
        <v>2939</v>
      </c>
      <c r="R921" s="14">
        <v>22.4</v>
      </c>
      <c r="S921" s="14">
        <f t="shared" si="817"/>
        <v>6.9887999999999995</v>
      </c>
      <c r="T921" s="487">
        <f>SUM(R920:R929)</f>
        <v>100.00000000000001</v>
      </c>
      <c r="U921" s="14">
        <f t="shared" si="938"/>
        <v>22.4</v>
      </c>
      <c r="V921" s="481">
        <f>U921</f>
        <v>22.4</v>
      </c>
      <c r="W921" s="482" t="s">
        <v>72</v>
      </c>
      <c r="X921" s="481">
        <f t="shared" si="986"/>
        <v>11.648</v>
      </c>
      <c r="Y921" s="481">
        <f>SUM(X921,X931)</f>
        <v>29.648</v>
      </c>
      <c r="Z921" s="481">
        <f t="shared" ref="Z921:AA921" si="988">Y921</f>
        <v>29.648</v>
      </c>
      <c r="AA921" s="796">
        <f t="shared" si="988"/>
        <v>29.648</v>
      </c>
      <c r="AB921" s="456" t="s">
        <v>72</v>
      </c>
      <c r="AC921" s="469" t="s">
        <v>2938</v>
      </c>
      <c r="AD921" s="469" t="s">
        <v>2940</v>
      </c>
      <c r="AE921" s="457">
        <v>0</v>
      </c>
      <c r="AF921" s="457">
        <v>0</v>
      </c>
      <c r="AG921" s="457">
        <v>0</v>
      </c>
      <c r="AH921" s="457">
        <v>0</v>
      </c>
    </row>
    <row r="922" spans="1:34" ht="12.75">
      <c r="A922" s="14" t="s">
        <v>4310</v>
      </c>
      <c r="B922" s="24" t="s">
        <v>2668</v>
      </c>
      <c r="C922" s="14" t="s">
        <v>2725</v>
      </c>
      <c r="D922" s="14" t="s">
        <v>2911</v>
      </c>
      <c r="E922" s="14" t="s">
        <v>4311</v>
      </c>
      <c r="F922" s="13">
        <v>54.24</v>
      </c>
      <c r="G922" s="14" t="s">
        <v>4312</v>
      </c>
      <c r="H922" s="567">
        <v>18363</v>
      </c>
      <c r="I922" s="655" t="s">
        <v>4313</v>
      </c>
      <c r="J922" s="14" t="s">
        <v>4314</v>
      </c>
      <c r="K922" s="478">
        <v>0.52</v>
      </c>
      <c r="L922" s="220">
        <v>31.2</v>
      </c>
      <c r="M922" s="568" t="s">
        <v>4315</v>
      </c>
      <c r="N922" s="568" t="s">
        <v>4316</v>
      </c>
      <c r="O922" s="568" t="s">
        <v>4317</v>
      </c>
      <c r="P922" s="655" t="s">
        <v>4318</v>
      </c>
      <c r="Q922" s="14" t="s">
        <v>4319</v>
      </c>
      <c r="R922" s="14">
        <v>4.2</v>
      </c>
      <c r="S922" s="14">
        <f t="shared" si="817"/>
        <v>1.3104</v>
      </c>
      <c r="T922" s="487">
        <f>SUM(R920:R929)</f>
        <v>100.00000000000001</v>
      </c>
      <c r="U922" s="14">
        <f t="shared" si="938"/>
        <v>4.1999999999999993</v>
      </c>
      <c r="V922" s="220">
        <f>U922*100/SUM(U920,U922:U929)</f>
        <v>5.412371134020618</v>
      </c>
      <c r="W922" s="14" t="s">
        <v>348</v>
      </c>
      <c r="X922" s="220">
        <f t="shared" si="986"/>
        <v>2.8144329896907214</v>
      </c>
      <c r="Y922" s="220">
        <f>SUM(X922,X923)</f>
        <v>3.6185567010309274</v>
      </c>
      <c r="Z922" s="220">
        <f>SUM(X922:X923)</f>
        <v>3.6185567010309274</v>
      </c>
      <c r="AA922" s="792">
        <f>Z922</f>
        <v>3.6185567010309274</v>
      </c>
      <c r="AB922" s="18" t="s">
        <v>2726</v>
      </c>
      <c r="AC922" s="13" t="s">
        <v>2982</v>
      </c>
      <c r="AD922" s="13" t="s">
        <v>2983</v>
      </c>
      <c r="AE922" s="12">
        <v>2.9691872042618299E-2</v>
      </c>
      <c r="AF922" s="12">
        <v>7.5368545517799299E-2</v>
      </c>
      <c r="AG922" s="12">
        <v>2.9014018691588786E-4</v>
      </c>
      <c r="AH922" s="12">
        <v>1.4770983615231311E-3</v>
      </c>
    </row>
    <row r="923" spans="1:34" ht="12.75">
      <c r="A923" s="14" t="s">
        <v>4310</v>
      </c>
      <c r="B923" s="24" t="s">
        <v>2668</v>
      </c>
      <c r="C923" s="14" t="s">
        <v>2725</v>
      </c>
      <c r="D923" s="14" t="s">
        <v>2911</v>
      </c>
      <c r="E923" s="14" t="s">
        <v>4311</v>
      </c>
      <c r="F923" s="13">
        <v>54.24</v>
      </c>
      <c r="G923" s="14" t="s">
        <v>4312</v>
      </c>
      <c r="H923" s="567">
        <v>18363</v>
      </c>
      <c r="I923" s="655" t="s">
        <v>4313</v>
      </c>
      <c r="J923" s="14" t="s">
        <v>4314</v>
      </c>
      <c r="K923" s="478">
        <v>0.52</v>
      </c>
      <c r="L923" s="220">
        <v>31.2</v>
      </c>
      <c r="M923" s="568" t="s">
        <v>4315</v>
      </c>
      <c r="N923" s="568" t="s">
        <v>4316</v>
      </c>
      <c r="O923" s="568" t="s">
        <v>4317</v>
      </c>
      <c r="P923" s="14" t="s">
        <v>3139</v>
      </c>
      <c r="Q923" s="14" t="s">
        <v>4320</v>
      </c>
      <c r="R923" s="14">
        <v>1.2</v>
      </c>
      <c r="S923" s="14">
        <f t="shared" si="817"/>
        <v>0.37440000000000001</v>
      </c>
      <c r="T923" s="487">
        <f>SUM(R920:R929)</f>
        <v>100.00000000000001</v>
      </c>
      <c r="U923" s="14">
        <f t="shared" si="938"/>
        <v>1.1999999999999997</v>
      </c>
      <c r="V923" s="220">
        <f>U923*100/SUM(U920,U922:U929)</f>
        <v>1.5463917525773194</v>
      </c>
      <c r="W923" s="14" t="s">
        <v>4321</v>
      </c>
      <c r="X923" s="220">
        <f t="shared" si="986"/>
        <v>0.8041237113402061</v>
      </c>
      <c r="Y923" s="220" t="s">
        <v>1666</v>
      </c>
      <c r="Z923" s="220" t="str">
        <f t="shared" ref="Z923:AH923" si="989">Y923</f>
        <v>*</v>
      </c>
      <c r="AA923" s="792" t="str">
        <f t="shared" si="989"/>
        <v>*</v>
      </c>
      <c r="AB923" s="458" t="str">
        <f t="shared" si="989"/>
        <v>*</v>
      </c>
      <c r="AC923" s="497" t="str">
        <f t="shared" si="989"/>
        <v>*</v>
      </c>
      <c r="AD923" s="497" t="str">
        <f t="shared" si="989"/>
        <v>*</v>
      </c>
      <c r="AE923" s="454" t="str">
        <f t="shared" si="989"/>
        <v>*</v>
      </c>
      <c r="AF923" s="454" t="str">
        <f t="shared" si="989"/>
        <v>*</v>
      </c>
      <c r="AG923" s="454" t="str">
        <f t="shared" si="989"/>
        <v>*</v>
      </c>
      <c r="AH923" s="454" t="str">
        <f t="shared" si="989"/>
        <v>*</v>
      </c>
    </row>
    <row r="924" spans="1:34" ht="12.75">
      <c r="A924" s="14" t="s">
        <v>4310</v>
      </c>
      <c r="B924" s="24" t="s">
        <v>2668</v>
      </c>
      <c r="C924" s="14" t="s">
        <v>2725</v>
      </c>
      <c r="D924" s="14" t="s">
        <v>2911</v>
      </c>
      <c r="E924" s="14" t="s">
        <v>4311</v>
      </c>
      <c r="F924" s="13">
        <v>54.24</v>
      </c>
      <c r="G924" s="14" t="s">
        <v>4312</v>
      </c>
      <c r="H924" s="567">
        <v>18363</v>
      </c>
      <c r="I924" s="655" t="s">
        <v>4313</v>
      </c>
      <c r="J924" s="14" t="s">
        <v>4314</v>
      </c>
      <c r="K924" s="478">
        <v>0.52</v>
      </c>
      <c r="L924" s="220">
        <v>31.2</v>
      </c>
      <c r="M924" s="568" t="s">
        <v>4315</v>
      </c>
      <c r="N924" s="568" t="s">
        <v>4316</v>
      </c>
      <c r="O924" s="568" t="s">
        <v>4317</v>
      </c>
      <c r="P924" s="14" t="s">
        <v>330</v>
      </c>
      <c r="Q924" s="486" t="s">
        <v>3113</v>
      </c>
      <c r="R924" s="14">
        <v>1.2</v>
      </c>
      <c r="S924" s="14">
        <f t="shared" si="817"/>
        <v>0.37440000000000001</v>
      </c>
      <c r="T924" s="487">
        <f>SUM(R920:R929)</f>
        <v>100.00000000000001</v>
      </c>
      <c r="U924" s="14">
        <f t="shared" si="938"/>
        <v>1.1999999999999997</v>
      </c>
      <c r="V924" s="220">
        <f>U924*100/SUM(U920,U922:U929)</f>
        <v>1.5463917525773194</v>
      </c>
      <c r="W924" s="14" t="s">
        <v>332</v>
      </c>
      <c r="X924" s="220">
        <f t="shared" si="986"/>
        <v>0.8041237113402061</v>
      </c>
      <c r="Y924" s="499">
        <f t="shared" ref="Y924:AA924" si="990">X924</f>
        <v>0.8041237113402061</v>
      </c>
      <c r="Z924" s="220">
        <f t="shared" si="990"/>
        <v>0.8041237113402061</v>
      </c>
      <c r="AA924" s="792">
        <f t="shared" si="990"/>
        <v>0.8041237113402061</v>
      </c>
      <c r="AB924" s="18" t="s">
        <v>332</v>
      </c>
      <c r="AC924" s="13" t="s">
        <v>18</v>
      </c>
      <c r="AD924" s="13" t="s">
        <v>3144</v>
      </c>
      <c r="AE924" s="12">
        <v>2.3E-3</v>
      </c>
      <c r="AF924" s="12">
        <v>4.7879999999999999E-2</v>
      </c>
      <c r="AG924" s="12">
        <v>9.9999999999999995E-7</v>
      </c>
      <c r="AH924" s="12">
        <v>4.4092488403675551E-4</v>
      </c>
    </row>
    <row r="925" spans="1:34" ht="12.75">
      <c r="A925" s="14" t="s">
        <v>4310</v>
      </c>
      <c r="B925" s="24" t="s">
        <v>2668</v>
      </c>
      <c r="C925" s="14" t="s">
        <v>2725</v>
      </c>
      <c r="D925" s="14" t="s">
        <v>2911</v>
      </c>
      <c r="E925" s="14" t="s">
        <v>4311</v>
      </c>
      <c r="F925" s="13">
        <v>54.24</v>
      </c>
      <c r="G925" s="14" t="s">
        <v>4312</v>
      </c>
      <c r="H925" s="567">
        <v>18363</v>
      </c>
      <c r="I925" s="655" t="s">
        <v>4313</v>
      </c>
      <c r="J925" s="14" t="s">
        <v>4314</v>
      </c>
      <c r="K925" s="478">
        <v>0.52</v>
      </c>
      <c r="L925" s="220">
        <v>31.2</v>
      </c>
      <c r="M925" s="568" t="s">
        <v>4315</v>
      </c>
      <c r="N925" s="568" t="s">
        <v>4316</v>
      </c>
      <c r="O925" s="568" t="s">
        <v>4317</v>
      </c>
      <c r="P925" s="655" t="s">
        <v>2977</v>
      </c>
      <c r="Q925" s="527" t="s">
        <v>2978</v>
      </c>
      <c r="R925" s="14">
        <v>0.3</v>
      </c>
      <c r="S925" s="14">
        <f t="shared" si="817"/>
        <v>9.3600000000000003E-2</v>
      </c>
      <c r="T925" s="487">
        <f>SUM(R920:R929)</f>
        <v>100.00000000000001</v>
      </c>
      <c r="U925" s="14">
        <f t="shared" si="938"/>
        <v>0.29999999999999993</v>
      </c>
      <c r="V925" s="220">
        <f>U925*100/SUM(U920,U922:U929)</f>
        <v>0.38659793814432986</v>
      </c>
      <c r="W925" s="14" t="s">
        <v>227</v>
      </c>
      <c r="X925" s="220">
        <f t="shared" si="986"/>
        <v>0.20103092783505153</v>
      </c>
      <c r="Y925" s="220">
        <f>SUM(X925,X930,X932)</f>
        <v>47.433030927835048</v>
      </c>
      <c r="Z925" s="220">
        <f>SUM(X925,X930)</f>
        <v>44.745030927835046</v>
      </c>
      <c r="AA925" s="792">
        <f>Z925</f>
        <v>44.745030927835046</v>
      </c>
      <c r="AB925" s="18" t="s">
        <v>2727</v>
      </c>
      <c r="AC925" s="13" t="s">
        <v>55</v>
      </c>
      <c r="AD925" s="13" t="s">
        <v>2979</v>
      </c>
      <c r="AE925" s="12">
        <v>3.1468479298981202E-3</v>
      </c>
      <c r="AF925" s="12">
        <v>0.16906375764329037</v>
      </c>
      <c r="AG925" s="12">
        <v>9.759036144578314E-5</v>
      </c>
      <c r="AH925" s="12">
        <v>7.171669800597832E-4</v>
      </c>
    </row>
    <row r="926" spans="1:34" ht="12.75">
      <c r="A926" s="14" t="s">
        <v>4310</v>
      </c>
      <c r="B926" s="24" t="s">
        <v>2668</v>
      </c>
      <c r="C926" s="14" t="s">
        <v>2725</v>
      </c>
      <c r="D926" s="14" t="s">
        <v>2911</v>
      </c>
      <c r="E926" s="14" t="s">
        <v>4311</v>
      </c>
      <c r="F926" s="13">
        <v>54.24</v>
      </c>
      <c r="G926" s="14" t="s">
        <v>4312</v>
      </c>
      <c r="H926" s="567">
        <v>18363</v>
      </c>
      <c r="I926" s="655" t="s">
        <v>4313</v>
      </c>
      <c r="J926" s="14" t="s">
        <v>4314</v>
      </c>
      <c r="K926" s="478">
        <v>0.52</v>
      </c>
      <c r="L926" s="220">
        <v>31.2</v>
      </c>
      <c r="M926" s="568" t="s">
        <v>4315</v>
      </c>
      <c r="N926" s="568" t="s">
        <v>4316</v>
      </c>
      <c r="O926" s="568" t="s">
        <v>4317</v>
      </c>
      <c r="P926" s="14" t="s">
        <v>83</v>
      </c>
      <c r="Q926" s="527" t="s">
        <v>3430</v>
      </c>
      <c r="R926" s="14">
        <v>2</v>
      </c>
      <c r="S926" s="14">
        <f t="shared" si="817"/>
        <v>0.624</v>
      </c>
      <c r="T926" s="487">
        <f>SUM(R920:R929)</f>
        <v>100.00000000000001</v>
      </c>
      <c r="U926" s="14">
        <f t="shared" si="938"/>
        <v>1.9999999999999998</v>
      </c>
      <c r="V926" s="220">
        <f>U926*100/SUM(U920,U922:U929)</f>
        <v>2.5773195876288657</v>
      </c>
      <c r="W926" s="14" t="s">
        <v>83</v>
      </c>
      <c r="X926" s="220">
        <f t="shared" si="986"/>
        <v>1.3402061855670102</v>
      </c>
      <c r="Y926" s="499">
        <f t="shared" ref="Y926:AA926" si="991">X926</f>
        <v>1.3402061855670102</v>
      </c>
      <c r="Z926" s="220">
        <f t="shared" si="991"/>
        <v>1.3402061855670102</v>
      </c>
      <c r="AA926" s="792">
        <f t="shared" si="991"/>
        <v>1.3402061855670102</v>
      </c>
      <c r="AB926" s="18" t="s">
        <v>83</v>
      </c>
      <c r="AC926" s="14" t="s">
        <v>83</v>
      </c>
      <c r="AD926" s="14" t="s">
        <v>2951</v>
      </c>
      <c r="AE926" s="12">
        <v>0</v>
      </c>
      <c r="AF926" s="12">
        <v>0</v>
      </c>
      <c r="AG926" s="12">
        <v>0</v>
      </c>
      <c r="AH926" s="12">
        <v>0</v>
      </c>
    </row>
    <row r="927" spans="1:34" ht="12.75">
      <c r="A927" s="14" t="s">
        <v>4310</v>
      </c>
      <c r="B927" s="24" t="s">
        <v>2668</v>
      </c>
      <c r="C927" s="14" t="s">
        <v>2725</v>
      </c>
      <c r="D927" s="14" t="s">
        <v>2911</v>
      </c>
      <c r="E927" s="14" t="s">
        <v>4311</v>
      </c>
      <c r="F927" s="13">
        <v>54.24</v>
      </c>
      <c r="G927" s="14" t="s">
        <v>4312</v>
      </c>
      <c r="H927" s="567">
        <v>18363</v>
      </c>
      <c r="I927" s="655" t="s">
        <v>4313</v>
      </c>
      <c r="J927" s="14" t="s">
        <v>4314</v>
      </c>
      <c r="K927" s="478">
        <v>0.52</v>
      </c>
      <c r="L927" s="220">
        <v>31.2</v>
      </c>
      <c r="M927" s="568" t="s">
        <v>4315</v>
      </c>
      <c r="N927" s="568" t="s">
        <v>4316</v>
      </c>
      <c r="O927" s="568" t="s">
        <v>4317</v>
      </c>
      <c r="P927" s="14" t="s">
        <v>2945</v>
      </c>
      <c r="Q927" s="435" t="s">
        <v>2946</v>
      </c>
      <c r="R927" s="14">
        <v>2</v>
      </c>
      <c r="S927" s="14">
        <f t="shared" si="817"/>
        <v>0.624</v>
      </c>
      <c r="T927" s="487">
        <f>SUM(R920:R929)</f>
        <v>100.00000000000001</v>
      </c>
      <c r="U927" s="14">
        <f t="shared" si="938"/>
        <v>1.9999999999999998</v>
      </c>
      <c r="V927" s="220">
        <f>U927*100/SUM(U920,U922:U929)</f>
        <v>2.5773195876288657</v>
      </c>
      <c r="W927" s="14" t="s">
        <v>433</v>
      </c>
      <c r="X927" s="220">
        <f t="shared" si="986"/>
        <v>1.3402061855670102</v>
      </c>
      <c r="Y927" s="220">
        <f>SUM(X927,X929)</f>
        <v>2.4793814432989691</v>
      </c>
      <c r="Z927" s="220">
        <f>X927</f>
        <v>1.3402061855670102</v>
      </c>
      <c r="AA927" s="792">
        <f>Z927</f>
        <v>1.3402061855670102</v>
      </c>
      <c r="AB927" s="18" t="s">
        <v>433</v>
      </c>
      <c r="AC927" s="13" t="s">
        <v>433</v>
      </c>
      <c r="AD927" s="13" t="s">
        <v>2947</v>
      </c>
      <c r="AE927" s="12">
        <v>3.0104466724907065E-4</v>
      </c>
      <c r="AF927" s="12">
        <v>1.2500000000000001E-2</v>
      </c>
      <c r="AG927" s="12">
        <v>5.1818181818181835E-4</v>
      </c>
      <c r="AH927" s="12">
        <v>4.0084080366977777E-4</v>
      </c>
    </row>
    <row r="928" spans="1:34" ht="12.75">
      <c r="A928" s="14" t="s">
        <v>4310</v>
      </c>
      <c r="B928" s="24" t="s">
        <v>2668</v>
      </c>
      <c r="C928" s="14" t="s">
        <v>2725</v>
      </c>
      <c r="D928" s="14" t="s">
        <v>2911</v>
      </c>
      <c r="E928" s="14" t="s">
        <v>4311</v>
      </c>
      <c r="F928" s="13">
        <v>54.24</v>
      </c>
      <c r="G928" s="14" t="s">
        <v>4312</v>
      </c>
      <c r="H928" s="567">
        <v>18363</v>
      </c>
      <c r="I928" s="655" t="s">
        <v>4313</v>
      </c>
      <c r="J928" s="14" t="s">
        <v>4314</v>
      </c>
      <c r="K928" s="478">
        <v>0.52</v>
      </c>
      <c r="L928" s="220">
        <v>31.2</v>
      </c>
      <c r="M928" s="568" t="s">
        <v>4315</v>
      </c>
      <c r="N928" s="568" t="s">
        <v>4316</v>
      </c>
      <c r="O928" s="568" t="s">
        <v>4317</v>
      </c>
      <c r="P928" s="14" t="s">
        <v>86</v>
      </c>
      <c r="Q928" s="14" t="s">
        <v>3442</v>
      </c>
      <c r="R928" s="14">
        <v>2</v>
      </c>
      <c r="S928" s="14">
        <f t="shared" si="817"/>
        <v>0.624</v>
      </c>
      <c r="T928" s="487">
        <f>SUM(R920:R929)</f>
        <v>100.00000000000001</v>
      </c>
      <c r="U928" s="14">
        <f t="shared" si="938"/>
        <v>1.9999999999999998</v>
      </c>
      <c r="V928" s="220">
        <f>U928*100/SUM(U920,U922:U929)</f>
        <v>2.5773195876288657</v>
      </c>
      <c r="W928" s="14" t="s">
        <v>86</v>
      </c>
      <c r="X928" s="220">
        <f t="shared" si="986"/>
        <v>1.3402061855670102</v>
      </c>
      <c r="Y928" s="499">
        <f t="shared" ref="Y928:AA928" si="992">X928</f>
        <v>1.3402061855670102</v>
      </c>
      <c r="Z928" s="220">
        <f t="shared" si="992"/>
        <v>1.3402061855670102</v>
      </c>
      <c r="AA928" s="792">
        <f t="shared" si="992"/>
        <v>1.3402061855670102</v>
      </c>
      <c r="AB928" s="18" t="s">
        <v>86</v>
      </c>
      <c r="AC928" s="13" t="s">
        <v>18</v>
      </c>
      <c r="AD928" s="13" t="s">
        <v>18</v>
      </c>
      <c r="AE928" s="12">
        <v>0</v>
      </c>
      <c r="AF928" s="12">
        <v>0</v>
      </c>
      <c r="AG928" s="12">
        <v>0</v>
      </c>
      <c r="AH928" s="12">
        <v>0</v>
      </c>
    </row>
    <row r="929" spans="1:34" ht="12.75">
      <c r="A929" s="14" t="s">
        <v>4310</v>
      </c>
      <c r="B929" s="24" t="s">
        <v>2668</v>
      </c>
      <c r="C929" s="14" t="s">
        <v>2725</v>
      </c>
      <c r="D929" s="14" t="s">
        <v>2911</v>
      </c>
      <c r="E929" s="14" t="s">
        <v>4311</v>
      </c>
      <c r="F929" s="13">
        <v>54.24</v>
      </c>
      <c r="G929" s="14" t="s">
        <v>4312</v>
      </c>
      <c r="H929" s="567">
        <v>18363</v>
      </c>
      <c r="I929" s="848" t="s">
        <v>4313</v>
      </c>
      <c r="J929" s="135" t="s">
        <v>4314</v>
      </c>
      <c r="K929" s="475">
        <v>0.52</v>
      </c>
      <c r="L929" s="476">
        <v>31.2</v>
      </c>
      <c r="M929" s="570" t="s">
        <v>4315</v>
      </c>
      <c r="N929" s="570" t="s">
        <v>4316</v>
      </c>
      <c r="O929" s="570" t="s">
        <v>4317</v>
      </c>
      <c r="P929" s="135" t="s">
        <v>432</v>
      </c>
      <c r="Q929" s="495" t="s">
        <v>3028</v>
      </c>
      <c r="R929" s="135">
        <v>1.7</v>
      </c>
      <c r="S929" s="135">
        <f t="shared" si="817"/>
        <v>0.53039999999999998</v>
      </c>
      <c r="T929" s="476">
        <f>SUM(R920:R929)</f>
        <v>100.00000000000001</v>
      </c>
      <c r="U929" s="135">
        <f t="shared" si="938"/>
        <v>1.6999999999999997</v>
      </c>
      <c r="V929" s="476">
        <f>U929*100/SUM(U920,U922:U929)</f>
        <v>2.1907216494845358</v>
      </c>
      <c r="W929" s="135" t="s">
        <v>432</v>
      </c>
      <c r="X929" s="220">
        <f t="shared" si="986"/>
        <v>1.1391752577319587</v>
      </c>
      <c r="Y929" s="220" t="s">
        <v>1666</v>
      </c>
      <c r="Z929" s="220">
        <f>X929</f>
        <v>1.1391752577319587</v>
      </c>
      <c r="AA929" s="792">
        <f t="shared" ref="AA929:AA932" si="993">Z929</f>
        <v>1.1391752577319587</v>
      </c>
      <c r="AB929" s="18" t="s">
        <v>432</v>
      </c>
      <c r="AC929" s="13" t="s">
        <v>4103</v>
      </c>
      <c r="AD929" s="13" t="s">
        <v>4104</v>
      </c>
      <c r="AE929" s="12">
        <v>2.2558902713754649E-4</v>
      </c>
      <c r="AF929" s="12">
        <v>9.3669250645994837E-3</v>
      </c>
      <c r="AG929" s="12">
        <v>3.8830162085976054E-4</v>
      </c>
      <c r="AH929" s="12">
        <v>3.0037166166469137E-4</v>
      </c>
    </row>
    <row r="930" spans="1:34" ht="12.75">
      <c r="A930" s="14" t="s">
        <v>4310</v>
      </c>
      <c r="B930" s="24" t="s">
        <v>2668</v>
      </c>
      <c r="C930" s="14" t="s">
        <v>2725</v>
      </c>
      <c r="D930" s="14" t="s">
        <v>2911</v>
      </c>
      <c r="E930" s="14" t="s">
        <v>4311</v>
      </c>
      <c r="F930" s="13">
        <v>54.24</v>
      </c>
      <c r="G930" s="14" t="s">
        <v>4312</v>
      </c>
      <c r="H930" s="567">
        <v>18363</v>
      </c>
      <c r="I930" s="14" t="s">
        <v>4311</v>
      </c>
      <c r="J930" s="14" t="s">
        <v>4322</v>
      </c>
      <c r="K930" s="478">
        <v>0.48</v>
      </c>
      <c r="L930" s="220">
        <v>23.04</v>
      </c>
      <c r="M930" s="568" t="s">
        <v>4323</v>
      </c>
      <c r="N930" s="568" t="s">
        <v>4324</v>
      </c>
      <c r="O930" s="568" t="s">
        <v>4317</v>
      </c>
      <c r="P930" s="14" t="s">
        <v>4035</v>
      </c>
      <c r="Q930" s="553" t="s">
        <v>4036</v>
      </c>
      <c r="R930" s="14">
        <v>58</v>
      </c>
      <c r="S930" s="14">
        <f t="shared" si="817"/>
        <v>13.363199999999999</v>
      </c>
      <c r="T930" s="487">
        <f>SUM(R930:R933)</f>
        <v>100</v>
      </c>
      <c r="U930" s="14">
        <f t="shared" si="938"/>
        <v>58</v>
      </c>
      <c r="V930" s="220">
        <f>U930*100/SUM(U930,U932:U933)</f>
        <v>92.8</v>
      </c>
      <c r="W930" s="14" t="s">
        <v>222</v>
      </c>
      <c r="X930" s="220">
        <f t="shared" si="986"/>
        <v>44.543999999999997</v>
      </c>
      <c r="Y930" s="220" t="s">
        <v>1666</v>
      </c>
      <c r="Z930" s="220" t="s">
        <v>1666</v>
      </c>
      <c r="AA930" s="792" t="str">
        <f t="shared" si="993"/>
        <v>*</v>
      </c>
      <c r="AB930" s="458" t="str">
        <f t="shared" ref="AB930:AH930" si="994">AA930</f>
        <v>*</v>
      </c>
      <c r="AC930" s="497" t="str">
        <f t="shared" si="994"/>
        <v>*</v>
      </c>
      <c r="AD930" s="497" t="str">
        <f t="shared" si="994"/>
        <v>*</v>
      </c>
      <c r="AE930" s="454" t="str">
        <f t="shared" si="994"/>
        <v>*</v>
      </c>
      <c r="AF930" s="454" t="str">
        <f t="shared" si="994"/>
        <v>*</v>
      </c>
      <c r="AG930" s="454" t="str">
        <f t="shared" si="994"/>
        <v>*</v>
      </c>
      <c r="AH930" s="454" t="str">
        <f t="shared" si="994"/>
        <v>*</v>
      </c>
    </row>
    <row r="931" spans="1:34" ht="12.75">
      <c r="A931" s="14" t="s">
        <v>4310</v>
      </c>
      <c r="B931" s="24" t="s">
        <v>2668</v>
      </c>
      <c r="C931" s="14" t="s">
        <v>2725</v>
      </c>
      <c r="D931" s="14" t="s">
        <v>2911</v>
      </c>
      <c r="E931" s="14" t="s">
        <v>4311</v>
      </c>
      <c r="F931" s="13">
        <v>54.24</v>
      </c>
      <c r="G931" s="14" t="s">
        <v>4312</v>
      </c>
      <c r="H931" s="567">
        <v>18363</v>
      </c>
      <c r="I931" s="14" t="s">
        <v>4311</v>
      </c>
      <c r="J931" s="14" t="s">
        <v>4322</v>
      </c>
      <c r="K931" s="478">
        <v>0.48</v>
      </c>
      <c r="L931" s="220">
        <v>23.04</v>
      </c>
      <c r="M931" s="568" t="s">
        <v>4323</v>
      </c>
      <c r="N931" s="568" t="s">
        <v>4324</v>
      </c>
      <c r="O931" s="568" t="s">
        <v>4317</v>
      </c>
      <c r="P931" s="14" t="s">
        <v>2938</v>
      </c>
      <c r="Q931" s="435" t="s">
        <v>2939</v>
      </c>
      <c r="R931" s="14">
        <v>37.5</v>
      </c>
      <c r="S931" s="14">
        <f t="shared" si="817"/>
        <v>8.64</v>
      </c>
      <c r="T931" s="487">
        <f>SUM(R930:R933)</f>
        <v>100</v>
      </c>
      <c r="U931" s="14">
        <f t="shared" si="938"/>
        <v>37.5</v>
      </c>
      <c r="V931" s="481">
        <f>U931</f>
        <v>37.5</v>
      </c>
      <c r="W931" s="482" t="s">
        <v>72</v>
      </c>
      <c r="X931" s="481">
        <f t="shared" si="986"/>
        <v>18</v>
      </c>
      <c r="Y931" s="220" t="s">
        <v>1666</v>
      </c>
      <c r="Z931" s="220" t="s">
        <v>1666</v>
      </c>
      <c r="AA931" s="792" t="str">
        <f t="shared" si="993"/>
        <v>*</v>
      </c>
      <c r="AB931" s="458" t="str">
        <f t="shared" ref="AB931:AH931" si="995">AA931</f>
        <v>*</v>
      </c>
      <c r="AC931" s="497" t="str">
        <f t="shared" si="995"/>
        <v>*</v>
      </c>
      <c r="AD931" s="497" t="str">
        <f t="shared" si="995"/>
        <v>*</v>
      </c>
      <c r="AE931" s="454" t="str">
        <f t="shared" si="995"/>
        <v>*</v>
      </c>
      <c r="AF931" s="454" t="str">
        <f t="shared" si="995"/>
        <v>*</v>
      </c>
      <c r="AG931" s="454" t="str">
        <f t="shared" si="995"/>
        <v>*</v>
      </c>
      <c r="AH931" s="454" t="str">
        <f t="shared" si="995"/>
        <v>*</v>
      </c>
    </row>
    <row r="932" spans="1:34" ht="12.75">
      <c r="A932" s="14" t="s">
        <v>4310</v>
      </c>
      <c r="B932" s="24" t="s">
        <v>2668</v>
      </c>
      <c r="C932" s="14" t="s">
        <v>2725</v>
      </c>
      <c r="D932" s="14" t="s">
        <v>2911</v>
      </c>
      <c r="E932" s="14" t="s">
        <v>4311</v>
      </c>
      <c r="F932" s="13">
        <v>54.24</v>
      </c>
      <c r="G932" s="14" t="s">
        <v>4312</v>
      </c>
      <c r="H932" s="567">
        <v>18363</v>
      </c>
      <c r="I932" s="14" t="s">
        <v>4311</v>
      </c>
      <c r="J932" s="14" t="s">
        <v>4322</v>
      </c>
      <c r="K932" s="478">
        <v>0.48</v>
      </c>
      <c r="L932" s="220">
        <v>23.04</v>
      </c>
      <c r="M932" s="568" t="s">
        <v>4323</v>
      </c>
      <c r="N932" s="568" t="s">
        <v>4324</v>
      </c>
      <c r="O932" s="568" t="s">
        <v>4317</v>
      </c>
      <c r="P932" s="655" t="s">
        <v>4232</v>
      </c>
      <c r="Q932" s="486" t="s">
        <v>4325</v>
      </c>
      <c r="R932" s="14">
        <v>3.5</v>
      </c>
      <c r="S932" s="14">
        <f t="shared" si="817"/>
        <v>0.80640000000000001</v>
      </c>
      <c r="T932" s="487">
        <f>SUM(R930:R933)</f>
        <v>100</v>
      </c>
      <c r="U932" s="14">
        <f t="shared" si="938"/>
        <v>3.5</v>
      </c>
      <c r="V932" s="220">
        <f>U932*100/SUM(U930,U932:U933)</f>
        <v>5.6</v>
      </c>
      <c r="W932" s="14" t="s">
        <v>4234</v>
      </c>
      <c r="X932" s="220">
        <f t="shared" si="986"/>
        <v>2.6879999999999997</v>
      </c>
      <c r="Y932" s="220" t="s">
        <v>1666</v>
      </c>
      <c r="Z932" s="220">
        <f>X932</f>
        <v>2.6879999999999997</v>
      </c>
      <c r="AA932" s="792">
        <f t="shared" si="993"/>
        <v>2.6879999999999997</v>
      </c>
      <c r="AB932" s="18" t="s">
        <v>2525</v>
      </c>
      <c r="AC932" s="13" t="s">
        <v>2964</v>
      </c>
      <c r="AD932" s="13" t="s">
        <v>2965</v>
      </c>
      <c r="AE932" s="12">
        <v>3.8102374934982654E-3</v>
      </c>
      <c r="AF932" s="12">
        <v>0.20470422547079484</v>
      </c>
      <c r="AG932" s="12">
        <v>1.210810810810811E-4</v>
      </c>
      <c r="AH932" s="12">
        <v>1.0002400855855065E-3</v>
      </c>
    </row>
    <row r="933" spans="1:34" ht="12.75">
      <c r="A933" s="617" t="s">
        <v>4310</v>
      </c>
      <c r="B933" s="794" t="s">
        <v>2668</v>
      </c>
      <c r="C933" s="617" t="s">
        <v>2725</v>
      </c>
      <c r="D933" s="617" t="s">
        <v>2911</v>
      </c>
      <c r="E933" s="617" t="s">
        <v>4311</v>
      </c>
      <c r="F933" s="799">
        <v>54.24</v>
      </c>
      <c r="G933" s="617" t="s">
        <v>4312</v>
      </c>
      <c r="H933" s="910">
        <v>18363</v>
      </c>
      <c r="I933" s="617" t="s">
        <v>4311</v>
      </c>
      <c r="J933" s="617" t="s">
        <v>4322</v>
      </c>
      <c r="K933" s="838">
        <v>0.48</v>
      </c>
      <c r="L933" s="725">
        <v>23.04</v>
      </c>
      <c r="M933" s="911" t="s">
        <v>4323</v>
      </c>
      <c r="N933" s="911" t="s">
        <v>4324</v>
      </c>
      <c r="O933" s="911" t="s">
        <v>4317</v>
      </c>
      <c r="P933" s="617" t="s">
        <v>3041</v>
      </c>
      <c r="Q933" s="856" t="s">
        <v>3089</v>
      </c>
      <c r="R933" s="617">
        <v>1</v>
      </c>
      <c r="S933" s="617">
        <f t="shared" si="817"/>
        <v>0.23039999999999999</v>
      </c>
      <c r="T933" s="725">
        <f>SUM(R930:R933)</f>
        <v>100</v>
      </c>
      <c r="U933" s="617">
        <f t="shared" si="938"/>
        <v>1</v>
      </c>
      <c r="V933" s="725">
        <f>U933*100/SUM(U930,U932:U933)</f>
        <v>1.6</v>
      </c>
      <c r="W933" s="617" t="s">
        <v>81</v>
      </c>
      <c r="X933" s="725">
        <f t="shared" si="986"/>
        <v>0.76800000000000002</v>
      </c>
      <c r="Y933" s="862">
        <f t="shared" ref="Y933:AA933" si="996">X933</f>
        <v>0.76800000000000002</v>
      </c>
      <c r="Z933" s="725">
        <f t="shared" si="996"/>
        <v>0.76800000000000002</v>
      </c>
      <c r="AA933" s="455">
        <f t="shared" si="996"/>
        <v>0.76800000000000002</v>
      </c>
      <c r="AB933" s="793" t="s">
        <v>81</v>
      </c>
      <c r="AC933" s="799" t="s">
        <v>18</v>
      </c>
      <c r="AD933" s="799" t="s">
        <v>18</v>
      </c>
      <c r="AE933" s="635">
        <v>1.9912385503783353E-2</v>
      </c>
      <c r="AF933" s="635">
        <v>5.6949422540820388E-2</v>
      </c>
      <c r="AG933" s="635">
        <v>3.8829151732377542E-3</v>
      </c>
      <c r="AH933" s="635">
        <v>5.6321186778176026E-3</v>
      </c>
    </row>
    <row r="934" spans="1:34" ht="14.25">
      <c r="A934" s="14" t="s">
        <v>4326</v>
      </c>
      <c r="B934" s="24" t="s">
        <v>2668</v>
      </c>
      <c r="C934" s="14" t="s">
        <v>2728</v>
      </c>
      <c r="D934" s="14" t="s">
        <v>2911</v>
      </c>
      <c r="E934" s="14" t="s">
        <v>4327</v>
      </c>
      <c r="F934" s="13">
        <v>170</v>
      </c>
      <c r="G934" s="14" t="s">
        <v>3164</v>
      </c>
      <c r="H934" s="567" t="s">
        <v>2973</v>
      </c>
      <c r="I934" s="14" t="s">
        <v>4327</v>
      </c>
      <c r="J934" s="14" t="s">
        <v>4328</v>
      </c>
      <c r="K934" s="478">
        <v>0.78</v>
      </c>
      <c r="L934" s="220">
        <v>132.6</v>
      </c>
      <c r="M934" s="568" t="s">
        <v>4329</v>
      </c>
      <c r="N934" s="479" t="s">
        <v>2937</v>
      </c>
      <c r="O934" s="569" t="s">
        <v>2976</v>
      </c>
      <c r="P934" s="14" t="s">
        <v>3521</v>
      </c>
      <c r="Q934" s="435" t="s">
        <v>4330</v>
      </c>
      <c r="R934" s="14">
        <v>170</v>
      </c>
      <c r="S934" s="14">
        <f t="shared" si="817"/>
        <v>225.42</v>
      </c>
      <c r="T934" s="487">
        <f>SUM(R934:R939)</f>
        <v>184.95</v>
      </c>
      <c r="U934">
        <f t="shared" si="938"/>
        <v>91.916734252500675</v>
      </c>
      <c r="V934" s="220"/>
      <c r="W934" s="14" t="s">
        <v>4331</v>
      </c>
      <c r="X934">
        <f t="shared" ref="X934:X950" si="997">U934*K934</f>
        <v>71.695052716950528</v>
      </c>
      <c r="Y934" s="220">
        <f>SUM(X934,X940)</f>
        <v>91.742596298567008</v>
      </c>
      <c r="Z934" s="220">
        <f t="shared" ref="Z934:AA934" si="998">Y934</f>
        <v>91.742596298567008</v>
      </c>
      <c r="AA934" s="792">
        <f t="shared" si="998"/>
        <v>91.742596298567008</v>
      </c>
      <c r="AB934" s="18" t="s">
        <v>2596</v>
      </c>
      <c r="AC934" s="13" t="s">
        <v>3524</v>
      </c>
      <c r="AD934" s="13" t="s">
        <v>3525</v>
      </c>
      <c r="AE934" s="12">
        <v>5.5636766460262456E-4</v>
      </c>
      <c r="AF934" s="12">
        <v>1.354456626711356E-2</v>
      </c>
      <c r="AG934" s="12">
        <v>7.0283975659229207E-5</v>
      </c>
      <c r="AH934" s="12">
        <v>7.0431572008113595E-4</v>
      </c>
    </row>
    <row r="935" spans="1:34" ht="14.25">
      <c r="A935" s="14" t="s">
        <v>4326</v>
      </c>
      <c r="B935" s="24" t="s">
        <v>2668</v>
      </c>
      <c r="C935" s="14" t="s">
        <v>2728</v>
      </c>
      <c r="D935" s="14" t="s">
        <v>2911</v>
      </c>
      <c r="E935" s="14" t="s">
        <v>4327</v>
      </c>
      <c r="F935" s="13">
        <v>170</v>
      </c>
      <c r="G935" s="14" t="s">
        <v>3164</v>
      </c>
      <c r="H935" s="567" t="s">
        <v>2973</v>
      </c>
      <c r="I935" s="14" t="s">
        <v>4327</v>
      </c>
      <c r="J935" s="14" t="s">
        <v>4328</v>
      </c>
      <c r="K935" s="478">
        <v>0.78</v>
      </c>
      <c r="L935" s="220">
        <v>132.6</v>
      </c>
      <c r="M935" s="568" t="s">
        <v>4329</v>
      </c>
      <c r="N935" s="479" t="s">
        <v>2937</v>
      </c>
      <c r="O935" s="569" t="s">
        <v>2976</v>
      </c>
      <c r="P935" s="14" t="s">
        <v>3021</v>
      </c>
      <c r="Q935" s="486" t="s">
        <v>3022</v>
      </c>
      <c r="R935" s="14">
        <v>7.25</v>
      </c>
      <c r="S935" s="14">
        <f t="shared" si="817"/>
        <v>9.6134999999999984</v>
      </c>
      <c r="T935" s="487">
        <f>SUM(R934:R939)</f>
        <v>184.95</v>
      </c>
      <c r="U935">
        <f t="shared" si="938"/>
        <v>3.9199783725331172</v>
      </c>
      <c r="V935" s="220"/>
      <c r="W935" s="14" t="s">
        <v>346</v>
      </c>
      <c r="X935">
        <f t="shared" si="997"/>
        <v>3.0575831305758316</v>
      </c>
      <c r="Y935" s="220">
        <f>SUM(X935,X937,X941,X943)</f>
        <v>4.9458730654492218</v>
      </c>
      <c r="Z935" s="220">
        <f>SUM(X935,X937,X941,X943)</f>
        <v>4.9458730654492218</v>
      </c>
      <c r="AA935" s="792">
        <f>Z935</f>
        <v>4.9458730654492218</v>
      </c>
      <c r="AB935" s="18" t="s">
        <v>2729</v>
      </c>
      <c r="AC935" s="13" t="s">
        <v>2982</v>
      </c>
      <c r="AD935" s="13" t="s">
        <v>2983</v>
      </c>
      <c r="AE935" s="12">
        <v>2.9691872042618299E-2</v>
      </c>
      <c r="AF935" s="12">
        <v>7.5368545517799299E-2</v>
      </c>
      <c r="AG935" s="12">
        <v>2.9014018691588786E-4</v>
      </c>
      <c r="AH935" s="12">
        <v>1.4770983615231311E-3</v>
      </c>
    </row>
    <row r="936" spans="1:34" ht="14.25">
      <c r="A936" s="14" t="s">
        <v>4326</v>
      </c>
      <c r="B936" s="24" t="s">
        <v>2668</v>
      </c>
      <c r="C936" s="14" t="s">
        <v>2728</v>
      </c>
      <c r="D936" s="14" t="s">
        <v>2911</v>
      </c>
      <c r="E936" s="14" t="s">
        <v>4327</v>
      </c>
      <c r="F936" s="13">
        <v>170</v>
      </c>
      <c r="G936" s="14" t="s">
        <v>3164</v>
      </c>
      <c r="H936" s="567" t="s">
        <v>2973</v>
      </c>
      <c r="I936" s="14" t="s">
        <v>4327</v>
      </c>
      <c r="J936" s="14" t="s">
        <v>4328</v>
      </c>
      <c r="K936" s="478">
        <v>0.78</v>
      </c>
      <c r="L936" s="220">
        <v>132.6</v>
      </c>
      <c r="M936" s="568" t="s">
        <v>4329</v>
      </c>
      <c r="N936" s="479" t="s">
        <v>2937</v>
      </c>
      <c r="O936" s="569" t="s">
        <v>4332</v>
      </c>
      <c r="P936" s="14" t="s">
        <v>1376</v>
      </c>
      <c r="Q936" s="486" t="s">
        <v>3114</v>
      </c>
      <c r="R936" s="14">
        <v>3</v>
      </c>
      <c r="S936" s="14">
        <f t="shared" si="817"/>
        <v>3.9779999999999998</v>
      </c>
      <c r="T936" s="487">
        <f>SUM(R934:R939)</f>
        <v>184.95</v>
      </c>
      <c r="U936">
        <f t="shared" si="938"/>
        <v>1.6220600162206003</v>
      </c>
      <c r="V936" s="220"/>
      <c r="W936" s="14" t="s">
        <v>340</v>
      </c>
      <c r="X936">
        <f t="shared" si="997"/>
        <v>1.2652068126520681</v>
      </c>
      <c r="Y936" s="499">
        <f>X936+X944</f>
        <v>1.4918312183572979</v>
      </c>
      <c r="Z936" s="220">
        <f t="shared" ref="Z936:AA936" si="999">Y936</f>
        <v>1.4918312183572979</v>
      </c>
      <c r="AA936" s="792">
        <f t="shared" si="999"/>
        <v>1.4918312183572979</v>
      </c>
      <c r="AB936" s="18" t="s">
        <v>340</v>
      </c>
      <c r="AC936" s="13" t="s">
        <v>3115</v>
      </c>
      <c r="AD936" s="13" t="s">
        <v>3116</v>
      </c>
      <c r="AE936" s="12">
        <v>2.1708241661196198E-2</v>
      </c>
      <c r="AF936" s="12">
        <v>0.36572952458380198</v>
      </c>
      <c r="AG936" s="12">
        <v>4.6350652173913045E-4</v>
      </c>
      <c r="AH936" s="12">
        <v>1.6975608035415088E-3</v>
      </c>
    </row>
    <row r="937" spans="1:34" ht="14.25">
      <c r="A937" s="14" t="s">
        <v>4326</v>
      </c>
      <c r="B937" s="24" t="s">
        <v>2668</v>
      </c>
      <c r="C937" s="14" t="s">
        <v>2728</v>
      </c>
      <c r="D937" s="14" t="s">
        <v>2911</v>
      </c>
      <c r="E937" s="14" t="s">
        <v>4327</v>
      </c>
      <c r="F937" s="13">
        <v>170</v>
      </c>
      <c r="G937" s="14" t="s">
        <v>3164</v>
      </c>
      <c r="H937" s="567" t="s">
        <v>2973</v>
      </c>
      <c r="I937" s="14" t="s">
        <v>4327</v>
      </c>
      <c r="J937" s="14" t="s">
        <v>4328</v>
      </c>
      <c r="K937" s="478">
        <v>0.78</v>
      </c>
      <c r="L937" s="220">
        <v>132.6</v>
      </c>
      <c r="M937" s="568" t="s">
        <v>4329</v>
      </c>
      <c r="N937" s="479" t="s">
        <v>2937</v>
      </c>
      <c r="O937" s="569" t="s">
        <v>2976</v>
      </c>
      <c r="P937" s="655" t="s">
        <v>2987</v>
      </c>
      <c r="Q937" s="486" t="s">
        <v>2981</v>
      </c>
      <c r="R937" s="14">
        <v>2.7</v>
      </c>
      <c r="S937" s="14">
        <f t="shared" si="817"/>
        <v>3.5802</v>
      </c>
      <c r="T937" s="487">
        <f>SUM(R934:R939)</f>
        <v>184.95</v>
      </c>
      <c r="U937">
        <f t="shared" si="938"/>
        <v>1.4598540145985401</v>
      </c>
      <c r="V937" s="220"/>
      <c r="W937" s="14" t="s">
        <v>349</v>
      </c>
      <c r="X937">
        <f t="shared" si="997"/>
        <v>1.1386861313868613</v>
      </c>
      <c r="Y937" s="220" t="s">
        <v>1666</v>
      </c>
      <c r="Z937" s="220"/>
      <c r="AA937" s="792" t="s">
        <v>1666</v>
      </c>
      <c r="AB937" s="18" t="s">
        <v>1666</v>
      </c>
      <c r="AC937" s="13" t="str">
        <f t="shared" ref="AC937:AH937" si="1000">AB937</f>
        <v>*</v>
      </c>
      <c r="AD937" s="13" t="str">
        <f t="shared" si="1000"/>
        <v>*</v>
      </c>
      <c r="AE937" s="454" t="str">
        <f t="shared" si="1000"/>
        <v>*</v>
      </c>
      <c r="AF937" s="454" t="str">
        <f t="shared" si="1000"/>
        <v>*</v>
      </c>
      <c r="AG937" s="454" t="str">
        <f t="shared" si="1000"/>
        <v>*</v>
      </c>
      <c r="AH937" s="454" t="str">
        <f t="shared" si="1000"/>
        <v>*</v>
      </c>
    </row>
    <row r="938" spans="1:34" ht="14.25">
      <c r="A938" s="14" t="s">
        <v>4326</v>
      </c>
      <c r="B938" s="24" t="s">
        <v>2668</v>
      </c>
      <c r="C938" s="14" t="s">
        <v>2728</v>
      </c>
      <c r="D938" s="14" t="s">
        <v>2911</v>
      </c>
      <c r="E938" s="14" t="s">
        <v>4327</v>
      </c>
      <c r="F938" s="13">
        <v>170</v>
      </c>
      <c r="G938" s="14" t="s">
        <v>3164</v>
      </c>
      <c r="H938" s="567" t="s">
        <v>2973</v>
      </c>
      <c r="I938" s="14" t="s">
        <v>4327</v>
      </c>
      <c r="J938" s="14" t="s">
        <v>4328</v>
      </c>
      <c r="K938" s="478">
        <v>0.78</v>
      </c>
      <c r="L938" s="220">
        <v>132.6</v>
      </c>
      <c r="M938" s="568" t="s">
        <v>4329</v>
      </c>
      <c r="N938" s="479" t="s">
        <v>2937</v>
      </c>
      <c r="O938" s="569" t="s">
        <v>2976</v>
      </c>
      <c r="P938" s="14" t="s">
        <v>3508</v>
      </c>
      <c r="Q938" s="486" t="s">
        <v>3509</v>
      </c>
      <c r="R938" s="14">
        <v>1</v>
      </c>
      <c r="S938" s="14">
        <f t="shared" si="817"/>
        <v>1.3260000000000001</v>
      </c>
      <c r="T938" s="487">
        <f>SUM(R934:R939)</f>
        <v>184.95</v>
      </c>
      <c r="U938">
        <f t="shared" si="938"/>
        <v>0.54068667207353338</v>
      </c>
      <c r="V938" s="220"/>
      <c r="W938" s="14" t="s">
        <v>321</v>
      </c>
      <c r="X938">
        <f t="shared" si="997"/>
        <v>0.42173560421735606</v>
      </c>
      <c r="Y938" s="499">
        <f>SUM(X938,X948)</f>
        <v>0.59606207014445589</v>
      </c>
      <c r="Z938" s="220">
        <f>X938</f>
        <v>0.42173560421735606</v>
      </c>
      <c r="AA938" s="792">
        <f>Z938</f>
        <v>0.42173560421735606</v>
      </c>
      <c r="AB938" s="18" t="s">
        <v>321</v>
      </c>
      <c r="AC938" s="13" t="s">
        <v>3510</v>
      </c>
      <c r="AD938" s="13" t="s">
        <v>18</v>
      </c>
      <c r="AE938" s="12">
        <v>5.2419900086202897E-2</v>
      </c>
      <c r="AF938" s="12">
        <v>2.8162483479607547</v>
      </c>
      <c r="AG938" s="12">
        <v>1.6256511627906977E-3</v>
      </c>
      <c r="AH938" s="12">
        <v>1.194650084062842E-2</v>
      </c>
    </row>
    <row r="939" spans="1:34" ht="14.25">
      <c r="A939" s="14" t="s">
        <v>4326</v>
      </c>
      <c r="B939" s="24" t="s">
        <v>2668</v>
      </c>
      <c r="C939" s="14" t="s">
        <v>2728</v>
      </c>
      <c r="D939" s="14" t="s">
        <v>2911</v>
      </c>
      <c r="E939" s="14" t="s">
        <v>4327</v>
      </c>
      <c r="F939" s="13">
        <v>170</v>
      </c>
      <c r="G939" s="14" t="s">
        <v>3164</v>
      </c>
      <c r="H939" s="567" t="s">
        <v>2973</v>
      </c>
      <c r="I939" s="135" t="s">
        <v>4327</v>
      </c>
      <c r="J939" s="135" t="s">
        <v>4328</v>
      </c>
      <c r="K939" s="475">
        <v>0.78</v>
      </c>
      <c r="L939" s="476">
        <v>132.6</v>
      </c>
      <c r="M939" s="570" t="s">
        <v>4329</v>
      </c>
      <c r="N939" s="493" t="s">
        <v>2937</v>
      </c>
      <c r="O939" s="571" t="s">
        <v>2976</v>
      </c>
      <c r="P939" s="135" t="s">
        <v>330</v>
      </c>
      <c r="Q939" s="495" t="s">
        <v>3113</v>
      </c>
      <c r="R939" s="135">
        <v>1</v>
      </c>
      <c r="S939" s="135">
        <f t="shared" si="817"/>
        <v>1.3260000000000001</v>
      </c>
      <c r="T939" s="853">
        <f>SUM(R934:R939)</f>
        <v>184.95</v>
      </c>
      <c r="U939" s="135">
        <f t="shared" si="938"/>
        <v>0.54068667207353338</v>
      </c>
      <c r="V939" s="476"/>
      <c r="W939" s="135" t="s">
        <v>332</v>
      </c>
      <c r="X939">
        <f t="shared" si="997"/>
        <v>0.42173560421735606</v>
      </c>
      <c r="Y939" s="499">
        <f t="shared" ref="Y939:AA939" si="1001">X939</f>
        <v>0.42173560421735606</v>
      </c>
      <c r="Z939" s="220">
        <f t="shared" si="1001"/>
        <v>0.42173560421735606</v>
      </c>
      <c r="AA939" s="792">
        <f t="shared" si="1001"/>
        <v>0.42173560421735606</v>
      </c>
      <c r="AB939" s="18" t="s">
        <v>332</v>
      </c>
      <c r="AC939" s="13" t="s">
        <v>18</v>
      </c>
      <c r="AD939" s="13" t="s">
        <v>3144</v>
      </c>
      <c r="AE939" s="12">
        <v>2.3E-3</v>
      </c>
      <c r="AF939" s="12">
        <v>4.7879999999999999E-2</v>
      </c>
      <c r="AG939" s="12">
        <v>9.9999999999999995E-7</v>
      </c>
      <c r="AH939" s="12">
        <v>4.4092488403675551E-4</v>
      </c>
    </row>
    <row r="940" spans="1:34" ht="14.25">
      <c r="A940" s="14" t="s">
        <v>4326</v>
      </c>
      <c r="B940" s="24" t="s">
        <v>2668</v>
      </c>
      <c r="C940" s="14" t="s">
        <v>2728</v>
      </c>
      <c r="D940" s="14" t="s">
        <v>2911</v>
      </c>
      <c r="E940" s="14" t="s">
        <v>4327</v>
      </c>
      <c r="F940" s="13">
        <v>170</v>
      </c>
      <c r="G940" s="14" t="s">
        <v>3164</v>
      </c>
      <c r="H940" s="567" t="s">
        <v>2973</v>
      </c>
      <c r="I940" s="14" t="s">
        <v>4333</v>
      </c>
      <c r="J940" s="14" t="s">
        <v>4334</v>
      </c>
      <c r="K940" s="478">
        <v>0.22</v>
      </c>
      <c r="L940" s="220">
        <v>37.4</v>
      </c>
      <c r="M940" s="573" t="s">
        <v>4335</v>
      </c>
      <c r="N940" s="479" t="s">
        <v>2937</v>
      </c>
      <c r="O940" s="569" t="s">
        <v>2976</v>
      </c>
      <c r="P940" s="14" t="s">
        <v>3521</v>
      </c>
      <c r="Q940" s="435" t="s">
        <v>4330</v>
      </c>
      <c r="R940" s="14">
        <v>115</v>
      </c>
      <c r="S940" s="14">
        <f t="shared" si="817"/>
        <v>43.010000000000005</v>
      </c>
      <c r="T940" s="487">
        <f>SUM(R940:R948)</f>
        <v>126.19999999999999</v>
      </c>
      <c r="U940">
        <f t="shared" si="938"/>
        <v>91.125198098256746</v>
      </c>
      <c r="V940" s="220"/>
      <c r="W940" s="14" t="s">
        <v>4331</v>
      </c>
      <c r="X940">
        <f t="shared" si="997"/>
        <v>20.047543581616484</v>
      </c>
      <c r="Y940" s="220" t="s">
        <v>1666</v>
      </c>
      <c r="Z940" s="220"/>
      <c r="AA940" s="792" t="s">
        <v>1666</v>
      </c>
      <c r="AB940" s="18" t="s">
        <v>1666</v>
      </c>
      <c r="AC940" s="13" t="str">
        <f t="shared" ref="AC940:AH940" si="1002">AB940</f>
        <v>*</v>
      </c>
      <c r="AD940" s="13" t="str">
        <f t="shared" si="1002"/>
        <v>*</v>
      </c>
      <c r="AE940" s="454" t="str">
        <f t="shared" si="1002"/>
        <v>*</v>
      </c>
      <c r="AF940" s="454" t="str">
        <f t="shared" si="1002"/>
        <v>*</v>
      </c>
      <c r="AG940" s="454" t="str">
        <f t="shared" si="1002"/>
        <v>*</v>
      </c>
      <c r="AH940" s="454" t="str">
        <f t="shared" si="1002"/>
        <v>*</v>
      </c>
    </row>
    <row r="941" spans="1:34" ht="14.25">
      <c r="A941" s="14" t="s">
        <v>4326</v>
      </c>
      <c r="B941" s="24" t="s">
        <v>2668</v>
      </c>
      <c r="C941" s="14" t="s">
        <v>2728</v>
      </c>
      <c r="D941" s="14" t="s">
        <v>2911</v>
      </c>
      <c r="E941" s="14" t="s">
        <v>4327</v>
      </c>
      <c r="F941" s="13">
        <v>170</v>
      </c>
      <c r="G941" s="14" t="s">
        <v>3164</v>
      </c>
      <c r="H941" s="567" t="s">
        <v>2973</v>
      </c>
      <c r="I941" s="14" t="s">
        <v>4333</v>
      </c>
      <c r="J941" s="14" t="s">
        <v>4334</v>
      </c>
      <c r="K941" s="478">
        <v>0.22</v>
      </c>
      <c r="L941" s="220">
        <v>37.4</v>
      </c>
      <c r="M941" s="573" t="s">
        <v>4335</v>
      </c>
      <c r="N941" s="479" t="s">
        <v>2937</v>
      </c>
      <c r="O941" s="569" t="s">
        <v>2976</v>
      </c>
      <c r="P941" s="655" t="s">
        <v>2987</v>
      </c>
      <c r="Q941" s="486" t="s">
        <v>2981</v>
      </c>
      <c r="R941" s="14">
        <v>3</v>
      </c>
      <c r="S941" s="14">
        <f t="shared" si="817"/>
        <v>1.1219999999999999</v>
      </c>
      <c r="T941" s="487">
        <f>SUM(R940:R948)</f>
        <v>126.19999999999999</v>
      </c>
      <c r="U941">
        <f t="shared" si="938"/>
        <v>2.3771790808240891</v>
      </c>
      <c r="V941" s="220"/>
      <c r="W941" s="14" t="s">
        <v>349</v>
      </c>
      <c r="X941">
        <f t="shared" si="997"/>
        <v>0.52297939778129965</v>
      </c>
      <c r="Y941" s="220" t="s">
        <v>1666</v>
      </c>
      <c r="Z941" s="220"/>
      <c r="AA941" s="792" t="s">
        <v>1666</v>
      </c>
      <c r="AB941" s="18" t="s">
        <v>1666</v>
      </c>
      <c r="AC941" s="13" t="str">
        <f t="shared" ref="AC941:AH941" si="1003">AB941</f>
        <v>*</v>
      </c>
      <c r="AD941" s="13" t="str">
        <f t="shared" si="1003"/>
        <v>*</v>
      </c>
      <c r="AE941" s="454" t="str">
        <f t="shared" si="1003"/>
        <v>*</v>
      </c>
      <c r="AF941" s="454" t="str">
        <f t="shared" si="1003"/>
        <v>*</v>
      </c>
      <c r="AG941" s="454" t="str">
        <f t="shared" si="1003"/>
        <v>*</v>
      </c>
      <c r="AH941" s="454" t="str">
        <f t="shared" si="1003"/>
        <v>*</v>
      </c>
    </row>
    <row r="942" spans="1:34" ht="14.25">
      <c r="A942" s="14" t="s">
        <v>4326</v>
      </c>
      <c r="B942" s="24" t="s">
        <v>2668</v>
      </c>
      <c r="C942" s="14" t="s">
        <v>2728</v>
      </c>
      <c r="D942" s="14" t="s">
        <v>2911</v>
      </c>
      <c r="E942" s="14" t="s">
        <v>4327</v>
      </c>
      <c r="F942" s="13">
        <v>170</v>
      </c>
      <c r="G942" s="14" t="s">
        <v>3164</v>
      </c>
      <c r="H942" s="567" t="s">
        <v>2973</v>
      </c>
      <c r="I942" s="14" t="s">
        <v>4333</v>
      </c>
      <c r="J942" s="14" t="s">
        <v>4334</v>
      </c>
      <c r="K942" s="478">
        <v>0.22</v>
      </c>
      <c r="L942" s="220">
        <v>37.4</v>
      </c>
      <c r="M942" s="573" t="s">
        <v>4335</v>
      </c>
      <c r="N942" s="479" t="s">
        <v>2937</v>
      </c>
      <c r="O942" s="569" t="s">
        <v>2976</v>
      </c>
      <c r="P942" s="14" t="s">
        <v>3129</v>
      </c>
      <c r="Q942" s="14" t="s">
        <v>350</v>
      </c>
      <c r="R942" s="14">
        <v>1.3</v>
      </c>
      <c r="S942" s="14">
        <f t="shared" si="817"/>
        <v>0.48620000000000002</v>
      </c>
      <c r="T942" s="487">
        <f>SUM(R940:R948)</f>
        <v>126.19999999999999</v>
      </c>
      <c r="U942">
        <f t="shared" si="938"/>
        <v>1.0301109350237718</v>
      </c>
      <c r="V942" s="220"/>
      <c r="W942" s="14" t="s">
        <v>350</v>
      </c>
      <c r="X942">
        <f t="shared" si="997"/>
        <v>0.22662440570522979</v>
      </c>
      <c r="Y942" s="499">
        <f t="shared" ref="Y942:AA942" si="1004">X942</f>
        <v>0.22662440570522979</v>
      </c>
      <c r="Z942" s="220">
        <f t="shared" si="1004"/>
        <v>0.22662440570522979</v>
      </c>
      <c r="AA942" s="792">
        <f t="shared" si="1004"/>
        <v>0.22662440570522979</v>
      </c>
      <c r="AB942" s="18" t="s">
        <v>350</v>
      </c>
      <c r="AC942" s="13" t="s">
        <v>18</v>
      </c>
      <c r="AD942" s="13" t="s">
        <v>2967</v>
      </c>
      <c r="AE942" s="12">
        <v>7.6923076923076919E-3</v>
      </c>
      <c r="AF942" s="12">
        <v>0.183</v>
      </c>
      <c r="AG942" s="12">
        <v>2.8673068893528183E-4</v>
      </c>
      <c r="AH942" s="12">
        <v>1.4770983615231311E-3</v>
      </c>
    </row>
    <row r="943" spans="1:34" ht="14.25">
      <c r="A943" s="14" t="s">
        <v>4326</v>
      </c>
      <c r="B943" s="24" t="s">
        <v>2668</v>
      </c>
      <c r="C943" s="14" t="s">
        <v>2728</v>
      </c>
      <c r="D943" s="14" t="s">
        <v>2911</v>
      </c>
      <c r="E943" s="14" t="s">
        <v>4327</v>
      </c>
      <c r="F943" s="13">
        <v>170</v>
      </c>
      <c r="G943" s="14" t="s">
        <v>3164</v>
      </c>
      <c r="H943" s="567" t="s">
        <v>2973</v>
      </c>
      <c r="I943" s="14" t="s">
        <v>4333</v>
      </c>
      <c r="J943" s="14" t="s">
        <v>4334</v>
      </c>
      <c r="K943" s="478">
        <v>0.22</v>
      </c>
      <c r="L943" s="220">
        <v>37.4</v>
      </c>
      <c r="M943" s="573" t="s">
        <v>4335</v>
      </c>
      <c r="N943" s="479" t="s">
        <v>2937</v>
      </c>
      <c r="O943" s="569" t="s">
        <v>2976</v>
      </c>
      <c r="P943" s="14" t="s">
        <v>3021</v>
      </c>
      <c r="Q943" s="486" t="s">
        <v>3022</v>
      </c>
      <c r="R943" s="14">
        <v>1.3</v>
      </c>
      <c r="S943" s="14">
        <f t="shared" si="817"/>
        <v>0.48620000000000002</v>
      </c>
      <c r="T943" s="487">
        <f>SUM(R940:R948)</f>
        <v>126.19999999999999</v>
      </c>
      <c r="U943">
        <f t="shared" si="938"/>
        <v>1.0301109350237718</v>
      </c>
      <c r="V943" s="220"/>
      <c r="W943" s="14" t="s">
        <v>346</v>
      </c>
      <c r="X943">
        <f t="shared" si="997"/>
        <v>0.22662440570522979</v>
      </c>
      <c r="Y943" s="220" t="s">
        <v>1666</v>
      </c>
      <c r="Z943" s="220"/>
      <c r="AA943" s="792" t="s">
        <v>1666</v>
      </c>
      <c r="AB943" s="18" t="s">
        <v>1666</v>
      </c>
      <c r="AC943" s="13" t="str">
        <f t="shared" ref="AC943:AH943" si="1005">AB943</f>
        <v>*</v>
      </c>
      <c r="AD943" s="13" t="str">
        <f t="shared" si="1005"/>
        <v>*</v>
      </c>
      <c r="AE943" s="454" t="str">
        <f t="shared" si="1005"/>
        <v>*</v>
      </c>
      <c r="AF943" s="454" t="str">
        <f t="shared" si="1005"/>
        <v>*</v>
      </c>
      <c r="AG943" s="454" t="str">
        <f t="shared" si="1005"/>
        <v>*</v>
      </c>
      <c r="AH943" s="454" t="str">
        <f t="shared" si="1005"/>
        <v>*</v>
      </c>
    </row>
    <row r="944" spans="1:34" ht="14.25">
      <c r="A944" s="14" t="s">
        <v>4326</v>
      </c>
      <c r="B944" s="24" t="s">
        <v>2668</v>
      </c>
      <c r="C944" s="14" t="s">
        <v>2728</v>
      </c>
      <c r="D944" s="14" t="s">
        <v>2911</v>
      </c>
      <c r="E944" s="14" t="s">
        <v>4327</v>
      </c>
      <c r="F944" s="13">
        <v>170</v>
      </c>
      <c r="G944" s="14" t="s">
        <v>3164</v>
      </c>
      <c r="H944" s="567" t="s">
        <v>2973</v>
      </c>
      <c r="I944" s="14" t="s">
        <v>4333</v>
      </c>
      <c r="J944" s="14" t="s">
        <v>4334</v>
      </c>
      <c r="K944" s="478">
        <v>0.22</v>
      </c>
      <c r="L944" s="220">
        <v>37.4</v>
      </c>
      <c r="M944" s="573" t="s">
        <v>4335</v>
      </c>
      <c r="N944" s="479" t="s">
        <v>2937</v>
      </c>
      <c r="O944" s="569" t="s">
        <v>2976</v>
      </c>
      <c r="P944" s="14" t="s">
        <v>1376</v>
      </c>
      <c r="Q944" s="486" t="s">
        <v>3114</v>
      </c>
      <c r="R944" s="14">
        <v>1.3</v>
      </c>
      <c r="S944" s="14">
        <f t="shared" si="817"/>
        <v>0.48620000000000002</v>
      </c>
      <c r="T944" s="487">
        <f>SUM(R940:R948)</f>
        <v>126.19999999999999</v>
      </c>
      <c r="U944">
        <f t="shared" si="938"/>
        <v>1.0301109350237718</v>
      </c>
      <c r="V944" s="220"/>
      <c r="W944" s="14" t="s">
        <v>340</v>
      </c>
      <c r="X944">
        <f t="shared" si="997"/>
        <v>0.22662440570522979</v>
      </c>
      <c r="Y944" s="499" t="s">
        <v>1666</v>
      </c>
      <c r="Z944" s="220" t="str">
        <f t="shared" ref="Z944:AH944" si="1006">Y944</f>
        <v>*</v>
      </c>
      <c r="AA944" s="792" t="str">
        <f t="shared" si="1006"/>
        <v>*</v>
      </c>
      <c r="AB944" s="458" t="str">
        <f t="shared" si="1006"/>
        <v>*</v>
      </c>
      <c r="AC944" s="497" t="str">
        <f t="shared" si="1006"/>
        <v>*</v>
      </c>
      <c r="AD944" s="497" t="str">
        <f t="shared" si="1006"/>
        <v>*</v>
      </c>
      <c r="AE944" s="454" t="str">
        <f t="shared" si="1006"/>
        <v>*</v>
      </c>
      <c r="AF944" s="454" t="str">
        <f t="shared" si="1006"/>
        <v>*</v>
      </c>
      <c r="AG944" s="454" t="str">
        <f t="shared" si="1006"/>
        <v>*</v>
      </c>
      <c r="AH944" s="454" t="str">
        <f t="shared" si="1006"/>
        <v>*</v>
      </c>
    </row>
    <row r="945" spans="1:34" ht="14.25">
      <c r="A945" s="14" t="s">
        <v>4326</v>
      </c>
      <c r="B945" s="24" t="s">
        <v>2668</v>
      </c>
      <c r="C945" s="14" t="s">
        <v>2728</v>
      </c>
      <c r="D945" s="14" t="s">
        <v>2911</v>
      </c>
      <c r="E945" s="14" t="s">
        <v>4327</v>
      </c>
      <c r="F945" s="13">
        <v>170</v>
      </c>
      <c r="G945" s="14" t="s">
        <v>3164</v>
      </c>
      <c r="H945" s="567" t="s">
        <v>2973</v>
      </c>
      <c r="I945" s="14" t="s">
        <v>4333</v>
      </c>
      <c r="J945" s="14" t="s">
        <v>4334</v>
      </c>
      <c r="K945" s="478">
        <v>0.22</v>
      </c>
      <c r="L945" s="220">
        <v>37.4</v>
      </c>
      <c r="M945" s="573" t="s">
        <v>4335</v>
      </c>
      <c r="N945" s="479" t="s">
        <v>2937</v>
      </c>
      <c r="O945" s="569" t="s">
        <v>2976</v>
      </c>
      <c r="P945" s="14" t="s">
        <v>3853</v>
      </c>
      <c r="Q945" s="491" t="s">
        <v>4336</v>
      </c>
      <c r="R945" s="14">
        <v>1.3</v>
      </c>
      <c r="S945" s="14">
        <f t="shared" si="817"/>
        <v>0.48620000000000002</v>
      </c>
      <c r="T945" s="487">
        <f>SUM(R940:R948)</f>
        <v>126.19999999999999</v>
      </c>
      <c r="U945">
        <f t="shared" si="938"/>
        <v>1.0301109350237718</v>
      </c>
      <c r="V945" s="220"/>
      <c r="W945" s="14" t="s">
        <v>324</v>
      </c>
      <c r="X945">
        <f t="shared" si="997"/>
        <v>0.22662440570522979</v>
      </c>
      <c r="Y945" s="499">
        <f t="shared" ref="Y945:AA945" si="1007">X945</f>
        <v>0.22662440570522979</v>
      </c>
      <c r="Z945" s="220">
        <f t="shared" si="1007"/>
        <v>0.22662440570522979</v>
      </c>
      <c r="AA945" s="792">
        <f t="shared" si="1007"/>
        <v>0.22662440570522979</v>
      </c>
      <c r="AB945" s="18" t="s">
        <v>324</v>
      </c>
      <c r="AC945" s="13" t="s">
        <v>18</v>
      </c>
      <c r="AD945" s="13" t="s">
        <v>3144</v>
      </c>
      <c r="AE945" s="12">
        <v>1.0652903141570055E-3</v>
      </c>
      <c r="AF945" s="12">
        <v>1.7273631840796021E-2</v>
      </c>
      <c r="AG945" s="12">
        <v>1.3582399999999999E-4</v>
      </c>
      <c r="AH945" s="12">
        <v>2.14E-3</v>
      </c>
    </row>
    <row r="946" spans="1:34" ht="14.25">
      <c r="A946" s="14" t="s">
        <v>4326</v>
      </c>
      <c r="B946" s="24" t="s">
        <v>2668</v>
      </c>
      <c r="C946" s="14" t="s">
        <v>2728</v>
      </c>
      <c r="D946" s="14" t="s">
        <v>2911</v>
      </c>
      <c r="E946" s="14" t="s">
        <v>4327</v>
      </c>
      <c r="F946" s="13">
        <v>170</v>
      </c>
      <c r="G946" s="14" t="s">
        <v>3164</v>
      </c>
      <c r="H946" s="567" t="s">
        <v>2973</v>
      </c>
      <c r="I946" s="14" t="s">
        <v>4333</v>
      </c>
      <c r="J946" s="14" t="s">
        <v>4334</v>
      </c>
      <c r="K946" s="478">
        <v>0.22</v>
      </c>
      <c r="L946" s="220">
        <v>37.4</v>
      </c>
      <c r="M946" s="573" t="s">
        <v>4335</v>
      </c>
      <c r="N946" s="479" t="s">
        <v>2937</v>
      </c>
      <c r="O946" s="569" t="s">
        <v>2976</v>
      </c>
      <c r="P946" s="655" t="s">
        <v>3005</v>
      </c>
      <c r="Q946" s="486" t="s">
        <v>3006</v>
      </c>
      <c r="R946" s="14">
        <v>1</v>
      </c>
      <c r="S946" s="14">
        <f t="shared" si="817"/>
        <v>0.374</v>
      </c>
      <c r="T946" s="487">
        <f>SUM(R940:R948)</f>
        <v>126.19999999999999</v>
      </c>
      <c r="U946">
        <f t="shared" si="938"/>
        <v>0.79239302694136293</v>
      </c>
      <c r="V946" s="220"/>
      <c r="W946" s="14" t="s">
        <v>2779</v>
      </c>
      <c r="X946">
        <f t="shared" si="997"/>
        <v>0.17432646592709986</v>
      </c>
      <c r="Y946" s="499">
        <f t="shared" ref="Y946:AA946" si="1008">X946</f>
        <v>0.17432646592709986</v>
      </c>
      <c r="Z946" s="220">
        <f t="shared" si="1008"/>
        <v>0.17432646592709986</v>
      </c>
      <c r="AA946" s="792">
        <f t="shared" si="1008"/>
        <v>0.17432646592709986</v>
      </c>
      <c r="AB946" s="18" t="s">
        <v>2526</v>
      </c>
      <c r="AC946" s="13" t="s">
        <v>215</v>
      </c>
      <c r="AD946" s="13" t="s">
        <v>3007</v>
      </c>
      <c r="AE946" s="12">
        <v>5.0851930036188197E-3</v>
      </c>
      <c r="AF946" s="12">
        <v>5.9995417730640897E-2</v>
      </c>
      <c r="AG946" s="12">
        <v>3.4699999999999998E-4</v>
      </c>
      <c r="AH946" s="12">
        <v>2.9762429672480995E-4</v>
      </c>
    </row>
    <row r="947" spans="1:34" ht="14.25">
      <c r="A947" s="14" t="s">
        <v>4326</v>
      </c>
      <c r="B947" s="24" t="s">
        <v>2668</v>
      </c>
      <c r="C947" s="14" t="s">
        <v>2728</v>
      </c>
      <c r="D947" s="14" t="s">
        <v>2911</v>
      </c>
      <c r="E947" s="14" t="s">
        <v>4327</v>
      </c>
      <c r="F947" s="13">
        <v>170</v>
      </c>
      <c r="G947" s="14" t="s">
        <v>3164</v>
      </c>
      <c r="H947" s="567" t="s">
        <v>2973</v>
      </c>
      <c r="I947" s="14" t="s">
        <v>4333</v>
      </c>
      <c r="J947" s="14" t="s">
        <v>4334</v>
      </c>
      <c r="K947" s="478">
        <v>0.22</v>
      </c>
      <c r="L947" s="220">
        <v>37.4</v>
      </c>
      <c r="M947" s="573" t="s">
        <v>4335</v>
      </c>
      <c r="N947" s="479" t="s">
        <v>2937</v>
      </c>
      <c r="O947" s="569" t="s">
        <v>2976</v>
      </c>
      <c r="P947" s="14" t="s">
        <v>3873</v>
      </c>
      <c r="Q947" s="486" t="s">
        <v>3991</v>
      </c>
      <c r="R947" s="14">
        <v>1</v>
      </c>
      <c r="S947" s="14">
        <f t="shared" si="817"/>
        <v>0.374</v>
      </c>
      <c r="T947" s="487">
        <f>SUM(R940:R948)</f>
        <v>126.19999999999999</v>
      </c>
      <c r="U947">
        <f t="shared" si="938"/>
        <v>0.79239302694136293</v>
      </c>
      <c r="V947" s="220"/>
      <c r="W947" s="14" t="s">
        <v>1124</v>
      </c>
      <c r="X947">
        <f t="shared" si="997"/>
        <v>0.17432646592709986</v>
      </c>
      <c r="Y947" s="499">
        <f t="shared" ref="Y947:AA947" si="1009">X947</f>
        <v>0.17432646592709986</v>
      </c>
      <c r="Z947" s="220">
        <f t="shared" si="1009"/>
        <v>0.17432646592709986</v>
      </c>
      <c r="AA947" s="792">
        <f t="shared" si="1009"/>
        <v>0.17432646592709986</v>
      </c>
      <c r="AB947" s="18" t="s">
        <v>1124</v>
      </c>
      <c r="AC947" s="13" t="s">
        <v>3875</v>
      </c>
      <c r="AD947" s="13" t="s">
        <v>3876</v>
      </c>
      <c r="AE947" s="12">
        <v>2.38916680630451E-3</v>
      </c>
      <c r="AF947" s="12">
        <v>0.16192713668914901</v>
      </c>
      <c r="AG947" s="12">
        <v>4.8714285714285716E-4</v>
      </c>
      <c r="AH947" s="12">
        <v>2.358948129596642E-3</v>
      </c>
    </row>
    <row r="948" spans="1:34" ht="14.25">
      <c r="A948" s="617" t="s">
        <v>4326</v>
      </c>
      <c r="B948" s="794" t="s">
        <v>2668</v>
      </c>
      <c r="C948" s="617" t="s">
        <v>2728</v>
      </c>
      <c r="D948" s="617" t="s">
        <v>2911</v>
      </c>
      <c r="E948" s="617" t="s">
        <v>4327</v>
      </c>
      <c r="F948" s="799">
        <v>170</v>
      </c>
      <c r="G948" s="617" t="s">
        <v>3164</v>
      </c>
      <c r="H948" s="910" t="s">
        <v>2973</v>
      </c>
      <c r="I948" s="617" t="s">
        <v>4333</v>
      </c>
      <c r="J948" s="617" t="s">
        <v>4334</v>
      </c>
      <c r="K948" s="838">
        <v>0.22</v>
      </c>
      <c r="L948" s="725">
        <v>37.4</v>
      </c>
      <c r="M948" s="917" t="s">
        <v>4335</v>
      </c>
      <c r="N948" s="841" t="s">
        <v>2937</v>
      </c>
      <c r="O948" s="912" t="s">
        <v>2976</v>
      </c>
      <c r="P948" s="849" t="s">
        <v>2977</v>
      </c>
      <c r="Q948" s="899" t="s">
        <v>2978</v>
      </c>
      <c r="R948" s="617">
        <v>1</v>
      </c>
      <c r="S948" s="617">
        <f t="shared" si="817"/>
        <v>0.374</v>
      </c>
      <c r="T948" s="857">
        <f>SUM(R940:R948)</f>
        <v>126.19999999999999</v>
      </c>
      <c r="U948" s="617">
        <f t="shared" si="938"/>
        <v>0.79239302694136293</v>
      </c>
      <c r="V948" s="725"/>
      <c r="W948" s="617" t="s">
        <v>227</v>
      </c>
      <c r="X948" s="617">
        <f t="shared" si="997"/>
        <v>0.17432646592709986</v>
      </c>
      <c r="Y948" s="862" t="s">
        <v>1624</v>
      </c>
      <c r="Z948" s="725">
        <f>X948</f>
        <v>0.17432646592709986</v>
      </c>
      <c r="AA948" s="455">
        <f>Z948</f>
        <v>0.17432646592709986</v>
      </c>
      <c r="AB948" s="793" t="s">
        <v>227</v>
      </c>
      <c r="AC948" s="799" t="s">
        <v>55</v>
      </c>
      <c r="AD948" s="799" t="s">
        <v>2979</v>
      </c>
      <c r="AE948" s="635">
        <v>2.5055367220000002E-3</v>
      </c>
      <c r="AF948" s="635">
        <v>3.8459841414181101E-2</v>
      </c>
      <c r="AG948" s="635">
        <v>1.1035422343324251E-4</v>
      </c>
      <c r="AH948" s="635">
        <v>8.109653861711444E-4</v>
      </c>
    </row>
    <row r="949" spans="1:34" ht="12.75">
      <c r="A949" s="14" t="s">
        <v>4337</v>
      </c>
      <c r="B949" s="13" t="s">
        <v>2668</v>
      </c>
      <c r="C949" s="14" t="s">
        <v>2730</v>
      </c>
      <c r="D949" s="14" t="s">
        <v>2911</v>
      </c>
      <c r="E949" s="14" t="s">
        <v>3524</v>
      </c>
      <c r="F949" s="13">
        <v>177.41</v>
      </c>
      <c r="G949" s="14" t="s">
        <v>4338</v>
      </c>
      <c r="H949" s="13" t="s">
        <v>2973</v>
      </c>
      <c r="I949" s="135" t="s">
        <v>4339</v>
      </c>
      <c r="J949" s="135" t="s">
        <v>4340</v>
      </c>
      <c r="K949" s="475">
        <v>0.37</v>
      </c>
      <c r="L949" s="476">
        <v>64.010000000000005</v>
      </c>
      <c r="M949" s="570" t="s">
        <v>4341</v>
      </c>
      <c r="N949" s="570"/>
      <c r="O949" s="571"/>
      <c r="P949" s="135" t="s">
        <v>4339</v>
      </c>
      <c r="Q949" s="135" t="s">
        <v>4342</v>
      </c>
      <c r="R949" s="135">
        <v>100</v>
      </c>
      <c r="S949" s="135">
        <f t="shared" si="817"/>
        <v>64.010000000000005</v>
      </c>
      <c r="T949" s="476">
        <v>100</v>
      </c>
      <c r="U949" s="14">
        <v>100</v>
      </c>
      <c r="V949" s="220"/>
      <c r="W949" s="14" t="s">
        <v>492</v>
      </c>
      <c r="X949" s="14">
        <f t="shared" si="997"/>
        <v>37</v>
      </c>
      <c r="Y949" s="220">
        <f>SUM(X949:X951)</f>
        <v>92.829081872776214</v>
      </c>
      <c r="Z949" s="220">
        <f t="shared" ref="Z949:AA949" si="1010">Y949</f>
        <v>92.829081872776214</v>
      </c>
      <c r="AA949" s="792">
        <f t="shared" si="1010"/>
        <v>92.829081872776214</v>
      </c>
      <c r="AB949" s="18" t="s">
        <v>2731</v>
      </c>
      <c r="AC949" s="13" t="s">
        <v>3524</v>
      </c>
      <c r="AD949" s="13" t="s">
        <v>3525</v>
      </c>
      <c r="AE949" s="12">
        <v>5.5636766460262456E-4</v>
      </c>
      <c r="AF949" s="12">
        <v>1.354456626711356E-2</v>
      </c>
      <c r="AG949" s="12">
        <v>7.0283975659229207E-5</v>
      </c>
      <c r="AH949" s="12">
        <v>7.0431572008113595E-4</v>
      </c>
    </row>
    <row r="950" spans="1:34" ht="12.75">
      <c r="A950" s="14" t="s">
        <v>4337</v>
      </c>
      <c r="B950" s="13" t="s">
        <v>2668</v>
      </c>
      <c r="C950" s="14" t="s">
        <v>2730</v>
      </c>
      <c r="D950" s="14" t="s">
        <v>2911</v>
      </c>
      <c r="E950" s="14" t="s">
        <v>3524</v>
      </c>
      <c r="F950" s="13">
        <v>177.41</v>
      </c>
      <c r="G950" s="14" t="s">
        <v>4338</v>
      </c>
      <c r="H950" s="13" t="s">
        <v>2973</v>
      </c>
      <c r="I950" s="135" t="s">
        <v>3521</v>
      </c>
      <c r="J950" s="135" t="s">
        <v>4343</v>
      </c>
      <c r="K950" s="475">
        <v>0.35</v>
      </c>
      <c r="L950" s="476">
        <v>54.6</v>
      </c>
      <c r="M950" s="570" t="s">
        <v>4344</v>
      </c>
      <c r="N950" s="570"/>
      <c r="O950" s="571"/>
      <c r="P950" s="135" t="s">
        <v>3521</v>
      </c>
      <c r="Q950" s="871" t="s">
        <v>4330</v>
      </c>
      <c r="R950" s="135">
        <v>100</v>
      </c>
      <c r="S950" s="135">
        <f t="shared" si="817"/>
        <v>54.6</v>
      </c>
      <c r="T950" s="476">
        <v>100</v>
      </c>
      <c r="U950" s="298">
        <v>100</v>
      </c>
      <c r="V950" s="528"/>
      <c r="W950" s="298" t="s">
        <v>4331</v>
      </c>
      <c r="X950" s="14">
        <f t="shared" si="997"/>
        <v>35</v>
      </c>
      <c r="Y950" s="220" t="s">
        <v>1666</v>
      </c>
      <c r="Z950" s="220" t="str">
        <f t="shared" ref="Z950:AA950" si="1011">Y950</f>
        <v>*</v>
      </c>
      <c r="AA950" s="792" t="str">
        <f t="shared" si="1011"/>
        <v>*</v>
      </c>
      <c r="AB950" s="18" t="s">
        <v>1666</v>
      </c>
      <c r="AC950" s="13" t="str">
        <f t="shared" ref="AC950:AH950" si="1012">AB950</f>
        <v>*</v>
      </c>
      <c r="AD950" s="13" t="str">
        <f t="shared" si="1012"/>
        <v>*</v>
      </c>
      <c r="AE950" s="454" t="str">
        <f t="shared" si="1012"/>
        <v>*</v>
      </c>
      <c r="AF950" s="454" t="str">
        <f t="shared" si="1012"/>
        <v>*</v>
      </c>
      <c r="AG950" s="454" t="str">
        <f t="shared" si="1012"/>
        <v>*</v>
      </c>
      <c r="AH950" s="454" t="str">
        <f t="shared" si="1012"/>
        <v>*</v>
      </c>
    </row>
    <row r="951" spans="1:34" ht="14.25">
      <c r="A951" s="14" t="s">
        <v>4337</v>
      </c>
      <c r="B951" s="24" t="s">
        <v>2668</v>
      </c>
      <c r="C951" s="14" t="s">
        <v>2730</v>
      </c>
      <c r="D951" s="14" t="s">
        <v>2911</v>
      </c>
      <c r="E951" s="14" t="s">
        <v>3524</v>
      </c>
      <c r="F951" s="13">
        <v>177.41</v>
      </c>
      <c r="G951" s="14" t="s">
        <v>4338</v>
      </c>
      <c r="H951" s="13" t="s">
        <v>2973</v>
      </c>
      <c r="I951" s="14" t="s">
        <v>4345</v>
      </c>
      <c r="J951" s="14" t="s">
        <v>4346</v>
      </c>
      <c r="K951" s="478">
        <v>0.28000000000000003</v>
      </c>
      <c r="L951" s="220">
        <v>58.8</v>
      </c>
      <c r="M951" s="568" t="s">
        <v>4347</v>
      </c>
      <c r="N951" s="479" t="s">
        <v>2937</v>
      </c>
      <c r="O951" s="569" t="s">
        <v>2976</v>
      </c>
      <c r="P951" s="14" t="s">
        <v>3521</v>
      </c>
      <c r="Q951" s="435" t="s">
        <v>4330</v>
      </c>
      <c r="R951" s="14">
        <v>70</v>
      </c>
      <c r="S951" s="14">
        <f t="shared" si="817"/>
        <v>41.160000000000004</v>
      </c>
      <c r="T951" s="220">
        <f>SUM(R951:R969)</f>
        <v>95</v>
      </c>
      <c r="U951">
        <f t="shared" ref="U951:U995" si="1013">R951*100/T951</f>
        <v>73.684210526315795</v>
      </c>
      <c r="V951" s="220">
        <f>U951*100/SUM(U951:U958,U960:U969)</f>
        <v>74.389578117057908</v>
      </c>
      <c r="W951" s="14" t="s">
        <v>4331</v>
      </c>
      <c r="X951">
        <f t="shared" ref="X951:X969" si="1014">V951*K951</f>
        <v>20.829081872776218</v>
      </c>
      <c r="Y951" s="220" t="s">
        <v>1666</v>
      </c>
      <c r="Z951" s="220" t="str">
        <f t="shared" ref="Z951:AA951" si="1015">Y951</f>
        <v>*</v>
      </c>
      <c r="AA951" s="792" t="str">
        <f t="shared" si="1015"/>
        <v>*</v>
      </c>
      <c r="AB951" s="18" t="s">
        <v>1666</v>
      </c>
      <c r="AC951" s="13" t="str">
        <f t="shared" ref="AC951:AH951" si="1016">AB951</f>
        <v>*</v>
      </c>
      <c r="AD951" s="13" t="str">
        <f t="shared" si="1016"/>
        <v>*</v>
      </c>
      <c r="AE951" s="454" t="str">
        <f t="shared" si="1016"/>
        <v>*</v>
      </c>
      <c r="AF951" s="454" t="str">
        <f t="shared" si="1016"/>
        <v>*</v>
      </c>
      <c r="AG951" s="454" t="str">
        <f t="shared" si="1016"/>
        <v>*</v>
      </c>
      <c r="AH951" s="454" t="str">
        <f t="shared" si="1016"/>
        <v>*</v>
      </c>
    </row>
    <row r="952" spans="1:34" ht="14.25">
      <c r="A952" s="14" t="s">
        <v>4337</v>
      </c>
      <c r="B952" s="24" t="s">
        <v>2668</v>
      </c>
      <c r="C952" s="14" t="s">
        <v>2730</v>
      </c>
      <c r="D952" s="14" t="s">
        <v>2911</v>
      </c>
      <c r="E952" s="14" t="s">
        <v>3524</v>
      </c>
      <c r="F952" s="13">
        <v>177.41</v>
      </c>
      <c r="G952" s="14" t="s">
        <v>4338</v>
      </c>
      <c r="H952" s="13" t="s">
        <v>2973</v>
      </c>
      <c r="I952" s="14" t="s">
        <v>4345</v>
      </c>
      <c r="J952" s="14" t="s">
        <v>4346</v>
      </c>
      <c r="K952" s="478">
        <v>0.28000000000000003</v>
      </c>
      <c r="L952" s="220">
        <v>58.8</v>
      </c>
      <c r="M952" s="568" t="s">
        <v>4347</v>
      </c>
      <c r="N952" s="479" t="s">
        <v>2937</v>
      </c>
      <c r="O952" s="569" t="s">
        <v>2976</v>
      </c>
      <c r="P952" s="14" t="s">
        <v>2928</v>
      </c>
      <c r="Q952" s="435" t="s">
        <v>3061</v>
      </c>
      <c r="R952" s="14">
        <v>10</v>
      </c>
      <c r="S952" s="14">
        <f t="shared" si="817"/>
        <v>5.88</v>
      </c>
      <c r="T952" s="487">
        <f>SUM(R951:R969)</f>
        <v>95</v>
      </c>
      <c r="U952">
        <f t="shared" si="1013"/>
        <v>10.526315789473685</v>
      </c>
      <c r="V952" s="220">
        <f>U952*100/SUM(U951:U958,U960:U969)</f>
        <v>10.627082588151131</v>
      </c>
      <c r="W952" s="14" t="s">
        <v>2928</v>
      </c>
      <c r="X952">
        <f t="shared" si="1014"/>
        <v>2.9755831246823168</v>
      </c>
      <c r="Y952" s="220">
        <f>X952+X953+X960+X964+X965+X969</f>
        <v>5.5048287806622849</v>
      </c>
      <c r="Z952" s="220">
        <f t="shared" ref="Z952:Z953" si="1017">X952</f>
        <v>2.9755831246823168</v>
      </c>
      <c r="AA952" s="792">
        <f t="shared" ref="AA952:AA955" si="1018">Z952</f>
        <v>2.9755831246823168</v>
      </c>
      <c r="AB952" s="18" t="s">
        <v>2545</v>
      </c>
      <c r="AC952" s="13" t="s">
        <v>2930</v>
      </c>
      <c r="AD952" s="13" t="s">
        <v>2931</v>
      </c>
      <c r="AE952" s="12">
        <v>6.0179999999999999E-3</v>
      </c>
      <c r="AF952" s="23">
        <v>1.7694000000000001E-2</v>
      </c>
      <c r="AG952" s="12">
        <v>1.17966E-4</v>
      </c>
      <c r="AH952" s="12">
        <v>1.1100000000000001E-3</v>
      </c>
    </row>
    <row r="953" spans="1:34" ht="14.25">
      <c r="A953" s="14" t="s">
        <v>4337</v>
      </c>
      <c r="B953" s="24" t="s">
        <v>2668</v>
      </c>
      <c r="C953" s="14" t="s">
        <v>2730</v>
      </c>
      <c r="D953" s="14" t="s">
        <v>2911</v>
      </c>
      <c r="E953" s="14" t="s">
        <v>3524</v>
      </c>
      <c r="F953" s="13">
        <v>177.41</v>
      </c>
      <c r="G953" s="14" t="s">
        <v>4338</v>
      </c>
      <c r="H953" s="13" t="s">
        <v>2973</v>
      </c>
      <c r="I953" s="14" t="s">
        <v>4345</v>
      </c>
      <c r="J953" s="14" t="s">
        <v>4346</v>
      </c>
      <c r="K953" s="478">
        <v>0.28000000000000003</v>
      </c>
      <c r="L953" s="220">
        <v>58.8</v>
      </c>
      <c r="M953" s="568" t="s">
        <v>4347</v>
      </c>
      <c r="N953" s="479" t="s">
        <v>2937</v>
      </c>
      <c r="O953" s="569" t="s">
        <v>2976</v>
      </c>
      <c r="P953" s="14" t="s">
        <v>4262</v>
      </c>
      <c r="Q953" s="491" t="s">
        <v>4280</v>
      </c>
      <c r="R953" s="14">
        <v>5</v>
      </c>
      <c r="S953" s="14">
        <f t="shared" si="817"/>
        <v>2.94</v>
      </c>
      <c r="T953" s="487">
        <f>SUM(R951:R969)</f>
        <v>95</v>
      </c>
      <c r="U953">
        <f t="shared" si="1013"/>
        <v>5.2631578947368425</v>
      </c>
      <c r="V953" s="220">
        <f>U953*100/SUM(U951:U958,U960:U969)</f>
        <v>5.3135412940755655</v>
      </c>
      <c r="W953" s="14" t="s">
        <v>4348</v>
      </c>
      <c r="X953">
        <f t="shared" si="1014"/>
        <v>1.4877915623411584</v>
      </c>
      <c r="Y953" s="220" t="s">
        <v>1666</v>
      </c>
      <c r="Z953" s="220">
        <f t="shared" si="1017"/>
        <v>1.4877915623411584</v>
      </c>
      <c r="AA953" s="792">
        <f t="shared" si="1018"/>
        <v>1.4877915623411584</v>
      </c>
      <c r="AB953" s="18" t="s">
        <v>2717</v>
      </c>
      <c r="AC953" s="14" t="s">
        <v>92</v>
      </c>
      <c r="AD953" s="14" t="s">
        <v>4264</v>
      </c>
      <c r="AE953" s="12">
        <v>4.7583080568720385E-3</v>
      </c>
      <c r="AF953" s="12">
        <v>1.399027962085308E-2</v>
      </c>
      <c r="AG953" s="12">
        <v>9.3273274881516596E-5</v>
      </c>
      <c r="AH953" s="12">
        <v>8.7765402843601901E-4</v>
      </c>
    </row>
    <row r="954" spans="1:34" ht="14.25">
      <c r="A954" s="14" t="s">
        <v>4337</v>
      </c>
      <c r="B954" s="24" t="s">
        <v>2668</v>
      </c>
      <c r="C954" s="14" t="s">
        <v>2730</v>
      </c>
      <c r="D954" s="14" t="s">
        <v>2911</v>
      </c>
      <c r="E954" s="14" t="s">
        <v>3524</v>
      </c>
      <c r="F954" s="13">
        <v>177.41</v>
      </c>
      <c r="G954" s="14" t="s">
        <v>4338</v>
      </c>
      <c r="H954" s="13" t="s">
        <v>2973</v>
      </c>
      <c r="I954" s="14" t="s">
        <v>4345</v>
      </c>
      <c r="J954" s="14" t="s">
        <v>4346</v>
      </c>
      <c r="K954" s="478">
        <v>0.28000000000000003</v>
      </c>
      <c r="L954" s="220">
        <v>58.8</v>
      </c>
      <c r="M954" s="568" t="s">
        <v>4347</v>
      </c>
      <c r="N954" s="479" t="s">
        <v>2937</v>
      </c>
      <c r="O954" s="569" t="s">
        <v>2976</v>
      </c>
      <c r="P954" s="489" t="s">
        <v>3121</v>
      </c>
      <c r="Q954" s="489" t="s">
        <v>4349</v>
      </c>
      <c r="R954" s="14">
        <f t="shared" ref="R954:R959" si="1019">3*U130*0.01</f>
        <v>0.85031000885739594</v>
      </c>
      <c r="S954" s="14">
        <f t="shared" si="817"/>
        <v>0.49998228520814886</v>
      </c>
      <c r="T954" s="487">
        <f>SUM(R951:R969)</f>
        <v>95</v>
      </c>
      <c r="U954">
        <f t="shared" si="1013"/>
        <v>0.89506316721831147</v>
      </c>
      <c r="V954" s="220">
        <f>U954*100/SUM(U951:U958,U960:U969)</f>
        <v>0.9036314689659064</v>
      </c>
      <c r="W954" s="14" t="s">
        <v>346</v>
      </c>
      <c r="X954">
        <f t="shared" si="1014"/>
        <v>0.25301681131045384</v>
      </c>
      <c r="Y954" s="499">
        <f>SUM(X954,X958,X961)</f>
        <v>0.40970274289802133</v>
      </c>
      <c r="Z954" s="220">
        <f>SUM(X954,X961)</f>
        <v>0.40179596754456964</v>
      </c>
      <c r="AA954" s="792">
        <f t="shared" si="1018"/>
        <v>0.40179596754456964</v>
      </c>
      <c r="AB954" s="18" t="s">
        <v>346</v>
      </c>
      <c r="AC954" s="13" t="s">
        <v>2982</v>
      </c>
      <c r="AD954" s="13" t="s">
        <v>2983</v>
      </c>
      <c r="AE954" s="12">
        <v>2.9691872042618299E-2</v>
      </c>
      <c r="AF954" s="12">
        <v>7.5368545517799299E-2</v>
      </c>
      <c r="AG954" s="12">
        <v>2.9014018691588786E-4</v>
      </c>
      <c r="AH954" s="12">
        <v>1.4770983615231311E-3</v>
      </c>
    </row>
    <row r="955" spans="1:34" ht="14.25">
      <c r="A955" s="14" t="s">
        <v>4337</v>
      </c>
      <c r="B955" s="24" t="s">
        <v>2668</v>
      </c>
      <c r="C955" s="14" t="s">
        <v>2730</v>
      </c>
      <c r="D955" s="14" t="s">
        <v>2911</v>
      </c>
      <c r="E955" s="14" t="s">
        <v>3524</v>
      </c>
      <c r="F955" s="13">
        <v>177.41</v>
      </c>
      <c r="G955" s="14" t="s">
        <v>4338</v>
      </c>
      <c r="H955" s="13" t="s">
        <v>2973</v>
      </c>
      <c r="I955" s="14" t="s">
        <v>4345</v>
      </c>
      <c r="J955" s="14" t="s">
        <v>4346</v>
      </c>
      <c r="K955" s="478">
        <v>0.28000000000000003</v>
      </c>
      <c r="L955" s="220">
        <v>58.8</v>
      </c>
      <c r="M955" s="568" t="s">
        <v>4347</v>
      </c>
      <c r="N955" s="479" t="s">
        <v>2937</v>
      </c>
      <c r="O955" s="569" t="s">
        <v>2976</v>
      </c>
      <c r="P955" s="14" t="s">
        <v>3121</v>
      </c>
      <c r="Q955" s="486" t="s">
        <v>4350</v>
      </c>
      <c r="R955" s="14">
        <f t="shared" si="1019"/>
        <v>0.47829937998228517</v>
      </c>
      <c r="S955" s="14">
        <f t="shared" si="817"/>
        <v>0.2812400354295837</v>
      </c>
      <c r="T955" s="487">
        <f>SUM(R951:R969)</f>
        <v>95</v>
      </c>
      <c r="U955">
        <f t="shared" si="1013"/>
        <v>0.50347303156030021</v>
      </c>
      <c r="V955" s="488">
        <f>U955*100/SUM(U951:U958,U960:U969)</f>
        <v>0.50829270129332238</v>
      </c>
      <c r="W955" s="14" t="s">
        <v>332</v>
      </c>
      <c r="X955">
        <f t="shared" si="1014"/>
        <v>0.14232195636213027</v>
      </c>
      <c r="Y955" s="499">
        <f>SUM(X955,X957)</f>
        <v>0.22138970989664708</v>
      </c>
      <c r="Z955" s="220">
        <f>X955</f>
        <v>0.14232195636213027</v>
      </c>
      <c r="AA955" s="792">
        <f t="shared" si="1018"/>
        <v>0.14232195636213027</v>
      </c>
      <c r="AB955" s="18" t="s">
        <v>332</v>
      </c>
      <c r="AC955" s="13" t="s">
        <v>18</v>
      </c>
      <c r="AD955" s="13" t="s">
        <v>3144</v>
      </c>
      <c r="AE955" s="12">
        <v>2.3E-3</v>
      </c>
      <c r="AF955" s="12">
        <v>4.7879999999999999E-2</v>
      </c>
      <c r="AG955" s="12">
        <v>9.9999999999999995E-7</v>
      </c>
      <c r="AH955" s="12">
        <v>4.4092488403675551E-4</v>
      </c>
    </row>
    <row r="956" spans="1:34" ht="14.25">
      <c r="A956" s="14" t="s">
        <v>4337</v>
      </c>
      <c r="B956" s="24" t="s">
        <v>2668</v>
      </c>
      <c r="C956" s="14" t="s">
        <v>2730</v>
      </c>
      <c r="D956" s="14" t="s">
        <v>2911</v>
      </c>
      <c r="E956" s="14" t="s">
        <v>3524</v>
      </c>
      <c r="F956" s="13">
        <v>177.41</v>
      </c>
      <c r="G956" s="14" t="s">
        <v>4338</v>
      </c>
      <c r="H956" s="13" t="s">
        <v>2973</v>
      </c>
      <c r="I956" s="14" t="s">
        <v>4345</v>
      </c>
      <c r="J956" s="14" t="s">
        <v>4346</v>
      </c>
      <c r="K956" s="478">
        <v>0.28000000000000003</v>
      </c>
      <c r="L956" s="220">
        <v>58.8</v>
      </c>
      <c r="M956" s="568" t="s">
        <v>4347</v>
      </c>
      <c r="N956" s="479" t="s">
        <v>2937</v>
      </c>
      <c r="O956" s="569" t="s">
        <v>2976</v>
      </c>
      <c r="P956" s="14" t="s">
        <v>3121</v>
      </c>
      <c r="Q956" s="14" t="s">
        <v>4349</v>
      </c>
      <c r="R956" s="14">
        <f t="shared" si="1019"/>
        <v>0.47829937998228517</v>
      </c>
      <c r="S956" s="14">
        <f t="shared" si="817"/>
        <v>0.2812400354295837</v>
      </c>
      <c r="T956" s="487">
        <f>SUM(R951:R969)</f>
        <v>95</v>
      </c>
      <c r="U956">
        <f t="shared" si="1013"/>
        <v>0.50347303156030021</v>
      </c>
      <c r="V956" s="488">
        <f>U956*100/SUM(U951:U958,U960:U969)</f>
        <v>0.50829270129332238</v>
      </c>
      <c r="W956" s="14" t="s">
        <v>340</v>
      </c>
      <c r="X956">
        <f t="shared" si="1014"/>
        <v>0.14232195636213027</v>
      </c>
      <c r="Y956" s="499">
        <f t="shared" ref="Y956:AA956" si="1020">X956</f>
        <v>0.14232195636213027</v>
      </c>
      <c r="Z956" s="220">
        <f t="shared" si="1020"/>
        <v>0.14232195636213027</v>
      </c>
      <c r="AA956" s="792">
        <f t="shared" si="1020"/>
        <v>0.14232195636213027</v>
      </c>
      <c r="AB956" s="18" t="s">
        <v>340</v>
      </c>
      <c r="AC956" s="13" t="s">
        <v>3115</v>
      </c>
      <c r="AD956" s="13" t="s">
        <v>3116</v>
      </c>
      <c r="AE956" s="12">
        <v>2.1708241661196198E-2</v>
      </c>
      <c r="AF956" s="12">
        <v>0.36572952458380198</v>
      </c>
      <c r="AG956" s="12">
        <v>4.6350652173913045E-4</v>
      </c>
      <c r="AH956" s="12">
        <v>1.6975608035415088E-3</v>
      </c>
    </row>
    <row r="957" spans="1:34" ht="14.25">
      <c r="A957" s="14" t="s">
        <v>4337</v>
      </c>
      <c r="B957" s="24" t="s">
        <v>2668</v>
      </c>
      <c r="C957" s="14" t="s">
        <v>2730</v>
      </c>
      <c r="D957" s="14" t="s">
        <v>2911</v>
      </c>
      <c r="E957" s="14" t="s">
        <v>3524</v>
      </c>
      <c r="F957" s="13">
        <v>177.41</v>
      </c>
      <c r="G957" s="14" t="s">
        <v>4338</v>
      </c>
      <c r="H957" s="13" t="s">
        <v>2973</v>
      </c>
      <c r="I957" s="14" t="s">
        <v>4345</v>
      </c>
      <c r="J957" s="14" t="s">
        <v>4346</v>
      </c>
      <c r="K957" s="478">
        <v>0.28000000000000003</v>
      </c>
      <c r="L957" s="220">
        <v>58.8</v>
      </c>
      <c r="M957" s="568" t="s">
        <v>4347</v>
      </c>
      <c r="N957" s="479" t="s">
        <v>2937</v>
      </c>
      <c r="O957" s="569" t="s">
        <v>2976</v>
      </c>
      <c r="P957" s="14" t="s">
        <v>3121</v>
      </c>
      <c r="Q957" s="14" t="s">
        <v>4349</v>
      </c>
      <c r="R957" s="14">
        <f t="shared" si="1019"/>
        <v>0.26572187776793621</v>
      </c>
      <c r="S957" s="14">
        <f t="shared" si="817"/>
        <v>0.15624446412754647</v>
      </c>
      <c r="T957" s="487">
        <f>SUM(R951:R969)</f>
        <v>95</v>
      </c>
      <c r="U957">
        <f t="shared" si="1013"/>
        <v>0.27970723975572231</v>
      </c>
      <c r="V957" s="488">
        <f>U957*100/SUM(U951:U958,U960:U969)</f>
        <v>0.28238483405184572</v>
      </c>
      <c r="W957" s="14" t="s">
        <v>1370</v>
      </c>
      <c r="X957">
        <f t="shared" si="1014"/>
        <v>7.906775353451681E-2</v>
      </c>
      <c r="Y957" s="220" t="s">
        <v>1624</v>
      </c>
      <c r="Z957" s="220">
        <f t="shared" ref="Z957:Z958" si="1021">X957</f>
        <v>7.906775353451681E-2</v>
      </c>
      <c r="AA957" s="792">
        <f t="shared" ref="AA957:AA958" si="1022">Z957</f>
        <v>7.906775353451681E-2</v>
      </c>
      <c r="AB957" s="18" t="s">
        <v>1370</v>
      </c>
      <c r="AC957" s="13" t="s">
        <v>18</v>
      </c>
      <c r="AD957" s="13" t="s">
        <v>3144</v>
      </c>
      <c r="AE957" s="12">
        <v>1.7000000000000001E-2</v>
      </c>
      <c r="AF957" s="12">
        <v>3.15E-2</v>
      </c>
      <c r="AG957" s="12">
        <v>9.9999999999999995E-7</v>
      </c>
      <c r="AH957" s="12">
        <v>9.0389601227534877E-4</v>
      </c>
    </row>
    <row r="958" spans="1:34" ht="14.25">
      <c r="A958" s="14" t="s">
        <v>4337</v>
      </c>
      <c r="B958" s="24" t="s">
        <v>2668</v>
      </c>
      <c r="C958" s="14" t="s">
        <v>2730</v>
      </c>
      <c r="D958" s="14" t="s">
        <v>2911</v>
      </c>
      <c r="E958" s="14" t="s">
        <v>3524</v>
      </c>
      <c r="F958" s="13">
        <v>177.41</v>
      </c>
      <c r="G958" s="14" t="s">
        <v>4338</v>
      </c>
      <c r="H958" s="13" t="s">
        <v>2973</v>
      </c>
      <c r="I958" s="14" t="s">
        <v>4345</v>
      </c>
      <c r="J958" s="14" t="s">
        <v>4346</v>
      </c>
      <c r="K958" s="478">
        <v>0.28000000000000003</v>
      </c>
      <c r="L958" s="220">
        <v>58.8</v>
      </c>
      <c r="M958" s="568" t="s">
        <v>4347</v>
      </c>
      <c r="N958" s="479" t="s">
        <v>2937</v>
      </c>
      <c r="O958" s="569" t="s">
        <v>2976</v>
      </c>
      <c r="P958" s="14" t="s">
        <v>3121</v>
      </c>
      <c r="Q958" s="14" t="s">
        <v>4349</v>
      </c>
      <c r="R958" s="14">
        <f t="shared" si="1019"/>
        <v>2.6572187776793623E-2</v>
      </c>
      <c r="S958" s="14">
        <f t="shared" si="817"/>
        <v>1.5624446412754652E-2</v>
      </c>
      <c r="T958" s="487">
        <f>SUM(R951:R969)</f>
        <v>95</v>
      </c>
      <c r="U958">
        <f t="shared" si="1013"/>
        <v>2.7970723975572234E-2</v>
      </c>
      <c r="V958" s="488">
        <f>U958*100/SUM(U951:U958,U960:U969)</f>
        <v>2.8238483405184575E-2</v>
      </c>
      <c r="W958" s="14" t="s">
        <v>4351</v>
      </c>
      <c r="X958">
        <f t="shared" si="1014"/>
        <v>7.9067753534516824E-3</v>
      </c>
      <c r="Y958" s="220" t="s">
        <v>1624</v>
      </c>
      <c r="Z958" s="220">
        <f t="shared" si="1021"/>
        <v>7.9067753534516824E-3</v>
      </c>
      <c r="AA958" s="792">
        <f t="shared" si="1022"/>
        <v>7.9067753534516824E-3</v>
      </c>
      <c r="AB958" s="18" t="s">
        <v>343</v>
      </c>
      <c r="AC958" s="13" t="s">
        <v>2982</v>
      </c>
      <c r="AD958" s="13" t="s">
        <v>2983</v>
      </c>
      <c r="AE958" s="12">
        <v>2.9691872042618299E-2</v>
      </c>
      <c r="AF958" s="12">
        <v>7.5368545517799299E-2</v>
      </c>
      <c r="AG958" s="12">
        <v>2.9014018691588786E-4</v>
      </c>
      <c r="AH958" s="12">
        <v>1.4770983615231311E-3</v>
      </c>
    </row>
    <row r="959" spans="1:34" ht="14.25">
      <c r="A959" s="14" t="s">
        <v>4337</v>
      </c>
      <c r="B959" s="24" t="s">
        <v>2668</v>
      </c>
      <c r="C959" s="14" t="s">
        <v>2730</v>
      </c>
      <c r="D959" s="14" t="s">
        <v>2911</v>
      </c>
      <c r="E959" s="14" t="s">
        <v>3524</v>
      </c>
      <c r="F959" s="13">
        <v>177.41</v>
      </c>
      <c r="G959" s="14" t="s">
        <v>4338</v>
      </c>
      <c r="H959" s="13" t="s">
        <v>2973</v>
      </c>
      <c r="I959" s="14" t="s">
        <v>4345</v>
      </c>
      <c r="J959" s="14" t="s">
        <v>4346</v>
      </c>
      <c r="K959" s="478">
        <v>0.28000000000000003</v>
      </c>
      <c r="L959" s="220">
        <v>58.8</v>
      </c>
      <c r="M959" s="568" t="s">
        <v>4347</v>
      </c>
      <c r="N959" s="479" t="s">
        <v>2937</v>
      </c>
      <c r="O959" s="569" t="s">
        <v>2976</v>
      </c>
      <c r="P959" s="490" t="s">
        <v>3121</v>
      </c>
      <c r="Q959" s="490" t="s">
        <v>4349</v>
      </c>
      <c r="R959" s="14">
        <f t="shared" si="1019"/>
        <v>0.90079716563330381</v>
      </c>
      <c r="S959" s="14">
        <f t="shared" si="817"/>
        <v>0.52966873339238263</v>
      </c>
      <c r="T959" s="487">
        <f>SUM(R951:R969)</f>
        <v>95</v>
      </c>
      <c r="U959">
        <f t="shared" si="1013"/>
        <v>0.94820754277189878</v>
      </c>
      <c r="V959" s="575">
        <f>V135*3.157894737*0.01</f>
        <v>0.94820754281930908</v>
      </c>
      <c r="W959" s="482" t="s">
        <v>72</v>
      </c>
      <c r="X959" s="482">
        <f t="shared" si="1014"/>
        <v>0.26549811198940659</v>
      </c>
      <c r="Y959" s="516">
        <f t="shared" ref="Y959:AA959" si="1023">X959</f>
        <v>0.26549811198940659</v>
      </c>
      <c r="Z959" s="470">
        <f t="shared" si="1023"/>
        <v>0.26549811198940659</v>
      </c>
      <c r="AA959" s="810">
        <f t="shared" si="1023"/>
        <v>0.26549811198940659</v>
      </c>
      <c r="AB959" s="811" t="s">
        <v>72</v>
      </c>
      <c r="AC959" s="469" t="s">
        <v>2938</v>
      </c>
      <c r="AD959" s="469" t="s">
        <v>2940</v>
      </c>
      <c r="AE959" s="457">
        <v>0</v>
      </c>
      <c r="AF959" s="457">
        <v>0</v>
      </c>
      <c r="AG959" s="457">
        <v>0</v>
      </c>
      <c r="AH959" s="457">
        <v>0</v>
      </c>
    </row>
    <row r="960" spans="1:34" ht="14.25">
      <c r="A960" s="14" t="s">
        <v>4337</v>
      </c>
      <c r="B960" s="24" t="s">
        <v>2668</v>
      </c>
      <c r="C960" s="14" t="s">
        <v>2730</v>
      </c>
      <c r="D960" s="14" t="s">
        <v>2911</v>
      </c>
      <c r="E960" s="14" t="s">
        <v>3524</v>
      </c>
      <c r="F960" s="13">
        <v>177.41</v>
      </c>
      <c r="G960" s="14" t="s">
        <v>4338</v>
      </c>
      <c r="H960" s="13" t="s">
        <v>2973</v>
      </c>
      <c r="I960" s="14" t="s">
        <v>4345</v>
      </c>
      <c r="J960" s="14" t="s">
        <v>4346</v>
      </c>
      <c r="K960" s="478">
        <v>0.28000000000000003</v>
      </c>
      <c r="L960" s="220">
        <v>58.8</v>
      </c>
      <c r="M960" s="568" t="s">
        <v>4347</v>
      </c>
      <c r="N960" s="479" t="s">
        <v>2937</v>
      </c>
      <c r="O960" s="569" t="s">
        <v>2976</v>
      </c>
      <c r="P960" s="14" t="s">
        <v>4143</v>
      </c>
      <c r="Q960" s="14" t="s">
        <v>3014</v>
      </c>
      <c r="R960" s="14">
        <v>1</v>
      </c>
      <c r="S960" s="14">
        <f t="shared" si="817"/>
        <v>0.58799999999999997</v>
      </c>
      <c r="T960" s="487">
        <f>SUM(R951:R969)</f>
        <v>95</v>
      </c>
      <c r="U960">
        <f t="shared" si="1013"/>
        <v>1.0526315789473684</v>
      </c>
      <c r="V960" s="220">
        <f>U960*100/SUM(U951:U958,U960:U969)</f>
        <v>1.0627082588151129</v>
      </c>
      <c r="W960" s="14" t="s">
        <v>88</v>
      </c>
      <c r="X960">
        <f t="shared" si="1014"/>
        <v>0.29755831246823161</v>
      </c>
      <c r="Y960" s="220" t="s">
        <v>1666</v>
      </c>
      <c r="Z960" s="220">
        <f>X960</f>
        <v>0.29755831246823161</v>
      </c>
      <c r="AA960" s="792">
        <f t="shared" ref="AA960:AA961" si="1024">Z960</f>
        <v>0.29755831246823161</v>
      </c>
      <c r="AB960" s="18" t="s">
        <v>2528</v>
      </c>
      <c r="AC960" s="13" t="s">
        <v>3015</v>
      </c>
      <c r="AD960" s="13" t="s">
        <v>3016</v>
      </c>
      <c r="AE960" s="12">
        <v>5.5280749052132698E-2</v>
      </c>
      <c r="AF960" s="12">
        <v>0.16253532298578199</v>
      </c>
      <c r="AG960" s="12">
        <v>1.0836239353080568E-3</v>
      </c>
      <c r="AH960" s="12">
        <v>1.0196349526066351E-2</v>
      </c>
    </row>
    <row r="961" spans="1:34" ht="14.25">
      <c r="A961" s="14" t="s">
        <v>4337</v>
      </c>
      <c r="B961" s="24" t="s">
        <v>2668</v>
      </c>
      <c r="C961" s="14" t="s">
        <v>2730</v>
      </c>
      <c r="D961" s="14" t="s">
        <v>2911</v>
      </c>
      <c r="E961" s="14" t="s">
        <v>3524</v>
      </c>
      <c r="F961" s="13">
        <v>177.41</v>
      </c>
      <c r="G961" s="14" t="s">
        <v>4338</v>
      </c>
      <c r="H961" s="13" t="s">
        <v>2973</v>
      </c>
      <c r="I961" s="14" t="s">
        <v>4345</v>
      </c>
      <c r="J961" s="14" t="s">
        <v>4346</v>
      </c>
      <c r="K961" s="478">
        <v>0.28000000000000003</v>
      </c>
      <c r="L961" s="220">
        <v>58.8</v>
      </c>
      <c r="M961" s="568" t="s">
        <v>4347</v>
      </c>
      <c r="N961" s="479" t="s">
        <v>2937</v>
      </c>
      <c r="O961" s="569" t="s">
        <v>2976</v>
      </c>
      <c r="P961" s="655" t="s">
        <v>2987</v>
      </c>
      <c r="Q961" s="486" t="s">
        <v>2981</v>
      </c>
      <c r="R961" s="14">
        <v>0.5</v>
      </c>
      <c r="S961" s="14">
        <f t="shared" si="817"/>
        <v>0.29399999999999998</v>
      </c>
      <c r="T961" s="487">
        <f>SUM(R951:R969)</f>
        <v>95</v>
      </c>
      <c r="U961">
        <f t="shared" si="1013"/>
        <v>0.52631578947368418</v>
      </c>
      <c r="V961" s="220">
        <f>U961*100/SUM(U951:U958,U960:U969)</f>
        <v>0.53135412940755644</v>
      </c>
      <c r="W961" s="14" t="s">
        <v>349</v>
      </c>
      <c r="X961">
        <f t="shared" si="1014"/>
        <v>0.14877915623411581</v>
      </c>
      <c r="Y961" s="220" t="s">
        <v>1624</v>
      </c>
      <c r="Z961" s="220" t="s">
        <v>1666</v>
      </c>
      <c r="AA961" s="792" t="str">
        <f t="shared" si="1024"/>
        <v>*</v>
      </c>
      <c r="AB961" s="458" t="str">
        <f t="shared" ref="AB961:AH961" si="1025">AA961</f>
        <v>*</v>
      </c>
      <c r="AC961" s="497" t="str">
        <f t="shared" si="1025"/>
        <v>*</v>
      </c>
      <c r="AD961" s="497" t="str">
        <f t="shared" si="1025"/>
        <v>*</v>
      </c>
      <c r="AE961" s="454" t="str">
        <f t="shared" si="1025"/>
        <v>*</v>
      </c>
      <c r="AF961" s="454" t="str">
        <f t="shared" si="1025"/>
        <v>*</v>
      </c>
      <c r="AG961" s="454" t="str">
        <f t="shared" si="1025"/>
        <v>*</v>
      </c>
      <c r="AH961" s="454" t="str">
        <f t="shared" si="1025"/>
        <v>*</v>
      </c>
    </row>
    <row r="962" spans="1:34" ht="14.25">
      <c r="A962" s="14" t="s">
        <v>4337</v>
      </c>
      <c r="B962" s="24" t="s">
        <v>2668</v>
      </c>
      <c r="C962" s="14" t="s">
        <v>2730</v>
      </c>
      <c r="D962" s="14" t="s">
        <v>2911</v>
      </c>
      <c r="E962" s="14" t="s">
        <v>3524</v>
      </c>
      <c r="F962" s="13">
        <v>177.41</v>
      </c>
      <c r="G962" s="14" t="s">
        <v>4338</v>
      </c>
      <c r="H962" s="13" t="s">
        <v>2973</v>
      </c>
      <c r="I962" s="14" t="s">
        <v>4345</v>
      </c>
      <c r="J962" s="14" t="s">
        <v>4346</v>
      </c>
      <c r="K962" s="478">
        <v>0.28000000000000003</v>
      </c>
      <c r="L962" s="220">
        <v>58.8</v>
      </c>
      <c r="M962" s="568" t="s">
        <v>4347</v>
      </c>
      <c r="N962" s="479" t="s">
        <v>2937</v>
      </c>
      <c r="O962" s="569" t="s">
        <v>2976</v>
      </c>
      <c r="P962" s="14" t="s">
        <v>3853</v>
      </c>
      <c r="Q962" s="491" t="s">
        <v>4336</v>
      </c>
      <c r="R962" s="14">
        <v>0.5</v>
      </c>
      <c r="S962" s="14">
        <f t="shared" si="817"/>
        <v>0.29399999999999998</v>
      </c>
      <c r="T962" s="487">
        <f>SUM(R951:R969)</f>
        <v>95</v>
      </c>
      <c r="U962">
        <f t="shared" si="1013"/>
        <v>0.52631578947368418</v>
      </c>
      <c r="V962" s="220">
        <f>U962*100/SUM(U951:U958,U960:U969)</f>
        <v>0.53135412940755644</v>
      </c>
      <c r="W962" s="14" t="s">
        <v>324</v>
      </c>
      <c r="X962">
        <f t="shared" si="1014"/>
        <v>0.14877915623411581</v>
      </c>
      <c r="Y962" s="499">
        <f t="shared" ref="Y962:AA962" si="1026">X962</f>
        <v>0.14877915623411581</v>
      </c>
      <c r="Z962" s="220">
        <f t="shared" si="1026"/>
        <v>0.14877915623411581</v>
      </c>
      <c r="AA962" s="792">
        <f t="shared" si="1026"/>
        <v>0.14877915623411581</v>
      </c>
      <c r="AB962" s="18" t="s">
        <v>324</v>
      </c>
      <c r="AC962" s="13" t="s">
        <v>18</v>
      </c>
      <c r="AD962" s="13" t="s">
        <v>3144</v>
      </c>
      <c r="AE962" s="12">
        <v>1.0652903141570055E-3</v>
      </c>
      <c r="AF962" s="12">
        <v>1.7273631840796021E-2</v>
      </c>
      <c r="AG962" s="12">
        <v>1.3582399999999999E-4</v>
      </c>
      <c r="AH962" s="12">
        <v>2.14E-3</v>
      </c>
    </row>
    <row r="963" spans="1:34" ht="14.25">
      <c r="A963" s="14" t="s">
        <v>4337</v>
      </c>
      <c r="B963" s="24" t="s">
        <v>2668</v>
      </c>
      <c r="C963" s="14" t="s">
        <v>2730</v>
      </c>
      <c r="D963" s="14" t="s">
        <v>2911</v>
      </c>
      <c r="E963" s="14" t="s">
        <v>3524</v>
      </c>
      <c r="F963" s="13">
        <v>177.41</v>
      </c>
      <c r="G963" s="14" t="s">
        <v>4338</v>
      </c>
      <c r="H963" s="13" t="s">
        <v>2973</v>
      </c>
      <c r="I963" s="14" t="s">
        <v>4345</v>
      </c>
      <c r="J963" s="14" t="s">
        <v>4346</v>
      </c>
      <c r="K963" s="478">
        <v>0.28000000000000003</v>
      </c>
      <c r="L963" s="220">
        <v>58.8</v>
      </c>
      <c r="M963" s="568" t="s">
        <v>4347</v>
      </c>
      <c r="N963" s="479" t="s">
        <v>2937</v>
      </c>
      <c r="O963" s="569" t="s">
        <v>2976</v>
      </c>
      <c r="P963" s="14" t="s">
        <v>4352</v>
      </c>
      <c r="Q963" s="435" t="s">
        <v>2963</v>
      </c>
      <c r="R963" s="14">
        <v>1</v>
      </c>
      <c r="S963" s="14">
        <f t="shared" si="817"/>
        <v>0.58799999999999997</v>
      </c>
      <c r="T963" s="487">
        <f>SUM(R951:R969)</f>
        <v>95</v>
      </c>
      <c r="U963">
        <f t="shared" si="1013"/>
        <v>1.0526315789473684</v>
      </c>
      <c r="V963" s="220">
        <f>U963*100/SUM(U951:U958,U960:U969)</f>
        <v>1.0627082588151129</v>
      </c>
      <c r="W963" s="14" t="s">
        <v>425</v>
      </c>
      <c r="X963">
        <f t="shared" si="1014"/>
        <v>0.29755831246823161</v>
      </c>
      <c r="Y963" s="499">
        <f t="shared" ref="Y963:AA963" si="1027">X963</f>
        <v>0.29755831246823161</v>
      </c>
      <c r="Z963" s="220">
        <f t="shared" si="1027"/>
        <v>0.29755831246823161</v>
      </c>
      <c r="AA963" s="792">
        <f t="shared" si="1027"/>
        <v>0.29755831246823161</v>
      </c>
      <c r="AB963" s="18" t="s">
        <v>425</v>
      </c>
      <c r="AC963" s="13" t="s">
        <v>2964</v>
      </c>
      <c r="AD963" s="13" t="s">
        <v>2965</v>
      </c>
      <c r="AE963" s="12">
        <v>3.8102374934982654E-3</v>
      </c>
      <c r="AF963" s="12">
        <v>0.20470422547079484</v>
      </c>
      <c r="AG963" s="12">
        <v>1.210810810810811E-4</v>
      </c>
      <c r="AH963" s="12">
        <v>1.0002400855855065E-3</v>
      </c>
    </row>
    <row r="964" spans="1:34" ht="14.25">
      <c r="A964" s="14" t="s">
        <v>4337</v>
      </c>
      <c r="B964" s="24" t="s">
        <v>2668</v>
      </c>
      <c r="C964" s="14" t="s">
        <v>2730</v>
      </c>
      <c r="D964" s="14" t="s">
        <v>2911</v>
      </c>
      <c r="E964" s="14" t="s">
        <v>3524</v>
      </c>
      <c r="F964" s="13">
        <v>177.41</v>
      </c>
      <c r="G964" s="14" t="s">
        <v>4338</v>
      </c>
      <c r="H964" s="13" t="s">
        <v>2973</v>
      </c>
      <c r="I964" s="14" t="s">
        <v>4345</v>
      </c>
      <c r="J964" s="14" t="s">
        <v>4346</v>
      </c>
      <c r="K964" s="478">
        <v>0.28000000000000003</v>
      </c>
      <c r="L964" s="220">
        <v>58.8</v>
      </c>
      <c r="M964" s="568" t="s">
        <v>4347</v>
      </c>
      <c r="N964" s="479" t="s">
        <v>2937</v>
      </c>
      <c r="O964" s="569" t="s">
        <v>2976</v>
      </c>
      <c r="P964" s="14" t="s">
        <v>2994</v>
      </c>
      <c r="Q964" s="14" t="s">
        <v>2995</v>
      </c>
      <c r="R964" s="14">
        <v>1</v>
      </c>
      <c r="S964" s="14">
        <f t="shared" si="817"/>
        <v>0.58799999999999997</v>
      </c>
      <c r="T964" s="487">
        <f>SUM(R951:R969)</f>
        <v>95</v>
      </c>
      <c r="U964">
        <f t="shared" si="1013"/>
        <v>1.0526315789473684</v>
      </c>
      <c r="V964" s="220">
        <f>U964*100/SUM(U951:U958,U960:U969)</f>
        <v>1.0627082588151129</v>
      </c>
      <c r="W964" s="14" t="s">
        <v>121</v>
      </c>
      <c r="X964">
        <f t="shared" si="1014"/>
        <v>0.29755831246823161</v>
      </c>
      <c r="Y964" s="220" t="s">
        <v>1666</v>
      </c>
      <c r="Z964" s="220">
        <f t="shared" ref="Z964:Z965" si="1028">X964</f>
        <v>0.29755831246823161</v>
      </c>
      <c r="AA964" s="792">
        <f t="shared" ref="AA964:AA965" si="1029">Z964</f>
        <v>0.29755831246823161</v>
      </c>
      <c r="AB964" s="18" t="s">
        <v>2523</v>
      </c>
      <c r="AC964" s="14" t="s">
        <v>121</v>
      </c>
      <c r="AD964" s="14" t="s">
        <v>3016</v>
      </c>
      <c r="AE964" s="12">
        <v>4.1127278199052132E-2</v>
      </c>
      <c r="AF964" s="12">
        <v>0.12092157867298578</v>
      </c>
      <c r="AG964" s="12">
        <v>8.0618486208530824E-4</v>
      </c>
      <c r="AH964" s="12">
        <v>7.5857890995260661E-3</v>
      </c>
    </row>
    <row r="965" spans="1:34" ht="14.25">
      <c r="A965" s="14" t="s">
        <v>4337</v>
      </c>
      <c r="B965" s="24" t="s">
        <v>2668</v>
      </c>
      <c r="C965" s="14" t="s">
        <v>2730</v>
      </c>
      <c r="D965" s="14" t="s">
        <v>2911</v>
      </c>
      <c r="E965" s="14" t="s">
        <v>3524</v>
      </c>
      <c r="F965" s="13">
        <v>177.41</v>
      </c>
      <c r="G965" s="14" t="s">
        <v>4338</v>
      </c>
      <c r="H965" s="13" t="s">
        <v>2973</v>
      </c>
      <c r="I965" s="14" t="s">
        <v>4345</v>
      </c>
      <c r="J965" s="14" t="s">
        <v>4346</v>
      </c>
      <c r="K965" s="478">
        <v>0.28000000000000003</v>
      </c>
      <c r="L965" s="220">
        <v>58.8</v>
      </c>
      <c r="M965" s="568" t="s">
        <v>4347</v>
      </c>
      <c r="N965" s="479" t="s">
        <v>2937</v>
      </c>
      <c r="O965" s="569" t="s">
        <v>2976</v>
      </c>
      <c r="P965" s="14" t="s">
        <v>2776</v>
      </c>
      <c r="Q965" s="14" t="s">
        <v>3040</v>
      </c>
      <c r="R965" s="14">
        <v>1</v>
      </c>
      <c r="S965" s="14">
        <f t="shared" si="817"/>
        <v>0.58799999999999997</v>
      </c>
      <c r="T965" s="487">
        <f>SUM(R951:R969)</f>
        <v>95</v>
      </c>
      <c r="U965">
        <f t="shared" si="1013"/>
        <v>1.0526315789473684</v>
      </c>
      <c r="V965" s="220">
        <f>U965*100/SUM(U951:U958,U960:U969)</f>
        <v>1.0627082588151129</v>
      </c>
      <c r="W965" s="14" t="s">
        <v>2776</v>
      </c>
      <c r="X965">
        <f t="shared" si="1014"/>
        <v>0.29755831246823161</v>
      </c>
      <c r="Y965" s="220" t="s">
        <v>1666</v>
      </c>
      <c r="Z965" s="220">
        <f t="shared" si="1028"/>
        <v>0.29755831246823161</v>
      </c>
      <c r="AA965" s="792">
        <f t="shared" si="1029"/>
        <v>0.29755831246823161</v>
      </c>
      <c r="AB965" s="18" t="s">
        <v>2732</v>
      </c>
      <c r="AC965" s="13" t="s">
        <v>2776</v>
      </c>
      <c r="AD965" s="13" t="s">
        <v>3011</v>
      </c>
      <c r="AE965" s="12">
        <v>1.5483515402843602E-2</v>
      </c>
      <c r="AF965" s="12">
        <v>4.5524313981042654E-2</v>
      </c>
      <c r="AG965" s="12">
        <v>3.0351086374407588E-4</v>
      </c>
      <c r="AH965" s="12">
        <v>2.8558827014218014E-3</v>
      </c>
    </row>
    <row r="966" spans="1:34" ht="14.25">
      <c r="A966" s="14" t="s">
        <v>4337</v>
      </c>
      <c r="B966" s="24" t="s">
        <v>2668</v>
      </c>
      <c r="C966" s="14" t="s">
        <v>2730</v>
      </c>
      <c r="D966" s="14" t="s">
        <v>2911</v>
      </c>
      <c r="E966" s="14" t="s">
        <v>3524</v>
      </c>
      <c r="F966" s="13">
        <v>177.41</v>
      </c>
      <c r="G966" s="14" t="s">
        <v>4338</v>
      </c>
      <c r="H966" s="13" t="s">
        <v>2973</v>
      </c>
      <c r="I966" s="14" t="s">
        <v>4345</v>
      </c>
      <c r="J966" s="14" t="s">
        <v>4346</v>
      </c>
      <c r="K966" s="478">
        <v>0.28000000000000003</v>
      </c>
      <c r="L966" s="220">
        <v>58.8</v>
      </c>
      <c r="M966" s="568" t="s">
        <v>4347</v>
      </c>
      <c r="N966" s="479" t="s">
        <v>2937</v>
      </c>
      <c r="O966" s="569" t="s">
        <v>2976</v>
      </c>
      <c r="P966" s="14" t="s">
        <v>4353</v>
      </c>
      <c r="Q966" s="486" t="s">
        <v>4354</v>
      </c>
      <c r="R966" s="14">
        <v>0.5</v>
      </c>
      <c r="S966" s="14">
        <f t="shared" si="817"/>
        <v>0.29399999999999998</v>
      </c>
      <c r="T966" s="487">
        <f>SUM(R951:R969)</f>
        <v>95</v>
      </c>
      <c r="U966">
        <f t="shared" si="1013"/>
        <v>0.52631578947368418</v>
      </c>
      <c r="V966" s="220">
        <f>U966*100/SUM(U951:U958,U960:U969)</f>
        <v>0.53135412940755644</v>
      </c>
      <c r="W966" s="14" t="s">
        <v>4355</v>
      </c>
      <c r="X966">
        <f t="shared" si="1014"/>
        <v>0.14877915623411581</v>
      </c>
      <c r="Y966" s="499">
        <f t="shared" ref="Y966:AA966" si="1030">X966</f>
        <v>0.14877915623411581</v>
      </c>
      <c r="Z966" s="220">
        <f t="shared" si="1030"/>
        <v>0.14877915623411581</v>
      </c>
      <c r="AA966" s="792">
        <f t="shared" si="1030"/>
        <v>0.14877915623411581</v>
      </c>
      <c r="AB966" s="18" t="s">
        <v>2733</v>
      </c>
      <c r="AC966" s="13" t="s">
        <v>4356</v>
      </c>
      <c r="AD966" s="13" t="s">
        <v>3498</v>
      </c>
      <c r="AE966" s="12">
        <v>9.6087130421459947E-3</v>
      </c>
      <c r="AF966" s="12">
        <v>0.16691911148384272</v>
      </c>
      <c r="AG966" s="12">
        <v>1.5345345345345343E-4</v>
      </c>
      <c r="AH966" s="12">
        <v>3.6247130630630633E-3</v>
      </c>
    </row>
    <row r="967" spans="1:34" ht="14.25">
      <c r="A967" s="14" t="s">
        <v>4337</v>
      </c>
      <c r="B967" s="24" t="s">
        <v>2668</v>
      </c>
      <c r="C967" s="14" t="s">
        <v>2730</v>
      </c>
      <c r="D967" s="14" t="s">
        <v>2911</v>
      </c>
      <c r="E967" s="14" t="s">
        <v>3524</v>
      </c>
      <c r="F967" s="13">
        <v>177.41</v>
      </c>
      <c r="G967" s="14" t="s">
        <v>4338</v>
      </c>
      <c r="H967" s="13" t="s">
        <v>2973</v>
      </c>
      <c r="I967" s="14" t="s">
        <v>4345</v>
      </c>
      <c r="J967" s="14" t="s">
        <v>4346</v>
      </c>
      <c r="K967" s="478">
        <v>0.28000000000000003</v>
      </c>
      <c r="L967" s="220">
        <v>58.8</v>
      </c>
      <c r="M967" s="568" t="s">
        <v>4347</v>
      </c>
      <c r="N967" s="479" t="s">
        <v>2937</v>
      </c>
      <c r="O967" s="569" t="s">
        <v>2976</v>
      </c>
      <c r="P967" s="14" t="s">
        <v>3426</v>
      </c>
      <c r="Q967" s="14" t="s">
        <v>3427</v>
      </c>
      <c r="R967" s="14">
        <v>0.5</v>
      </c>
      <c r="S967" s="14">
        <f t="shared" si="817"/>
        <v>0.29399999999999998</v>
      </c>
      <c r="T967" s="487">
        <f>SUM(R951:R969)</f>
        <v>95</v>
      </c>
      <c r="U967">
        <f t="shared" si="1013"/>
        <v>0.52631578947368418</v>
      </c>
      <c r="V967" s="220">
        <f>U967*100/SUM(U951:U958,U960:U969)</f>
        <v>0.53135412940755644</v>
      </c>
      <c r="W967" s="14" t="s">
        <v>465</v>
      </c>
      <c r="X967">
        <f t="shared" si="1014"/>
        <v>0.14877915623411581</v>
      </c>
      <c r="Y967" s="499">
        <f t="shared" ref="Y967:AA967" si="1031">X967</f>
        <v>0.14877915623411581</v>
      </c>
      <c r="Z967" s="220">
        <f t="shared" si="1031"/>
        <v>0.14877915623411581</v>
      </c>
      <c r="AA967" s="792">
        <f t="shared" si="1031"/>
        <v>0.14877915623411581</v>
      </c>
      <c r="AB967" s="18" t="s">
        <v>465</v>
      </c>
      <c r="AC967" s="13" t="s">
        <v>4357</v>
      </c>
      <c r="AD967" s="13" t="s">
        <v>25</v>
      </c>
      <c r="AE967" s="12">
        <v>3.5869956401399267E-3</v>
      </c>
      <c r="AF967" s="12">
        <v>5.9424698083949859E-2</v>
      </c>
      <c r="AG967" s="12">
        <v>2.0682712335107616E-4</v>
      </c>
      <c r="AH967" s="12">
        <v>2.4206091537452754E-3</v>
      </c>
    </row>
    <row r="968" spans="1:34" ht="14.25">
      <c r="A968" s="14" t="s">
        <v>4337</v>
      </c>
      <c r="B968" s="24" t="s">
        <v>2668</v>
      </c>
      <c r="C968" s="14" t="s">
        <v>2730</v>
      </c>
      <c r="D968" s="14" t="s">
        <v>2911</v>
      </c>
      <c r="E968" s="14" t="s">
        <v>3524</v>
      </c>
      <c r="F968" s="13">
        <v>177.41</v>
      </c>
      <c r="G968" s="14" t="s">
        <v>4338</v>
      </c>
      <c r="H968" s="13" t="s">
        <v>2973</v>
      </c>
      <c r="I968" s="14" t="s">
        <v>4345</v>
      </c>
      <c r="J968" s="14" t="s">
        <v>4346</v>
      </c>
      <c r="K968" s="478">
        <v>0.28000000000000003</v>
      </c>
      <c r="L968" s="220">
        <v>58.8</v>
      </c>
      <c r="M968" s="568" t="s">
        <v>4347</v>
      </c>
      <c r="N968" s="479" t="s">
        <v>2937</v>
      </c>
      <c r="O968" s="569" t="s">
        <v>2976</v>
      </c>
      <c r="P968" s="14" t="s">
        <v>2584</v>
      </c>
      <c r="Q968" s="486" t="s">
        <v>3423</v>
      </c>
      <c r="R968" s="14">
        <v>0.5</v>
      </c>
      <c r="S968" s="14">
        <f t="shared" si="817"/>
        <v>0.29399999999999998</v>
      </c>
      <c r="T968" s="487">
        <f>SUM(R951:R969)</f>
        <v>95</v>
      </c>
      <c r="U968">
        <f t="shared" si="1013"/>
        <v>0.52631578947368418</v>
      </c>
      <c r="V968" s="220">
        <f>U968*100/SUM(U951:U958,U960:U969)</f>
        <v>0.53135412940755644</v>
      </c>
      <c r="W968" s="14" t="s">
        <v>2584</v>
      </c>
      <c r="X968">
        <f t="shared" si="1014"/>
        <v>0.14877915623411581</v>
      </c>
      <c r="Y968" s="499">
        <f t="shared" ref="Y968:AA968" si="1032">X968</f>
        <v>0.14877915623411581</v>
      </c>
      <c r="Z968" s="220">
        <f t="shared" si="1032"/>
        <v>0.14877915623411581</v>
      </c>
      <c r="AA968" s="792">
        <f t="shared" si="1032"/>
        <v>0.14877915623411581</v>
      </c>
      <c r="AB968" s="18" t="s">
        <v>2584</v>
      </c>
      <c r="AC968" s="13" t="s">
        <v>3424</v>
      </c>
      <c r="AD968" s="13" t="s">
        <v>3425</v>
      </c>
      <c r="AE968" s="12">
        <v>4.7754773653722405E-4</v>
      </c>
      <c r="AF968" s="12">
        <v>9.9048845026103102E-3</v>
      </c>
      <c r="AG968" s="12">
        <v>1.1598405219282348E-5</v>
      </c>
      <c r="AH968" s="12">
        <v>9.908404494382022E-5</v>
      </c>
    </row>
    <row r="969" spans="1:34" ht="14.25">
      <c r="A969" s="617" t="s">
        <v>4337</v>
      </c>
      <c r="B969" s="794" t="s">
        <v>2668</v>
      </c>
      <c r="C969" s="617" t="s">
        <v>2730</v>
      </c>
      <c r="D969" s="617" t="s">
        <v>2911</v>
      </c>
      <c r="E969" s="617" t="s">
        <v>3524</v>
      </c>
      <c r="F969" s="799">
        <v>177.41</v>
      </c>
      <c r="G969" s="617" t="s">
        <v>4338</v>
      </c>
      <c r="H969" s="799" t="s">
        <v>2973</v>
      </c>
      <c r="I969" s="617" t="s">
        <v>4345</v>
      </c>
      <c r="J969" s="617" t="s">
        <v>4346</v>
      </c>
      <c r="K969" s="838">
        <v>0.28000000000000003</v>
      </c>
      <c r="L969" s="725">
        <v>58.8</v>
      </c>
      <c r="M969" s="911" t="s">
        <v>4347</v>
      </c>
      <c r="N969" s="841" t="s">
        <v>2937</v>
      </c>
      <c r="O969" s="912" t="s">
        <v>2976</v>
      </c>
      <c r="P969" s="849" t="s">
        <v>4252</v>
      </c>
      <c r="Q969" s="856" t="s">
        <v>4358</v>
      </c>
      <c r="R969" s="617">
        <v>0.5</v>
      </c>
      <c r="S969" s="617">
        <f t="shared" si="817"/>
        <v>0.29399999999999998</v>
      </c>
      <c r="T969" s="851">
        <f>SUM(R951:R969)</f>
        <v>95</v>
      </c>
      <c r="U969" s="617">
        <f t="shared" si="1013"/>
        <v>0.52631578947368418</v>
      </c>
      <c r="V969" s="725">
        <f>U969*100/SUM(U951:U958,U960:U969)</f>
        <v>0.53135412940755644</v>
      </c>
      <c r="W969" s="617" t="s">
        <v>128</v>
      </c>
      <c r="X969" s="617">
        <f t="shared" si="1014"/>
        <v>0.14877915623411581</v>
      </c>
      <c r="Y969" s="725" t="s">
        <v>1666</v>
      </c>
      <c r="Z969" s="725">
        <f>X969</f>
        <v>0.14877915623411581</v>
      </c>
      <c r="AA969" s="455">
        <f>Z969</f>
        <v>0.14877915623411581</v>
      </c>
      <c r="AB969" s="793" t="s">
        <v>2734</v>
      </c>
      <c r="AC969" s="617" t="s">
        <v>4254</v>
      </c>
      <c r="AD969" s="617" t="s">
        <v>4255</v>
      </c>
      <c r="AE969" s="635">
        <v>1.42078990521327E-2</v>
      </c>
      <c r="AF969" s="635">
        <v>4.1773772985781985E-2</v>
      </c>
      <c r="AG969" s="635">
        <v>2.785059853080569E-4</v>
      </c>
      <c r="AH969" s="635">
        <v>2.6205995260663506E-3</v>
      </c>
    </row>
    <row r="970" spans="1:34" ht="14.25">
      <c r="A970" s="14" t="s">
        <v>4359</v>
      </c>
      <c r="B970" s="24" t="s">
        <v>2668</v>
      </c>
      <c r="C970" s="14" t="s">
        <v>2735</v>
      </c>
      <c r="D970" s="14" t="s">
        <v>2911</v>
      </c>
      <c r="E970" s="14" t="s">
        <v>4360</v>
      </c>
      <c r="F970" s="13">
        <v>28</v>
      </c>
      <c r="G970" s="14" t="s">
        <v>4361</v>
      </c>
      <c r="H970" s="567" t="s">
        <v>2934</v>
      </c>
      <c r="I970" s="14" t="s">
        <v>4362</v>
      </c>
      <c r="J970" s="14" t="s">
        <v>4363</v>
      </c>
      <c r="K970" s="478">
        <v>1</v>
      </c>
      <c r="L970" s="220">
        <v>28</v>
      </c>
      <c r="M970" s="568" t="s">
        <v>4364</v>
      </c>
      <c r="N970" s="479" t="s">
        <v>2937</v>
      </c>
      <c r="O970" s="569" t="s">
        <v>2976</v>
      </c>
      <c r="P970" s="14" t="s">
        <v>3521</v>
      </c>
      <c r="Q970" s="435" t="s">
        <v>4330</v>
      </c>
      <c r="R970" s="14">
        <v>195</v>
      </c>
      <c r="S970" s="14">
        <f t="shared" si="817"/>
        <v>54.6</v>
      </c>
      <c r="T970" s="487">
        <f>SUM(R970:R995)</f>
        <v>246</v>
      </c>
      <c r="U970">
        <f t="shared" si="1013"/>
        <v>79.268292682926827</v>
      </c>
      <c r="V970" s="220"/>
      <c r="W970" s="14" t="s">
        <v>4331</v>
      </c>
      <c r="X970">
        <f t="shared" ref="X970:X995" si="1033">U970*K970</f>
        <v>79.268292682926827</v>
      </c>
      <c r="Y970" s="220">
        <f t="shared" ref="Y970:AA970" si="1034">X970</f>
        <v>79.268292682926827</v>
      </c>
      <c r="Z970" s="220">
        <f t="shared" si="1034"/>
        <v>79.268292682926827</v>
      </c>
      <c r="AA970" s="792">
        <f t="shared" si="1034"/>
        <v>79.268292682926827</v>
      </c>
      <c r="AB970" s="18" t="s">
        <v>2596</v>
      </c>
      <c r="AC970" s="13" t="s">
        <v>3524</v>
      </c>
      <c r="AD970" s="13" t="s">
        <v>3525</v>
      </c>
      <c r="AE970" s="12">
        <v>5.5636766460262456E-4</v>
      </c>
      <c r="AF970" s="12">
        <v>1.354456626711356E-2</v>
      </c>
      <c r="AG970" s="12">
        <v>7.0283975659229207E-5</v>
      </c>
      <c r="AH970" s="12">
        <v>7.0431572008113595E-4</v>
      </c>
    </row>
    <row r="971" spans="1:34" ht="14.25">
      <c r="A971" s="14" t="s">
        <v>4359</v>
      </c>
      <c r="B971" s="24" t="s">
        <v>2668</v>
      </c>
      <c r="C971" s="14" t="s">
        <v>2735</v>
      </c>
      <c r="D971" s="14" t="s">
        <v>2911</v>
      </c>
      <c r="E971" s="14" t="s">
        <v>4360</v>
      </c>
      <c r="F971" s="13">
        <v>28</v>
      </c>
      <c r="G971" s="14" t="s">
        <v>4361</v>
      </c>
      <c r="H971" s="567" t="s">
        <v>2934</v>
      </c>
      <c r="I971" s="14" t="s">
        <v>4362</v>
      </c>
      <c r="J971" s="14" t="s">
        <v>4363</v>
      </c>
      <c r="K971" s="478">
        <v>1</v>
      </c>
      <c r="L971" s="220">
        <v>28</v>
      </c>
      <c r="M971" s="568" t="s">
        <v>4364</v>
      </c>
      <c r="N971" s="479" t="s">
        <v>2937</v>
      </c>
      <c r="O971" s="569" t="s">
        <v>2976</v>
      </c>
      <c r="P971" s="14" t="s">
        <v>3130</v>
      </c>
      <c r="Q971" s="486" t="s">
        <v>3130</v>
      </c>
      <c r="R971" s="14">
        <v>7.5</v>
      </c>
      <c r="S971" s="14">
        <f t="shared" si="817"/>
        <v>2.1</v>
      </c>
      <c r="T971" s="487">
        <f>SUM(R970:R995)</f>
        <v>246</v>
      </c>
      <c r="U971">
        <f t="shared" si="1013"/>
        <v>3.0487804878048781</v>
      </c>
      <c r="V971" s="220"/>
      <c r="W971" s="14" t="s">
        <v>350</v>
      </c>
      <c r="X971">
        <f t="shared" si="1033"/>
        <v>3.0487804878048781</v>
      </c>
      <c r="Y971" s="220">
        <f>X971</f>
        <v>3.0487804878048781</v>
      </c>
      <c r="Z971" s="220">
        <f t="shared" ref="Z971:Z972" si="1035">X971</f>
        <v>3.0487804878048781</v>
      </c>
      <c r="AA971" s="792">
        <f t="shared" ref="AA971:AA972" si="1036">Z971</f>
        <v>3.0487804878048781</v>
      </c>
      <c r="AB971" s="18" t="s">
        <v>350</v>
      </c>
      <c r="AC971" s="13" t="s">
        <v>18</v>
      </c>
      <c r="AD971" s="13" t="s">
        <v>18</v>
      </c>
      <c r="AE971" s="12">
        <v>7.6923076923076919E-3</v>
      </c>
      <c r="AF971" s="12">
        <v>0.183</v>
      </c>
      <c r="AG971" s="12">
        <v>2.8673068893528183E-4</v>
      </c>
      <c r="AH971" s="12">
        <v>1.4770983615231311E-3</v>
      </c>
    </row>
    <row r="972" spans="1:34" ht="14.25">
      <c r="A972" s="14" t="s">
        <v>4359</v>
      </c>
      <c r="B972" s="24" t="s">
        <v>2668</v>
      </c>
      <c r="C972" s="14" t="s">
        <v>2735</v>
      </c>
      <c r="D972" s="14" t="s">
        <v>2911</v>
      </c>
      <c r="E972" s="14" t="s">
        <v>4360</v>
      </c>
      <c r="F972" s="13">
        <v>28</v>
      </c>
      <c r="G972" s="14" t="s">
        <v>4361</v>
      </c>
      <c r="H972" s="567" t="s">
        <v>2934</v>
      </c>
      <c r="I972" s="14" t="s">
        <v>4362</v>
      </c>
      <c r="J972" s="14" t="s">
        <v>4363</v>
      </c>
      <c r="K972" s="478">
        <v>1</v>
      </c>
      <c r="L972" s="220">
        <v>28</v>
      </c>
      <c r="M972" s="568" t="s">
        <v>4364</v>
      </c>
      <c r="N972" s="479" t="s">
        <v>2937</v>
      </c>
      <c r="O972" s="569" t="s">
        <v>2976</v>
      </c>
      <c r="P972" s="14" t="s">
        <v>3508</v>
      </c>
      <c r="Q972" s="486" t="s">
        <v>3509</v>
      </c>
      <c r="R972" s="14">
        <v>7.5</v>
      </c>
      <c r="S972" s="14">
        <f t="shared" si="817"/>
        <v>2.1</v>
      </c>
      <c r="T972" s="487">
        <f>SUM(R970:R995)</f>
        <v>246</v>
      </c>
      <c r="U972">
        <f t="shared" si="1013"/>
        <v>3.0487804878048781</v>
      </c>
      <c r="V972" s="220"/>
      <c r="W972" s="14" t="s">
        <v>321</v>
      </c>
      <c r="X972">
        <f t="shared" si="1033"/>
        <v>3.0487804878048781</v>
      </c>
      <c r="Y972" s="220">
        <f>SUM(X972,X976,X983,X985)</f>
        <v>4.2682926829268286</v>
      </c>
      <c r="Z972" s="220">
        <f t="shared" si="1035"/>
        <v>3.0487804878048781</v>
      </c>
      <c r="AA972" s="792">
        <f t="shared" si="1036"/>
        <v>3.0487804878048781</v>
      </c>
      <c r="AB972" s="18" t="s">
        <v>2689</v>
      </c>
      <c r="AC972" s="13" t="s">
        <v>3510</v>
      </c>
      <c r="AD972" s="13" t="s">
        <v>18</v>
      </c>
      <c r="AE972" s="12">
        <v>5.2419900086202897E-2</v>
      </c>
      <c r="AF972" s="12">
        <v>2.8162483479607547</v>
      </c>
      <c r="AG972" s="12">
        <v>1.6256511627906977E-3</v>
      </c>
      <c r="AH972" s="12">
        <v>1.194650084062842E-2</v>
      </c>
    </row>
    <row r="973" spans="1:34" ht="14.25">
      <c r="A973" s="14" t="s">
        <v>4359</v>
      </c>
      <c r="B973" s="24" t="s">
        <v>2668</v>
      </c>
      <c r="C973" s="14" t="s">
        <v>2735</v>
      </c>
      <c r="D973" s="14" t="s">
        <v>2911</v>
      </c>
      <c r="E973" s="14" t="s">
        <v>4360</v>
      </c>
      <c r="F973" s="13">
        <v>28</v>
      </c>
      <c r="G973" s="14" t="s">
        <v>4361</v>
      </c>
      <c r="H973" s="567" t="s">
        <v>2934</v>
      </c>
      <c r="I973" s="14" t="s">
        <v>4362</v>
      </c>
      <c r="J973" s="14" t="s">
        <v>4363</v>
      </c>
      <c r="K973" s="478">
        <v>1</v>
      </c>
      <c r="L973" s="220">
        <v>28</v>
      </c>
      <c r="M973" s="568" t="s">
        <v>4364</v>
      </c>
      <c r="N973" s="479" t="s">
        <v>2937</v>
      </c>
      <c r="O973" s="569" t="s">
        <v>2976</v>
      </c>
      <c r="P973" s="14" t="s">
        <v>1376</v>
      </c>
      <c r="Q973" s="486" t="s">
        <v>3114</v>
      </c>
      <c r="R973" s="14">
        <v>20</v>
      </c>
      <c r="S973" s="14">
        <f t="shared" si="817"/>
        <v>5.6000000000000005</v>
      </c>
      <c r="T973" s="487">
        <f>SUM(R970:R995)</f>
        <v>246</v>
      </c>
      <c r="U973">
        <f t="shared" si="1013"/>
        <v>8.1300813008130088</v>
      </c>
      <c r="V973" s="220"/>
      <c r="W973" s="14" t="s">
        <v>340</v>
      </c>
      <c r="X973">
        <f t="shared" si="1033"/>
        <v>8.1300813008130088</v>
      </c>
      <c r="Y973" s="220">
        <f t="shared" ref="Y973:AA973" si="1037">X973</f>
        <v>8.1300813008130088</v>
      </c>
      <c r="Z973" s="220">
        <f t="shared" si="1037"/>
        <v>8.1300813008130088</v>
      </c>
      <c r="AA973" s="792">
        <f t="shared" si="1037"/>
        <v>8.1300813008130088</v>
      </c>
      <c r="AB973" s="18" t="s">
        <v>340</v>
      </c>
      <c r="AC973" s="13" t="s">
        <v>3115</v>
      </c>
      <c r="AD973" s="13" t="s">
        <v>3116</v>
      </c>
      <c r="AE973" s="12">
        <v>2.1708241661196198E-2</v>
      </c>
      <c r="AF973" s="12">
        <v>0.36572952458380198</v>
      </c>
      <c r="AG973" s="12">
        <v>4.6350652173913045E-4</v>
      </c>
      <c r="AH973" s="12">
        <v>1.6975608035415088E-3</v>
      </c>
    </row>
    <row r="974" spans="1:34" ht="14.25">
      <c r="A974" s="14" t="s">
        <v>4359</v>
      </c>
      <c r="B974" s="24" t="s">
        <v>2668</v>
      </c>
      <c r="C974" s="14" t="s">
        <v>2735</v>
      </c>
      <c r="D974" s="14" t="s">
        <v>2911</v>
      </c>
      <c r="E974" s="14" t="s">
        <v>4360</v>
      </c>
      <c r="F974" s="13">
        <v>28</v>
      </c>
      <c r="G974" s="14" t="s">
        <v>4361</v>
      </c>
      <c r="H974" s="567" t="s">
        <v>2934</v>
      </c>
      <c r="I974" s="14" t="s">
        <v>4362</v>
      </c>
      <c r="J974" s="14" t="s">
        <v>4363</v>
      </c>
      <c r="K974" s="478">
        <v>1</v>
      </c>
      <c r="L974" s="220">
        <v>28</v>
      </c>
      <c r="M974" s="568" t="s">
        <v>4364</v>
      </c>
      <c r="N974" s="479" t="s">
        <v>2937</v>
      </c>
      <c r="O974" s="569" t="s">
        <v>2976</v>
      </c>
      <c r="P974" s="14" t="s">
        <v>2945</v>
      </c>
      <c r="Q974" s="435" t="s">
        <v>2946</v>
      </c>
      <c r="R974" s="14">
        <v>1</v>
      </c>
      <c r="S974" s="14">
        <f t="shared" si="817"/>
        <v>0.28000000000000003</v>
      </c>
      <c r="T974" s="487">
        <f>SUM(R970:R995)</f>
        <v>246</v>
      </c>
      <c r="U974">
        <f t="shared" si="1013"/>
        <v>0.4065040650406504</v>
      </c>
      <c r="V974" s="220"/>
      <c r="W974" s="14" t="s">
        <v>433</v>
      </c>
      <c r="X974">
        <f t="shared" si="1033"/>
        <v>0.4065040650406504</v>
      </c>
      <c r="Y974" s="499">
        <f>SUM(X974,X980)</f>
        <v>0.6097560975609756</v>
      </c>
      <c r="Z974" s="220">
        <f>X974</f>
        <v>0.4065040650406504</v>
      </c>
      <c r="AA974" s="792">
        <f>Z974</f>
        <v>0.4065040650406504</v>
      </c>
      <c r="AB974" s="18" t="s">
        <v>433</v>
      </c>
      <c r="AC974" s="13" t="s">
        <v>433</v>
      </c>
      <c r="AD974" s="13" t="s">
        <v>2947</v>
      </c>
      <c r="AE974" s="12">
        <v>3.0104466724907065E-4</v>
      </c>
      <c r="AF974" s="12">
        <v>1.2500000000000001E-2</v>
      </c>
      <c r="AG974" s="12">
        <v>5.1818181818181835E-4</v>
      </c>
      <c r="AH974" s="12">
        <v>4.0084080366977777E-4</v>
      </c>
    </row>
    <row r="975" spans="1:34" ht="14.25">
      <c r="A975" s="14" t="s">
        <v>4359</v>
      </c>
      <c r="B975" s="24" t="s">
        <v>2668</v>
      </c>
      <c r="C975" s="14" t="s">
        <v>2735</v>
      </c>
      <c r="D975" s="14" t="s">
        <v>2911</v>
      </c>
      <c r="E975" s="14" t="s">
        <v>4360</v>
      </c>
      <c r="F975" s="13">
        <v>28</v>
      </c>
      <c r="G975" s="14" t="s">
        <v>4361</v>
      </c>
      <c r="H975" s="567" t="s">
        <v>2934</v>
      </c>
      <c r="I975" s="14" t="s">
        <v>4362</v>
      </c>
      <c r="J975" s="14" t="s">
        <v>4363</v>
      </c>
      <c r="K975" s="478">
        <v>1</v>
      </c>
      <c r="L975" s="220">
        <v>28</v>
      </c>
      <c r="M975" s="568" t="s">
        <v>4364</v>
      </c>
      <c r="N975" s="479" t="s">
        <v>2937</v>
      </c>
      <c r="O975" s="569" t="s">
        <v>2976</v>
      </c>
      <c r="P975" s="14" t="s">
        <v>83</v>
      </c>
      <c r="Q975" s="527" t="s">
        <v>3430</v>
      </c>
      <c r="R975" s="14">
        <v>1</v>
      </c>
      <c r="S975" s="14">
        <f t="shared" si="817"/>
        <v>0.28000000000000003</v>
      </c>
      <c r="T975" s="487">
        <f>SUM(R970:R995)</f>
        <v>246</v>
      </c>
      <c r="U975">
        <f t="shared" si="1013"/>
        <v>0.4065040650406504</v>
      </c>
      <c r="V975" s="220"/>
      <c r="W975" s="14" t="s">
        <v>83</v>
      </c>
      <c r="X975">
        <f t="shared" si="1033"/>
        <v>0.4065040650406504</v>
      </c>
      <c r="Y975" s="499">
        <f t="shared" ref="Y975:AA975" si="1038">X975</f>
        <v>0.4065040650406504</v>
      </c>
      <c r="Z975" s="220">
        <f t="shared" si="1038"/>
        <v>0.4065040650406504</v>
      </c>
      <c r="AA975" s="792">
        <f t="shared" si="1038"/>
        <v>0.4065040650406504</v>
      </c>
      <c r="AB975" s="18" t="s">
        <v>83</v>
      </c>
      <c r="AC975" s="14" t="s">
        <v>83</v>
      </c>
      <c r="AD975" s="14" t="s">
        <v>2951</v>
      </c>
      <c r="AE975" s="12">
        <v>0</v>
      </c>
      <c r="AF975" s="12">
        <v>0</v>
      </c>
      <c r="AG975" s="12">
        <v>0</v>
      </c>
      <c r="AH975" s="12">
        <v>0</v>
      </c>
    </row>
    <row r="976" spans="1:34" ht="14.25">
      <c r="A976" s="14" t="s">
        <v>4359</v>
      </c>
      <c r="B976" s="24" t="s">
        <v>2668</v>
      </c>
      <c r="C976" s="14" t="s">
        <v>2735</v>
      </c>
      <c r="D976" s="14" t="s">
        <v>2911</v>
      </c>
      <c r="E976" s="14" t="s">
        <v>4360</v>
      </c>
      <c r="F976" s="13">
        <v>28</v>
      </c>
      <c r="G976" s="14" t="s">
        <v>4361</v>
      </c>
      <c r="H976" s="567" t="s">
        <v>2934</v>
      </c>
      <c r="I976" s="14" t="s">
        <v>4362</v>
      </c>
      <c r="J976" s="14" t="s">
        <v>4363</v>
      </c>
      <c r="K976" s="478">
        <v>1</v>
      </c>
      <c r="L976" s="220">
        <v>28</v>
      </c>
      <c r="M976" s="568" t="s">
        <v>4364</v>
      </c>
      <c r="N976" s="479" t="s">
        <v>2937</v>
      </c>
      <c r="O976" s="569" t="s">
        <v>2976</v>
      </c>
      <c r="P976" s="14" t="s">
        <v>2962</v>
      </c>
      <c r="Q976" s="435" t="s">
        <v>2963</v>
      </c>
      <c r="R976" s="14">
        <v>1</v>
      </c>
      <c r="S976" s="14">
        <f t="shared" si="817"/>
        <v>0.28000000000000003</v>
      </c>
      <c r="T976" s="487">
        <f>SUM(R970:R995)</f>
        <v>246</v>
      </c>
      <c r="U976">
        <f t="shared" si="1013"/>
        <v>0.4065040650406504</v>
      </c>
      <c r="V976" s="220"/>
      <c r="W976" s="14" t="s">
        <v>425</v>
      </c>
      <c r="X976">
        <f t="shared" si="1033"/>
        <v>0.4065040650406504</v>
      </c>
      <c r="Y976" s="220" t="s">
        <v>1666</v>
      </c>
      <c r="Z976" s="220">
        <f>X976</f>
        <v>0.4065040650406504</v>
      </c>
      <c r="AA976" s="792">
        <f>Z976</f>
        <v>0.4065040650406504</v>
      </c>
      <c r="AB976" s="18" t="s">
        <v>2525</v>
      </c>
      <c r="AC976" s="13" t="s">
        <v>2964</v>
      </c>
      <c r="AD976" s="13" t="s">
        <v>2965</v>
      </c>
      <c r="AE976" s="12">
        <v>3.8102374934982654E-3</v>
      </c>
      <c r="AF976" s="12">
        <v>0.20470422547079484</v>
      </c>
      <c r="AG976" s="12">
        <v>1.210810810810811E-4</v>
      </c>
      <c r="AH976" s="12">
        <v>1.0002400855855065E-3</v>
      </c>
    </row>
    <row r="977" spans="1:34" ht="14.25">
      <c r="A977" s="14" t="s">
        <v>4359</v>
      </c>
      <c r="B977" s="24" t="s">
        <v>2668</v>
      </c>
      <c r="C977" s="14" t="s">
        <v>2735</v>
      </c>
      <c r="D977" s="14" t="s">
        <v>2911</v>
      </c>
      <c r="E977" s="14" t="s">
        <v>4360</v>
      </c>
      <c r="F977" s="13">
        <v>28</v>
      </c>
      <c r="G977" s="14" t="s">
        <v>4361</v>
      </c>
      <c r="H977" s="567" t="s">
        <v>2934</v>
      </c>
      <c r="I977" s="14" t="s">
        <v>4362</v>
      </c>
      <c r="J977" s="14" t="s">
        <v>4363</v>
      </c>
      <c r="K977" s="478">
        <v>1</v>
      </c>
      <c r="L977" s="220">
        <v>28</v>
      </c>
      <c r="M977" s="568" t="s">
        <v>4364</v>
      </c>
      <c r="N977" s="479" t="s">
        <v>2937</v>
      </c>
      <c r="O977" s="569" t="s">
        <v>2976</v>
      </c>
      <c r="P977" s="14" t="s">
        <v>3862</v>
      </c>
      <c r="Q977" s="486" t="s">
        <v>3863</v>
      </c>
      <c r="R977" s="14">
        <v>1</v>
      </c>
      <c r="S977" s="14">
        <f t="shared" si="817"/>
        <v>0.28000000000000003</v>
      </c>
      <c r="T977" s="487">
        <f>SUM(R970:R995)</f>
        <v>246</v>
      </c>
      <c r="U977">
        <f t="shared" si="1013"/>
        <v>0.4065040650406504</v>
      </c>
      <c r="V977" s="220"/>
      <c r="W977" s="14" t="s">
        <v>4161</v>
      </c>
      <c r="X977">
        <f t="shared" si="1033"/>
        <v>0.4065040650406504</v>
      </c>
      <c r="Y977" s="499">
        <f t="shared" ref="Y977:AA977" si="1039">X977</f>
        <v>0.4065040650406504</v>
      </c>
      <c r="Z977" s="220">
        <f t="shared" si="1039"/>
        <v>0.4065040650406504</v>
      </c>
      <c r="AA977" s="792">
        <f t="shared" si="1039"/>
        <v>0.4065040650406504</v>
      </c>
      <c r="AB977" s="18" t="s">
        <v>2662</v>
      </c>
      <c r="AC977" s="13" t="s">
        <v>208</v>
      </c>
      <c r="AD977" s="13" t="s">
        <v>3864</v>
      </c>
      <c r="AE977" s="12">
        <v>6.399192301960112E-3</v>
      </c>
      <c r="AF977" s="12">
        <v>0.12411340117772937</v>
      </c>
      <c r="AG977" s="12">
        <v>9.8749999999999988E-5</v>
      </c>
      <c r="AH977" s="12">
        <v>3.8580927353216109E-4</v>
      </c>
    </row>
    <row r="978" spans="1:34" ht="14.25">
      <c r="A978" s="14" t="s">
        <v>4359</v>
      </c>
      <c r="B978" s="24" t="s">
        <v>2668</v>
      </c>
      <c r="C978" s="14" t="s">
        <v>2735</v>
      </c>
      <c r="D978" s="14" t="s">
        <v>2911</v>
      </c>
      <c r="E978" s="14" t="s">
        <v>4360</v>
      </c>
      <c r="F978" s="13">
        <v>28</v>
      </c>
      <c r="G978" s="14" t="s">
        <v>4361</v>
      </c>
      <c r="H978" s="567" t="s">
        <v>2934</v>
      </c>
      <c r="I978" s="14" t="s">
        <v>4362</v>
      </c>
      <c r="J978" s="14" t="s">
        <v>4363</v>
      </c>
      <c r="K978" s="478">
        <v>1</v>
      </c>
      <c r="L978" s="220">
        <v>28</v>
      </c>
      <c r="M978" s="568" t="s">
        <v>4364</v>
      </c>
      <c r="N978" s="479" t="s">
        <v>2937</v>
      </c>
      <c r="O978" s="569" t="s">
        <v>2976</v>
      </c>
      <c r="P978" s="14" t="s">
        <v>2584</v>
      </c>
      <c r="Q978" s="486" t="s">
        <v>3423</v>
      </c>
      <c r="R978" s="14">
        <v>0.5</v>
      </c>
      <c r="S978" s="14">
        <f t="shared" si="817"/>
        <v>0.14000000000000001</v>
      </c>
      <c r="T978" s="487">
        <f>SUM(R970:R995)</f>
        <v>246</v>
      </c>
      <c r="U978">
        <f t="shared" si="1013"/>
        <v>0.2032520325203252</v>
      </c>
      <c r="V978" s="220"/>
      <c r="W978" s="14" t="s">
        <v>2584</v>
      </c>
      <c r="X978">
        <f t="shared" si="1033"/>
        <v>0.2032520325203252</v>
      </c>
      <c r="Y978" s="499">
        <f>SUM(X978,X991)</f>
        <v>0.4065040650406504</v>
      </c>
      <c r="Z978" s="220">
        <f t="shared" ref="Z978:AA978" si="1040">Y978</f>
        <v>0.4065040650406504</v>
      </c>
      <c r="AA978" s="792">
        <f t="shared" si="1040"/>
        <v>0.4065040650406504</v>
      </c>
      <c r="AB978" s="18" t="s">
        <v>2584</v>
      </c>
      <c r="AC978" s="13" t="s">
        <v>3424</v>
      </c>
      <c r="AD978" s="13" t="s">
        <v>3425</v>
      </c>
      <c r="AE978" s="12">
        <v>4.7754773653722405E-4</v>
      </c>
      <c r="AF978" s="12">
        <v>9.9048845026103102E-3</v>
      </c>
      <c r="AG978" s="12">
        <v>1.1598405219282348E-5</v>
      </c>
      <c r="AH978" s="12">
        <v>9.908404494382022E-5</v>
      </c>
    </row>
    <row r="979" spans="1:34" ht="14.25">
      <c r="A979" s="14" t="s">
        <v>4359</v>
      </c>
      <c r="B979" s="24" t="s">
        <v>2668</v>
      </c>
      <c r="C979" s="14" t="s">
        <v>2735</v>
      </c>
      <c r="D979" s="14" t="s">
        <v>2911</v>
      </c>
      <c r="E979" s="14" t="s">
        <v>4360</v>
      </c>
      <c r="F979" s="13">
        <v>28</v>
      </c>
      <c r="G979" s="14" t="s">
        <v>4361</v>
      </c>
      <c r="H979" s="567" t="s">
        <v>2934</v>
      </c>
      <c r="I979" s="14" t="s">
        <v>4362</v>
      </c>
      <c r="J979" s="14" t="s">
        <v>4363</v>
      </c>
      <c r="K979" s="478">
        <v>1</v>
      </c>
      <c r="L979" s="220">
        <v>28</v>
      </c>
      <c r="M979" s="568" t="s">
        <v>4364</v>
      </c>
      <c r="N979" s="479" t="s">
        <v>2937</v>
      </c>
      <c r="O979" s="569" t="s">
        <v>2976</v>
      </c>
      <c r="P979" s="14" t="s">
        <v>86</v>
      </c>
      <c r="Q979" s="14" t="s">
        <v>3442</v>
      </c>
      <c r="R979" s="14">
        <v>1.5</v>
      </c>
      <c r="S979" s="14">
        <f t="shared" si="817"/>
        <v>0.42</v>
      </c>
      <c r="T979" s="487">
        <f>SUM(R970:R995)</f>
        <v>246</v>
      </c>
      <c r="U979">
        <f t="shared" si="1013"/>
        <v>0.6097560975609756</v>
      </c>
      <c r="V979" s="220"/>
      <c r="W979" s="14" t="s">
        <v>86</v>
      </c>
      <c r="X979">
        <f t="shared" si="1033"/>
        <v>0.6097560975609756</v>
      </c>
      <c r="Y979" s="499">
        <f>SUM(X979,X984)</f>
        <v>1.0162601626016259</v>
      </c>
      <c r="Z979" s="220">
        <f t="shared" ref="Z979:AA979" si="1041">Y979</f>
        <v>1.0162601626016259</v>
      </c>
      <c r="AA979" s="792">
        <f t="shared" si="1041"/>
        <v>1.0162601626016259</v>
      </c>
      <c r="AB979" s="18" t="s">
        <v>86</v>
      </c>
      <c r="AC979" s="13" t="s">
        <v>18</v>
      </c>
      <c r="AD979" s="13" t="s">
        <v>18</v>
      </c>
      <c r="AE979" s="12">
        <v>0</v>
      </c>
      <c r="AF979" s="12">
        <v>0</v>
      </c>
      <c r="AG979" s="12">
        <v>0</v>
      </c>
      <c r="AH979" s="12">
        <v>0</v>
      </c>
    </row>
    <row r="980" spans="1:34" ht="14.25">
      <c r="A980" s="14" t="s">
        <v>4359</v>
      </c>
      <c r="B980" s="24" t="s">
        <v>2668</v>
      </c>
      <c r="C980" s="14" t="s">
        <v>2735</v>
      </c>
      <c r="D980" s="14" t="s">
        <v>2911</v>
      </c>
      <c r="E980" s="14" t="s">
        <v>4360</v>
      </c>
      <c r="F980" s="13">
        <v>28</v>
      </c>
      <c r="G980" s="14" t="s">
        <v>4361</v>
      </c>
      <c r="H980" s="567" t="s">
        <v>2934</v>
      </c>
      <c r="I980" s="14" t="s">
        <v>4362</v>
      </c>
      <c r="J980" s="14" t="s">
        <v>4363</v>
      </c>
      <c r="K980" s="478">
        <v>1</v>
      </c>
      <c r="L980" s="220">
        <v>28</v>
      </c>
      <c r="M980" s="568" t="s">
        <v>4364</v>
      </c>
      <c r="N980" s="479" t="s">
        <v>2937</v>
      </c>
      <c r="O980" s="569" t="s">
        <v>2976</v>
      </c>
      <c r="P980" s="14" t="s">
        <v>432</v>
      </c>
      <c r="Q980" s="486" t="s">
        <v>3028</v>
      </c>
      <c r="R980" s="14">
        <v>0.5</v>
      </c>
      <c r="S980" s="14">
        <f t="shared" si="817"/>
        <v>0.14000000000000001</v>
      </c>
      <c r="T980" s="487">
        <f>SUM(R970:R995)</f>
        <v>246</v>
      </c>
      <c r="U980">
        <f t="shared" si="1013"/>
        <v>0.2032520325203252</v>
      </c>
      <c r="V980" s="220"/>
      <c r="W980" s="14" t="s">
        <v>432</v>
      </c>
      <c r="X980">
        <f t="shared" si="1033"/>
        <v>0.2032520325203252</v>
      </c>
      <c r="Y980" s="220" t="s">
        <v>1624</v>
      </c>
      <c r="Z980" s="220">
        <f>X980</f>
        <v>0.2032520325203252</v>
      </c>
      <c r="AA980" s="792">
        <f>Z980</f>
        <v>0.2032520325203252</v>
      </c>
      <c r="AB980" s="18" t="s">
        <v>432</v>
      </c>
      <c r="AC980" s="454" t="s">
        <v>4103</v>
      </c>
      <c r="AD980" s="13" t="s">
        <v>4104</v>
      </c>
      <c r="AE980" s="12">
        <v>2.2558902713754649E-4</v>
      </c>
      <c r="AF980" s="12">
        <v>9.3669250645994837E-3</v>
      </c>
      <c r="AG980" s="12">
        <v>3.8830162085976054E-4</v>
      </c>
      <c r="AH980" s="12">
        <v>3.0037166166469137E-4</v>
      </c>
    </row>
    <row r="981" spans="1:34" ht="14.25">
      <c r="A981" s="14" t="s">
        <v>4359</v>
      </c>
      <c r="B981" s="24" t="s">
        <v>2668</v>
      </c>
      <c r="C981" s="14" t="s">
        <v>2735</v>
      </c>
      <c r="D981" s="14" t="s">
        <v>2911</v>
      </c>
      <c r="E981" s="14" t="s">
        <v>4360</v>
      </c>
      <c r="F981" s="13">
        <v>28</v>
      </c>
      <c r="G981" s="14" t="s">
        <v>4361</v>
      </c>
      <c r="H981" s="567" t="s">
        <v>2934</v>
      </c>
      <c r="I981" s="14" t="s">
        <v>4362</v>
      </c>
      <c r="J981" s="14" t="s">
        <v>4363</v>
      </c>
      <c r="K981" s="478">
        <v>1</v>
      </c>
      <c r="L981" s="220">
        <v>28</v>
      </c>
      <c r="M981" s="568" t="s">
        <v>4364</v>
      </c>
      <c r="N981" s="479" t="s">
        <v>2937</v>
      </c>
      <c r="O981" s="569" t="s">
        <v>2976</v>
      </c>
      <c r="P981" s="14" t="s">
        <v>3426</v>
      </c>
      <c r="Q981" s="14" t="s">
        <v>3427</v>
      </c>
      <c r="R981" s="14">
        <v>0.5</v>
      </c>
      <c r="S981" s="14">
        <f t="shared" si="817"/>
        <v>0.14000000000000001</v>
      </c>
      <c r="T981" s="487">
        <f>SUM(R970:R995)</f>
        <v>246</v>
      </c>
      <c r="U981">
        <f t="shared" si="1013"/>
        <v>0.2032520325203252</v>
      </c>
      <c r="V981" s="220"/>
      <c r="W981" s="14" t="s">
        <v>465</v>
      </c>
      <c r="X981">
        <f t="shared" si="1033"/>
        <v>0.2032520325203252</v>
      </c>
      <c r="Y981" s="499">
        <f>SUM(X981,X994)</f>
        <v>0.4065040650406504</v>
      </c>
      <c r="Z981" s="220">
        <f t="shared" ref="Z981:AA981" si="1042">Y981</f>
        <v>0.4065040650406504</v>
      </c>
      <c r="AA981" s="792">
        <f t="shared" si="1042"/>
        <v>0.4065040650406504</v>
      </c>
      <c r="AB981" s="18" t="s">
        <v>465</v>
      </c>
      <c r="AC981" s="13" t="s">
        <v>4357</v>
      </c>
      <c r="AD981" s="13" t="s">
        <v>25</v>
      </c>
      <c r="AE981" s="12">
        <v>3.5869956401399267E-3</v>
      </c>
      <c r="AF981" s="12">
        <v>5.9424698083949859E-2</v>
      </c>
      <c r="AG981" s="12">
        <v>2.0682712335107616E-4</v>
      </c>
      <c r="AH981" s="12">
        <v>2.4206091537452754E-3</v>
      </c>
    </row>
    <row r="982" spans="1:34" ht="14.25">
      <c r="A982" s="14" t="s">
        <v>4359</v>
      </c>
      <c r="B982" s="24" t="s">
        <v>2668</v>
      </c>
      <c r="C982" s="14" t="s">
        <v>2735</v>
      </c>
      <c r="D982" s="14" t="s">
        <v>2911</v>
      </c>
      <c r="E982" s="14" t="s">
        <v>4360</v>
      </c>
      <c r="F982" s="13">
        <v>28</v>
      </c>
      <c r="G982" s="14" t="s">
        <v>4361</v>
      </c>
      <c r="H982" s="567" t="s">
        <v>2934</v>
      </c>
      <c r="I982" s="14" t="s">
        <v>4362</v>
      </c>
      <c r="J982" s="14" t="s">
        <v>4363</v>
      </c>
      <c r="K982" s="478">
        <v>1</v>
      </c>
      <c r="L982" s="220">
        <v>28</v>
      </c>
      <c r="M982" s="568" t="s">
        <v>4364</v>
      </c>
      <c r="N982" s="479" t="s">
        <v>2937</v>
      </c>
      <c r="O982" s="569" t="s">
        <v>2976</v>
      </c>
      <c r="P982" s="14" t="s">
        <v>1780</v>
      </c>
      <c r="Q982" s="435" t="s">
        <v>3386</v>
      </c>
      <c r="R982" s="14">
        <v>1</v>
      </c>
      <c r="S982" s="14">
        <f t="shared" si="817"/>
        <v>0.28000000000000003</v>
      </c>
      <c r="T982" s="487">
        <f>SUM(R970:R995)</f>
        <v>246</v>
      </c>
      <c r="U982">
        <f t="shared" si="1013"/>
        <v>0.4065040650406504</v>
      </c>
      <c r="V982" s="220"/>
      <c r="W982" s="14" t="s">
        <v>2736</v>
      </c>
      <c r="X982">
        <f t="shared" si="1033"/>
        <v>0.4065040650406504</v>
      </c>
      <c r="Y982" s="499">
        <f t="shared" ref="Y982:AA982" si="1043">X982</f>
        <v>0.4065040650406504</v>
      </c>
      <c r="Z982" s="220">
        <f t="shared" si="1043"/>
        <v>0.4065040650406504</v>
      </c>
      <c r="AA982" s="792">
        <f t="shared" si="1043"/>
        <v>0.4065040650406504</v>
      </c>
      <c r="AB982" s="18" t="s">
        <v>2736</v>
      </c>
      <c r="AC982" s="13" t="s">
        <v>1780</v>
      </c>
      <c r="AD982" s="13" t="s">
        <v>1781</v>
      </c>
      <c r="AE982" s="12">
        <v>4.8057057617005398E-4</v>
      </c>
      <c r="AF982" s="12">
        <v>9.8776215197699697E-3</v>
      </c>
      <c r="AG982" s="12">
        <v>6.3E-5</v>
      </c>
      <c r="AH982" s="12">
        <v>2.4250819999999999E-4</v>
      </c>
    </row>
    <row r="983" spans="1:34" ht="14.25">
      <c r="A983" s="14" t="s">
        <v>4359</v>
      </c>
      <c r="B983" s="24" t="s">
        <v>2668</v>
      </c>
      <c r="C983" s="14" t="s">
        <v>2735</v>
      </c>
      <c r="D983" s="14" t="s">
        <v>2911</v>
      </c>
      <c r="E983" s="14" t="s">
        <v>4360</v>
      </c>
      <c r="F983" s="13">
        <v>28</v>
      </c>
      <c r="G983" s="14" t="s">
        <v>4361</v>
      </c>
      <c r="H983" s="567" t="s">
        <v>2934</v>
      </c>
      <c r="I983" s="14" t="s">
        <v>4362</v>
      </c>
      <c r="J983" s="14" t="s">
        <v>4363</v>
      </c>
      <c r="K983" s="478">
        <v>1</v>
      </c>
      <c r="L983" s="220">
        <v>28</v>
      </c>
      <c r="M983" s="568" t="s">
        <v>4364</v>
      </c>
      <c r="N983" s="479" t="s">
        <v>2937</v>
      </c>
      <c r="O983" s="569" t="s">
        <v>2976</v>
      </c>
      <c r="P983" s="655" t="s">
        <v>2977</v>
      </c>
      <c r="Q983" s="527" t="s">
        <v>2978</v>
      </c>
      <c r="R983" s="14">
        <v>1</v>
      </c>
      <c r="S983" s="14">
        <f t="shared" si="817"/>
        <v>0.28000000000000003</v>
      </c>
      <c r="T983" s="487">
        <f>SUM(R970:R995)</f>
        <v>246</v>
      </c>
      <c r="U983">
        <f t="shared" si="1013"/>
        <v>0.4065040650406504</v>
      </c>
      <c r="V983" s="220"/>
      <c r="W983" s="14" t="s">
        <v>227</v>
      </c>
      <c r="X983">
        <f t="shared" si="1033"/>
        <v>0.4065040650406504</v>
      </c>
      <c r="Y983" s="220" t="s">
        <v>1666</v>
      </c>
      <c r="Z983" s="220">
        <f>SUM(X983,X985)</f>
        <v>0.81300813008130079</v>
      </c>
      <c r="AA983" s="792">
        <f t="shared" ref="AA983:AA988" si="1044">Z983</f>
        <v>0.81300813008130079</v>
      </c>
      <c r="AB983" s="18" t="s">
        <v>2530</v>
      </c>
      <c r="AC983" s="13" t="s">
        <v>55</v>
      </c>
      <c r="AD983" s="13" t="s">
        <v>2979</v>
      </c>
      <c r="AE983" s="12">
        <v>2.5055367220000002E-3</v>
      </c>
      <c r="AF983" s="12">
        <v>3.8459841414181101E-2</v>
      </c>
      <c r="AG983" s="12">
        <v>1.1035422343324251E-4</v>
      </c>
      <c r="AH983" s="12">
        <v>8.109653861711444E-4</v>
      </c>
    </row>
    <row r="984" spans="1:34" ht="14.25">
      <c r="A984" s="14" t="s">
        <v>4359</v>
      </c>
      <c r="B984" s="24" t="s">
        <v>2668</v>
      </c>
      <c r="C984" s="14" t="s">
        <v>2735</v>
      </c>
      <c r="D984" s="14" t="s">
        <v>2911</v>
      </c>
      <c r="E984" s="14" t="s">
        <v>4360</v>
      </c>
      <c r="F984" s="13">
        <v>28</v>
      </c>
      <c r="G984" s="14" t="s">
        <v>4361</v>
      </c>
      <c r="H984" s="567" t="s">
        <v>2934</v>
      </c>
      <c r="I984" s="14" t="s">
        <v>4362</v>
      </c>
      <c r="J984" s="14" t="s">
        <v>4363</v>
      </c>
      <c r="K984" s="478">
        <v>1</v>
      </c>
      <c r="L984" s="220">
        <v>28</v>
      </c>
      <c r="M984" s="568" t="s">
        <v>4364</v>
      </c>
      <c r="N984" s="479" t="s">
        <v>2937</v>
      </c>
      <c r="O984" s="569" t="s">
        <v>2976</v>
      </c>
      <c r="P984" s="14" t="s">
        <v>86</v>
      </c>
      <c r="Q984" s="14" t="s">
        <v>3442</v>
      </c>
      <c r="R984" s="14">
        <v>1</v>
      </c>
      <c r="S984" s="14">
        <f t="shared" si="817"/>
        <v>0.28000000000000003</v>
      </c>
      <c r="T984" s="487">
        <f>SUM(R970:R995)</f>
        <v>246</v>
      </c>
      <c r="U984">
        <f t="shared" si="1013"/>
        <v>0.4065040650406504</v>
      </c>
      <c r="V984" s="220"/>
      <c r="W984" s="14" t="s">
        <v>86</v>
      </c>
      <c r="X984">
        <f t="shared" si="1033"/>
        <v>0.4065040650406504</v>
      </c>
      <c r="Y984" s="220" t="s">
        <v>1624</v>
      </c>
      <c r="Z984" s="220" t="s">
        <v>1666</v>
      </c>
      <c r="AA984" s="792" t="str">
        <f t="shared" si="1044"/>
        <v>*</v>
      </c>
      <c r="AB984" s="458" t="str">
        <f t="shared" ref="AB984:AH984" si="1045">AA984</f>
        <v>*</v>
      </c>
      <c r="AC984" s="497" t="str">
        <f t="shared" si="1045"/>
        <v>*</v>
      </c>
      <c r="AD984" s="497" t="str">
        <f t="shared" si="1045"/>
        <v>*</v>
      </c>
      <c r="AE984" s="454" t="str">
        <f t="shared" si="1045"/>
        <v>*</v>
      </c>
      <c r="AF984" s="454" t="str">
        <f t="shared" si="1045"/>
        <v>*</v>
      </c>
      <c r="AG984" s="454" t="str">
        <f t="shared" si="1045"/>
        <v>*</v>
      </c>
      <c r="AH984" s="454" t="str">
        <f t="shared" si="1045"/>
        <v>*</v>
      </c>
    </row>
    <row r="985" spans="1:34" ht="14.25">
      <c r="A985" s="14" t="s">
        <v>4359</v>
      </c>
      <c r="B985" s="24" t="s">
        <v>2668</v>
      </c>
      <c r="C985" s="14" t="s">
        <v>2735</v>
      </c>
      <c r="D985" s="14" t="s">
        <v>2911</v>
      </c>
      <c r="E985" s="14" t="s">
        <v>4360</v>
      </c>
      <c r="F985" s="13">
        <v>28</v>
      </c>
      <c r="G985" s="14" t="s">
        <v>4361</v>
      </c>
      <c r="H985" s="567" t="s">
        <v>2934</v>
      </c>
      <c r="I985" s="14" t="s">
        <v>4362</v>
      </c>
      <c r="J985" s="14" t="s">
        <v>4363</v>
      </c>
      <c r="K985" s="478">
        <v>1</v>
      </c>
      <c r="L985" s="220">
        <v>28</v>
      </c>
      <c r="M985" s="568" t="s">
        <v>4364</v>
      </c>
      <c r="N985" s="479" t="s">
        <v>2937</v>
      </c>
      <c r="O985" s="569" t="s">
        <v>2976</v>
      </c>
      <c r="P985" s="655" t="s">
        <v>2977</v>
      </c>
      <c r="Q985" s="527" t="s">
        <v>2978</v>
      </c>
      <c r="R985" s="14">
        <v>1</v>
      </c>
      <c r="S985" s="14">
        <f t="shared" si="817"/>
        <v>0.28000000000000003</v>
      </c>
      <c r="T985" s="487">
        <f>SUM(R970:R995)</f>
        <v>246</v>
      </c>
      <c r="U985">
        <f t="shared" si="1013"/>
        <v>0.4065040650406504</v>
      </c>
      <c r="V985" s="220"/>
      <c r="W985" s="14" t="s">
        <v>227</v>
      </c>
      <c r="X985">
        <f t="shared" si="1033"/>
        <v>0.4065040650406504</v>
      </c>
      <c r="Y985" s="220" t="s">
        <v>1624</v>
      </c>
      <c r="Z985" s="220" t="s">
        <v>1666</v>
      </c>
      <c r="AA985" s="792" t="str">
        <f t="shared" si="1044"/>
        <v>*</v>
      </c>
      <c r="AB985" s="458" t="str">
        <f t="shared" ref="AB985:AH985" si="1046">AA985</f>
        <v>*</v>
      </c>
      <c r="AC985" s="497" t="str">
        <f t="shared" si="1046"/>
        <v>*</v>
      </c>
      <c r="AD985" s="497" t="str">
        <f t="shared" si="1046"/>
        <v>*</v>
      </c>
      <c r="AE985" s="454" t="str">
        <f t="shared" si="1046"/>
        <v>*</v>
      </c>
      <c r="AF985" s="454" t="str">
        <f t="shared" si="1046"/>
        <v>*</v>
      </c>
      <c r="AG985" s="454" t="str">
        <f t="shared" si="1046"/>
        <v>*</v>
      </c>
      <c r="AH985" s="454" t="str">
        <f t="shared" si="1046"/>
        <v>*</v>
      </c>
    </row>
    <row r="986" spans="1:34" ht="14.25">
      <c r="A986" s="14" t="s">
        <v>4359</v>
      </c>
      <c r="B986" s="24" t="s">
        <v>2668</v>
      </c>
      <c r="C986" s="14" t="s">
        <v>2735</v>
      </c>
      <c r="D986" s="14" t="s">
        <v>2911</v>
      </c>
      <c r="E986" s="14" t="s">
        <v>4360</v>
      </c>
      <c r="F986" s="13">
        <v>28</v>
      </c>
      <c r="G986" s="14" t="s">
        <v>4361</v>
      </c>
      <c r="H986" s="567" t="s">
        <v>2934</v>
      </c>
      <c r="I986" s="14" t="s">
        <v>4362</v>
      </c>
      <c r="J986" s="14" t="s">
        <v>4363</v>
      </c>
      <c r="K986" s="478">
        <v>1</v>
      </c>
      <c r="L986" s="220">
        <v>28</v>
      </c>
      <c r="M986" s="568" t="s">
        <v>4364</v>
      </c>
      <c r="N986" s="479" t="s">
        <v>2937</v>
      </c>
      <c r="O986" s="569" t="s">
        <v>2976</v>
      </c>
      <c r="P986" s="14" t="s">
        <v>3048</v>
      </c>
      <c r="Q986" s="14" t="s">
        <v>3049</v>
      </c>
      <c r="R986" s="14">
        <v>1</v>
      </c>
      <c r="S986" s="14">
        <f t="shared" si="817"/>
        <v>0.28000000000000003</v>
      </c>
      <c r="T986" s="487">
        <f>SUM(R970:R995)</f>
        <v>246</v>
      </c>
      <c r="U986">
        <f t="shared" si="1013"/>
        <v>0.4065040650406504</v>
      </c>
      <c r="V986" s="220"/>
      <c r="W986" s="14" t="s">
        <v>2712</v>
      </c>
      <c r="X986">
        <f t="shared" si="1033"/>
        <v>0.4065040650406504</v>
      </c>
      <c r="Y986" s="220">
        <f>SUM(X986:X988,X992,X993,X995)</f>
        <v>1.4227642276422761</v>
      </c>
      <c r="Z986" s="220">
        <f t="shared" ref="Z986:Z988" si="1047">X986</f>
        <v>0.4065040650406504</v>
      </c>
      <c r="AA986" s="792">
        <f t="shared" si="1044"/>
        <v>0.4065040650406504</v>
      </c>
      <c r="AB986" s="18" t="s">
        <v>2712</v>
      </c>
      <c r="AC986" s="13" t="s">
        <v>878</v>
      </c>
      <c r="AD986" s="13" t="s">
        <v>3050</v>
      </c>
      <c r="AE986" s="12">
        <v>4.0401172748815169E-2</v>
      </c>
      <c r="AF986" s="12">
        <v>0.11878669834123222</v>
      </c>
      <c r="AG986" s="12">
        <v>7.919516026066351E-4</v>
      </c>
      <c r="AH986" s="12">
        <v>7.4518613744075819E-3</v>
      </c>
    </row>
    <row r="987" spans="1:34" ht="14.25">
      <c r="A987" s="14" t="s">
        <v>4359</v>
      </c>
      <c r="B987" s="24" t="s">
        <v>2668</v>
      </c>
      <c r="C987" s="14" t="s">
        <v>2735</v>
      </c>
      <c r="D987" s="14" t="s">
        <v>2911</v>
      </c>
      <c r="E987" s="14" t="s">
        <v>4360</v>
      </c>
      <c r="F987" s="13">
        <v>28</v>
      </c>
      <c r="G987" s="14" t="s">
        <v>4361</v>
      </c>
      <c r="H987" s="567" t="s">
        <v>2934</v>
      </c>
      <c r="I987" s="14" t="s">
        <v>4362</v>
      </c>
      <c r="J987" s="14" t="s">
        <v>4363</v>
      </c>
      <c r="K987" s="478">
        <v>1</v>
      </c>
      <c r="L987" s="220">
        <v>28</v>
      </c>
      <c r="M987" s="568" t="s">
        <v>4364</v>
      </c>
      <c r="N987" s="479" t="s">
        <v>2937</v>
      </c>
      <c r="O987" s="569" t="s">
        <v>2976</v>
      </c>
      <c r="P987" s="14" t="s">
        <v>4365</v>
      </c>
      <c r="Q987" s="486" t="s">
        <v>3084</v>
      </c>
      <c r="R987" s="14">
        <v>1</v>
      </c>
      <c r="S987" s="14">
        <f t="shared" si="817"/>
        <v>0.28000000000000003</v>
      </c>
      <c r="T987" s="487">
        <f>SUM(R970:R995)</f>
        <v>246</v>
      </c>
      <c r="U987">
        <f t="shared" si="1013"/>
        <v>0.4065040650406504</v>
      </c>
      <c r="V987" s="220"/>
      <c r="W987" s="14" t="s">
        <v>134</v>
      </c>
      <c r="X987">
        <f t="shared" si="1033"/>
        <v>0.4065040650406504</v>
      </c>
      <c r="Y987" s="220" t="s">
        <v>1666</v>
      </c>
      <c r="Z987" s="220">
        <f t="shared" si="1047"/>
        <v>0.4065040650406504</v>
      </c>
      <c r="AA987" s="792">
        <f t="shared" si="1044"/>
        <v>0.4065040650406504</v>
      </c>
      <c r="AB987" s="18" t="s">
        <v>2661</v>
      </c>
      <c r="AC987" s="14" t="s">
        <v>134</v>
      </c>
      <c r="AD987" s="14" t="s">
        <v>3053</v>
      </c>
      <c r="AE987" s="12">
        <v>3.0177940758293843E-3</v>
      </c>
      <c r="AF987" s="12">
        <v>8.8728561611374421E-3</v>
      </c>
      <c r="AG987" s="12">
        <v>5.9155383175355464E-5</v>
      </c>
      <c r="AH987" s="12">
        <v>5.56622037914692E-4</v>
      </c>
    </row>
    <row r="988" spans="1:34" ht="14.25">
      <c r="A988" s="14" t="s">
        <v>4359</v>
      </c>
      <c r="B988" s="24" t="s">
        <v>2668</v>
      </c>
      <c r="C988" s="14" t="s">
        <v>2735</v>
      </c>
      <c r="D988" s="14" t="s">
        <v>2911</v>
      </c>
      <c r="E988" s="14" t="s">
        <v>4360</v>
      </c>
      <c r="F988" s="13">
        <v>28</v>
      </c>
      <c r="G988" s="14" t="s">
        <v>4361</v>
      </c>
      <c r="H988" s="567" t="s">
        <v>2934</v>
      </c>
      <c r="I988" s="14" t="s">
        <v>4362</v>
      </c>
      <c r="J988" s="14" t="s">
        <v>4363</v>
      </c>
      <c r="K988" s="478">
        <v>1</v>
      </c>
      <c r="L988" s="220">
        <v>28</v>
      </c>
      <c r="M988" s="568" t="s">
        <v>4364</v>
      </c>
      <c r="N988" s="479" t="s">
        <v>2937</v>
      </c>
      <c r="O988" s="569" t="s">
        <v>2976</v>
      </c>
      <c r="P988" s="655" t="s">
        <v>3212</v>
      </c>
      <c r="Q988" s="10" t="s">
        <v>3216</v>
      </c>
      <c r="R988" s="14">
        <v>0.25</v>
      </c>
      <c r="S988" s="14">
        <f t="shared" si="817"/>
        <v>7.0000000000000007E-2</v>
      </c>
      <c r="T988" s="487">
        <f>SUM(R970:R995)</f>
        <v>246</v>
      </c>
      <c r="U988">
        <f t="shared" si="1013"/>
        <v>0.1016260162601626</v>
      </c>
      <c r="V988" s="220"/>
      <c r="W988" s="14" t="s">
        <v>883</v>
      </c>
      <c r="X988">
        <f t="shared" si="1033"/>
        <v>0.1016260162601626</v>
      </c>
      <c r="Y988" s="220" t="s">
        <v>1666</v>
      </c>
      <c r="Z988" s="220">
        <f t="shared" si="1047"/>
        <v>0.1016260162601626</v>
      </c>
      <c r="AA988" s="792">
        <f t="shared" si="1044"/>
        <v>0.1016260162601626</v>
      </c>
      <c r="AB988" s="18" t="s">
        <v>883</v>
      </c>
      <c r="AC988" s="13" t="s">
        <v>3218</v>
      </c>
      <c r="AD988" s="14" t="s">
        <v>3219</v>
      </c>
      <c r="AE988" s="12">
        <v>4.8143999999999999E-2</v>
      </c>
      <c r="AF988" s="12">
        <v>0.14155200000000001</v>
      </c>
      <c r="AG988" s="12">
        <v>9.4372800000000001E-4</v>
      </c>
      <c r="AH988" s="12">
        <v>8.8800000000000007E-3</v>
      </c>
    </row>
    <row r="989" spans="1:34" ht="14.25">
      <c r="A989" s="14" t="s">
        <v>4359</v>
      </c>
      <c r="B989" s="24" t="s">
        <v>2668</v>
      </c>
      <c r="C989" s="14" t="s">
        <v>2735</v>
      </c>
      <c r="D989" s="14" t="s">
        <v>2911</v>
      </c>
      <c r="E989" s="14" t="s">
        <v>4360</v>
      </c>
      <c r="F989" s="13">
        <v>28</v>
      </c>
      <c r="G989" s="14" t="s">
        <v>4361</v>
      </c>
      <c r="H989" s="567" t="s">
        <v>2934</v>
      </c>
      <c r="I989" s="14" t="s">
        <v>4362</v>
      </c>
      <c r="J989" s="14" t="s">
        <v>4363</v>
      </c>
      <c r="K989" s="478">
        <v>1</v>
      </c>
      <c r="L989" s="220">
        <v>28</v>
      </c>
      <c r="M989" s="568" t="s">
        <v>4364</v>
      </c>
      <c r="N989" s="479" t="s">
        <v>2937</v>
      </c>
      <c r="O989" s="569" t="s">
        <v>2976</v>
      </c>
      <c r="P989" s="489" t="s">
        <v>2980</v>
      </c>
      <c r="Q989" s="563" t="s">
        <v>4127</v>
      </c>
      <c r="R989" s="14">
        <f t="shared" ref="R989:R990" si="1048">0.5/2</f>
        <v>0.25</v>
      </c>
      <c r="S989" s="14">
        <f t="shared" si="817"/>
        <v>7.0000000000000007E-2</v>
      </c>
      <c r="T989" s="487">
        <f>SUM(R970:R995)</f>
        <v>246</v>
      </c>
      <c r="U989">
        <f t="shared" si="1013"/>
        <v>0.1016260162601626</v>
      </c>
      <c r="V989" s="220"/>
      <c r="W989" s="14" t="s">
        <v>349</v>
      </c>
      <c r="X989">
        <f t="shared" si="1033"/>
        <v>0.1016260162601626</v>
      </c>
      <c r="Y989" s="499">
        <f t="shared" ref="Y989:AA989" si="1049">X989</f>
        <v>0.1016260162601626</v>
      </c>
      <c r="Z989" s="220">
        <f t="shared" si="1049"/>
        <v>0.1016260162601626</v>
      </c>
      <c r="AA989" s="792">
        <f t="shared" si="1049"/>
        <v>0.1016260162601626</v>
      </c>
      <c r="AB989" s="18" t="s">
        <v>346</v>
      </c>
      <c r="AC989" s="13" t="s">
        <v>2982</v>
      </c>
      <c r="AD989" s="13" t="s">
        <v>2983</v>
      </c>
      <c r="AE989" s="12">
        <v>2.9691872042618299E-2</v>
      </c>
      <c r="AF989" s="12">
        <v>7.5368545517799299E-2</v>
      </c>
      <c r="AG989" s="12">
        <v>2.9014018691588786E-4</v>
      </c>
      <c r="AH989" s="12">
        <v>1.4770983615231311E-3</v>
      </c>
    </row>
    <row r="990" spans="1:34" ht="14.25">
      <c r="A990" s="14" t="s">
        <v>4359</v>
      </c>
      <c r="B990" s="24" t="s">
        <v>2668</v>
      </c>
      <c r="C990" s="14" t="s">
        <v>2735</v>
      </c>
      <c r="D990" s="14" t="s">
        <v>2911</v>
      </c>
      <c r="E990" s="14" t="s">
        <v>4360</v>
      </c>
      <c r="F990" s="13">
        <v>28</v>
      </c>
      <c r="G990" s="14" t="s">
        <v>4361</v>
      </c>
      <c r="H990" s="567" t="s">
        <v>2934</v>
      </c>
      <c r="I990" s="14" t="s">
        <v>4362</v>
      </c>
      <c r="J990" s="14" t="s">
        <v>4363</v>
      </c>
      <c r="K990" s="478">
        <v>1</v>
      </c>
      <c r="L990" s="220">
        <v>28</v>
      </c>
      <c r="M990" s="568" t="s">
        <v>4364</v>
      </c>
      <c r="N990" s="479" t="s">
        <v>2937</v>
      </c>
      <c r="O990" s="569" t="s">
        <v>2976</v>
      </c>
      <c r="P990" s="490" t="s">
        <v>2980</v>
      </c>
      <c r="Q990" s="491" t="s">
        <v>4366</v>
      </c>
      <c r="R990" s="14">
        <f t="shared" si="1048"/>
        <v>0.25</v>
      </c>
      <c r="S990" s="14">
        <f t="shared" si="817"/>
        <v>7.0000000000000007E-2</v>
      </c>
      <c r="T990" s="487">
        <f>SUM(R970:R995)</f>
        <v>246</v>
      </c>
      <c r="U990">
        <f t="shared" si="1013"/>
        <v>0.1016260162601626</v>
      </c>
      <c r="V990" s="220"/>
      <c r="W990" s="14" t="s">
        <v>2521</v>
      </c>
      <c r="X990">
        <f t="shared" si="1033"/>
        <v>0.1016260162601626</v>
      </c>
      <c r="Y990" s="499">
        <f>X990</f>
        <v>0.1016260162601626</v>
      </c>
      <c r="Z990" s="220">
        <f>X990</f>
        <v>0.1016260162601626</v>
      </c>
      <c r="AA990" s="792">
        <f t="shared" ref="AA990:AA995" si="1050">Z990</f>
        <v>0.1016260162601626</v>
      </c>
      <c r="AB990" s="18" t="s">
        <v>324</v>
      </c>
      <c r="AC990" s="13" t="s">
        <v>18</v>
      </c>
      <c r="AD990" s="13" t="s">
        <v>3144</v>
      </c>
      <c r="AE990" s="12">
        <v>1.0652903141570055E-3</v>
      </c>
      <c r="AF990" s="12">
        <v>1.7273631840796021E-2</v>
      </c>
      <c r="AG990" s="12">
        <v>1.3582399999999999E-4</v>
      </c>
      <c r="AH990" s="12">
        <v>2.14E-3</v>
      </c>
    </row>
    <row r="991" spans="1:34" ht="14.25">
      <c r="A991" s="14" t="s">
        <v>4359</v>
      </c>
      <c r="B991" s="24" t="s">
        <v>2668</v>
      </c>
      <c r="C991" s="14" t="s">
        <v>2735</v>
      </c>
      <c r="D991" s="14" t="s">
        <v>2911</v>
      </c>
      <c r="E991" s="14" t="s">
        <v>4360</v>
      </c>
      <c r="F991" s="13">
        <v>28</v>
      </c>
      <c r="G991" s="14" t="s">
        <v>4361</v>
      </c>
      <c r="H991" s="567" t="s">
        <v>2934</v>
      </c>
      <c r="I991" s="14" t="s">
        <v>4362</v>
      </c>
      <c r="J991" s="14" t="s">
        <v>4363</v>
      </c>
      <c r="K991" s="478">
        <v>1</v>
      </c>
      <c r="L991" s="220">
        <v>28</v>
      </c>
      <c r="M991" s="568" t="s">
        <v>4364</v>
      </c>
      <c r="N991" s="479" t="s">
        <v>2937</v>
      </c>
      <c r="O991" s="569" t="s">
        <v>2976</v>
      </c>
      <c r="P991" s="14" t="s">
        <v>2584</v>
      </c>
      <c r="Q991" s="486" t="s">
        <v>3423</v>
      </c>
      <c r="R991" s="14">
        <v>0.5</v>
      </c>
      <c r="S991" s="14">
        <f t="shared" si="817"/>
        <v>0.14000000000000001</v>
      </c>
      <c r="T991" s="487">
        <f>SUM(R970:R995)</f>
        <v>246</v>
      </c>
      <c r="U991">
        <f t="shared" si="1013"/>
        <v>0.2032520325203252</v>
      </c>
      <c r="V991" s="220"/>
      <c r="W991" s="14" t="s">
        <v>2584</v>
      </c>
      <c r="X991">
        <f t="shared" si="1033"/>
        <v>0.2032520325203252</v>
      </c>
      <c r="Y991" s="220" t="s">
        <v>1624</v>
      </c>
      <c r="Z991" s="220" t="s">
        <v>1666</v>
      </c>
      <c r="AA991" s="792" t="str">
        <f t="shared" si="1050"/>
        <v>*</v>
      </c>
      <c r="AB991" s="458" t="str">
        <f t="shared" ref="AB991:AH991" si="1051">AA991</f>
        <v>*</v>
      </c>
      <c r="AC991" s="497" t="str">
        <f t="shared" si="1051"/>
        <v>*</v>
      </c>
      <c r="AD991" s="497" t="str">
        <f t="shared" si="1051"/>
        <v>*</v>
      </c>
      <c r="AE991" s="454" t="str">
        <f t="shared" si="1051"/>
        <v>*</v>
      </c>
      <c r="AF991" s="454" t="str">
        <f t="shared" si="1051"/>
        <v>*</v>
      </c>
      <c r="AG991" s="454" t="str">
        <f t="shared" si="1051"/>
        <v>*</v>
      </c>
      <c r="AH991" s="454" t="str">
        <f t="shared" si="1051"/>
        <v>*</v>
      </c>
    </row>
    <row r="992" spans="1:34" ht="14.25">
      <c r="A992" s="14" t="s">
        <v>4359</v>
      </c>
      <c r="B992" s="24" t="s">
        <v>2668</v>
      </c>
      <c r="C992" s="14" t="s">
        <v>2735</v>
      </c>
      <c r="D992" s="14" t="s">
        <v>2911</v>
      </c>
      <c r="E992" s="14" t="s">
        <v>4360</v>
      </c>
      <c r="F992" s="13">
        <v>28</v>
      </c>
      <c r="G992" s="14" t="s">
        <v>4361</v>
      </c>
      <c r="H992" s="567" t="s">
        <v>2934</v>
      </c>
      <c r="I992" s="14" t="s">
        <v>4362</v>
      </c>
      <c r="J992" s="14" t="s">
        <v>4363</v>
      </c>
      <c r="K992" s="478">
        <v>1</v>
      </c>
      <c r="L992" s="220">
        <v>28</v>
      </c>
      <c r="M992" s="568" t="s">
        <v>4364</v>
      </c>
      <c r="N992" s="479" t="s">
        <v>2937</v>
      </c>
      <c r="O992" s="569" t="s">
        <v>2976</v>
      </c>
      <c r="P992" s="14" t="s">
        <v>4262</v>
      </c>
      <c r="Q992" s="486" t="s">
        <v>4280</v>
      </c>
      <c r="R992" s="14">
        <v>0.5</v>
      </c>
      <c r="S992" s="14">
        <f t="shared" si="817"/>
        <v>0.14000000000000001</v>
      </c>
      <c r="T992" s="487">
        <f>SUM(R970:R995)</f>
        <v>246</v>
      </c>
      <c r="U992">
        <f t="shared" si="1013"/>
        <v>0.2032520325203252</v>
      </c>
      <c r="V992" s="220"/>
      <c r="W992" s="14" t="s">
        <v>92</v>
      </c>
      <c r="X992">
        <f t="shared" si="1033"/>
        <v>0.2032520325203252</v>
      </c>
      <c r="Y992" s="220" t="s">
        <v>1666</v>
      </c>
      <c r="Z992" s="220">
        <f t="shared" ref="Z992:Z993" si="1052">X992</f>
        <v>0.2032520325203252</v>
      </c>
      <c r="AA992" s="792">
        <f t="shared" si="1050"/>
        <v>0.2032520325203252</v>
      </c>
      <c r="AB992" s="18" t="s">
        <v>92</v>
      </c>
      <c r="AC992" s="13" t="s">
        <v>92</v>
      </c>
      <c r="AD992" s="14" t="s">
        <v>4264</v>
      </c>
      <c r="AE992" s="12">
        <v>4.7583080568720385E-3</v>
      </c>
      <c r="AF992" s="12">
        <v>1.399027962085308E-2</v>
      </c>
      <c r="AG992" s="12">
        <v>9.3273274881516596E-5</v>
      </c>
      <c r="AH992" s="12">
        <v>8.7765402843601901E-4</v>
      </c>
    </row>
    <row r="993" spans="1:34" ht="14.25">
      <c r="A993" s="14" t="s">
        <v>4359</v>
      </c>
      <c r="B993" s="24" t="s">
        <v>2668</v>
      </c>
      <c r="C993" s="14" t="s">
        <v>2735</v>
      </c>
      <c r="D993" s="14" t="s">
        <v>2911</v>
      </c>
      <c r="E993" s="14" t="s">
        <v>4360</v>
      </c>
      <c r="F993" s="13">
        <v>28</v>
      </c>
      <c r="G993" s="14" t="s">
        <v>4361</v>
      </c>
      <c r="H993" s="567" t="s">
        <v>2934</v>
      </c>
      <c r="I993" s="14" t="s">
        <v>4362</v>
      </c>
      <c r="J993" s="14" t="s">
        <v>4363</v>
      </c>
      <c r="K993" s="478">
        <v>1</v>
      </c>
      <c r="L993" s="220">
        <v>28</v>
      </c>
      <c r="M993" s="568" t="s">
        <v>4364</v>
      </c>
      <c r="N993" s="479" t="s">
        <v>2937</v>
      </c>
      <c r="O993" s="569" t="s">
        <v>2976</v>
      </c>
      <c r="P993" s="655" t="s">
        <v>4252</v>
      </c>
      <c r="Q993" s="486" t="s">
        <v>4358</v>
      </c>
      <c r="R993" s="14">
        <v>0.25</v>
      </c>
      <c r="S993" s="14">
        <f t="shared" si="817"/>
        <v>7.0000000000000007E-2</v>
      </c>
      <c r="T993" s="487">
        <f>SUM(R970:R995)</f>
        <v>246</v>
      </c>
      <c r="U993">
        <f t="shared" si="1013"/>
        <v>0.1016260162601626</v>
      </c>
      <c r="V993" s="220"/>
      <c r="W993" s="14" t="s">
        <v>128</v>
      </c>
      <c r="X993">
        <f t="shared" si="1033"/>
        <v>0.1016260162601626</v>
      </c>
      <c r="Y993" s="220" t="s">
        <v>1666</v>
      </c>
      <c r="Z993" s="220">
        <f t="shared" si="1052"/>
        <v>0.1016260162601626</v>
      </c>
      <c r="AA993" s="792">
        <f t="shared" si="1050"/>
        <v>0.1016260162601626</v>
      </c>
      <c r="AB993" s="18" t="s">
        <v>128</v>
      </c>
      <c r="AC993" s="622" t="s">
        <v>4254</v>
      </c>
      <c r="AD993" s="14" t="s">
        <v>4255</v>
      </c>
      <c r="AE993" s="12">
        <v>1.42078990521327E-2</v>
      </c>
      <c r="AF993" s="12">
        <v>4.1773772985781985E-2</v>
      </c>
      <c r="AG993" s="12">
        <v>2.785059853080569E-4</v>
      </c>
      <c r="AH993" s="12">
        <v>2.6205995260663506E-3</v>
      </c>
    </row>
    <row r="994" spans="1:34" ht="14.25">
      <c r="A994" s="14" t="s">
        <v>4359</v>
      </c>
      <c r="B994" s="24" t="s">
        <v>2668</v>
      </c>
      <c r="C994" s="14" t="s">
        <v>2735</v>
      </c>
      <c r="D994" s="14" t="s">
        <v>2911</v>
      </c>
      <c r="E994" s="14" t="s">
        <v>4360</v>
      </c>
      <c r="F994" s="13">
        <v>28</v>
      </c>
      <c r="G994" s="14" t="s">
        <v>4361</v>
      </c>
      <c r="H994" s="567" t="s">
        <v>2934</v>
      </c>
      <c r="I994" s="14" t="s">
        <v>4362</v>
      </c>
      <c r="J994" s="14" t="s">
        <v>4363</v>
      </c>
      <c r="K994" s="478">
        <v>1</v>
      </c>
      <c r="L994" s="220">
        <v>28</v>
      </c>
      <c r="M994" s="568" t="s">
        <v>4364</v>
      </c>
      <c r="N994" s="479" t="s">
        <v>2937</v>
      </c>
      <c r="O994" s="569" t="s">
        <v>2976</v>
      </c>
      <c r="P994" s="14" t="s">
        <v>3426</v>
      </c>
      <c r="Q994" s="14" t="s">
        <v>3427</v>
      </c>
      <c r="R994" s="14">
        <v>0.5</v>
      </c>
      <c r="S994" s="14">
        <f t="shared" si="817"/>
        <v>0.14000000000000001</v>
      </c>
      <c r="T994" s="487">
        <f>SUM(R970:R995)</f>
        <v>246</v>
      </c>
      <c r="U994">
        <f t="shared" si="1013"/>
        <v>0.2032520325203252</v>
      </c>
      <c r="V994" s="220"/>
      <c r="W994" s="14" t="s">
        <v>465</v>
      </c>
      <c r="X994">
        <f t="shared" si="1033"/>
        <v>0.2032520325203252</v>
      </c>
      <c r="Y994" s="220" t="s">
        <v>1624</v>
      </c>
      <c r="Z994" s="220" t="s">
        <v>1666</v>
      </c>
      <c r="AA994" s="792" t="str">
        <f t="shared" si="1050"/>
        <v>*</v>
      </c>
      <c r="AB994" s="18" t="s">
        <v>1666</v>
      </c>
      <c r="AC994" s="13" t="str">
        <f t="shared" ref="AC994:AH994" si="1053">AB994</f>
        <v>*</v>
      </c>
      <c r="AD994" s="13" t="str">
        <f t="shared" si="1053"/>
        <v>*</v>
      </c>
      <c r="AE994" s="220" t="str">
        <f t="shared" si="1053"/>
        <v>*</v>
      </c>
      <c r="AF994" s="220" t="str">
        <f t="shared" si="1053"/>
        <v>*</v>
      </c>
      <c r="AG994" s="220" t="str">
        <f t="shared" si="1053"/>
        <v>*</v>
      </c>
      <c r="AH994" s="220" t="str">
        <f t="shared" si="1053"/>
        <v>*</v>
      </c>
    </row>
    <row r="995" spans="1:34" ht="14.25">
      <c r="A995" s="617" t="s">
        <v>4359</v>
      </c>
      <c r="B995" s="794" t="s">
        <v>2668</v>
      </c>
      <c r="C995" s="617" t="s">
        <v>2735</v>
      </c>
      <c r="D995" s="617" t="s">
        <v>2911</v>
      </c>
      <c r="E995" s="617" t="s">
        <v>4360</v>
      </c>
      <c r="F995" s="799">
        <v>28</v>
      </c>
      <c r="G995" s="617" t="s">
        <v>4361</v>
      </c>
      <c r="H995" s="910" t="s">
        <v>2934</v>
      </c>
      <c r="I995" s="617" t="s">
        <v>4362</v>
      </c>
      <c r="J995" s="617" t="s">
        <v>4363</v>
      </c>
      <c r="K995" s="838">
        <v>1</v>
      </c>
      <c r="L995" s="725">
        <v>28</v>
      </c>
      <c r="M995" s="911" t="s">
        <v>4364</v>
      </c>
      <c r="N995" s="841" t="s">
        <v>2937</v>
      </c>
      <c r="O995" s="912" t="s">
        <v>2976</v>
      </c>
      <c r="P995" s="617" t="s">
        <v>2994</v>
      </c>
      <c r="Q995" s="617" t="s">
        <v>2995</v>
      </c>
      <c r="R995" s="617">
        <v>0.5</v>
      </c>
      <c r="S995" s="617">
        <f t="shared" si="817"/>
        <v>0.14000000000000001</v>
      </c>
      <c r="T995" s="857">
        <f>SUM(R970:R995)</f>
        <v>246</v>
      </c>
      <c r="U995" s="617">
        <f t="shared" si="1013"/>
        <v>0.2032520325203252</v>
      </c>
      <c r="V995" s="725"/>
      <c r="W995" s="617" t="s">
        <v>121</v>
      </c>
      <c r="X995" s="617">
        <f t="shared" si="1033"/>
        <v>0.2032520325203252</v>
      </c>
      <c r="Y995" s="725" t="s">
        <v>1666</v>
      </c>
      <c r="Z995" s="725">
        <f>X995</f>
        <v>0.2032520325203252</v>
      </c>
      <c r="AA995" s="455">
        <f t="shared" si="1050"/>
        <v>0.2032520325203252</v>
      </c>
      <c r="AB995" s="793" t="s">
        <v>121</v>
      </c>
      <c r="AC995" s="799" t="s">
        <v>121</v>
      </c>
      <c r="AD995" s="617" t="s">
        <v>3016</v>
      </c>
      <c r="AE995" s="635">
        <v>4.1127278199052132E-2</v>
      </c>
      <c r="AF995" s="635">
        <v>0.12092157867298578</v>
      </c>
      <c r="AG995" s="635">
        <v>8.0618486208530824E-4</v>
      </c>
      <c r="AH995" s="635">
        <v>7.5857890995260661E-3</v>
      </c>
    </row>
    <row r="996" spans="1:34" ht="14.25">
      <c r="A996" s="14" t="s">
        <v>4367</v>
      </c>
      <c r="B996" s="24" t="s">
        <v>2668</v>
      </c>
      <c r="C996" s="14" t="s">
        <v>2737</v>
      </c>
      <c r="D996" s="14" t="s">
        <v>2911</v>
      </c>
      <c r="E996" s="14" t="s">
        <v>4368</v>
      </c>
      <c r="F996" s="13">
        <v>173.8</v>
      </c>
      <c r="G996" s="14" t="s">
        <v>3383</v>
      </c>
      <c r="H996" s="567" t="s">
        <v>2934</v>
      </c>
      <c r="I996" s="14" t="s">
        <v>4368</v>
      </c>
      <c r="J996" s="14" t="s">
        <v>4369</v>
      </c>
      <c r="K996" s="478">
        <v>1</v>
      </c>
      <c r="L996" s="220">
        <v>173.8</v>
      </c>
      <c r="M996" s="573" t="s">
        <v>4370</v>
      </c>
      <c r="N996" s="479" t="s">
        <v>2937</v>
      </c>
      <c r="O996" s="569" t="s">
        <v>2976</v>
      </c>
      <c r="P996" s="655" t="s">
        <v>3005</v>
      </c>
      <c r="Q996" s="486" t="s">
        <v>3006</v>
      </c>
      <c r="R996" s="14">
        <v>24</v>
      </c>
      <c r="S996" s="14">
        <f t="shared" si="817"/>
        <v>41.712000000000003</v>
      </c>
      <c r="T996" s="220">
        <f t="shared" ref="T996:T1011" si="1054">SUM(R$996:R$1011)-R$1000</f>
        <v>100.00000000000001</v>
      </c>
      <c r="U996" s="14">
        <f t="shared" ref="U996:U1015" si="1055">R996*0.01*T996</f>
        <v>24.000000000000004</v>
      </c>
      <c r="V996" s="220">
        <f t="shared" ref="V996:V1011" si="1056">U996</f>
        <v>24.000000000000004</v>
      </c>
      <c r="W996" s="14" t="s">
        <v>215</v>
      </c>
      <c r="X996" s="14">
        <f t="shared" ref="X996:X1011" si="1057">V996*K996</f>
        <v>24.000000000000004</v>
      </c>
      <c r="Y996" s="220">
        <f t="shared" ref="Y996:AA996" si="1058">X996</f>
        <v>24.000000000000004</v>
      </c>
      <c r="Z996" s="220">
        <f t="shared" si="1058"/>
        <v>24.000000000000004</v>
      </c>
      <c r="AA996" s="792">
        <f t="shared" si="1058"/>
        <v>24.000000000000004</v>
      </c>
      <c r="AB996" s="18" t="s">
        <v>2658</v>
      </c>
      <c r="AC996" s="13" t="s">
        <v>215</v>
      </c>
      <c r="AD996" s="13" t="s">
        <v>3007</v>
      </c>
      <c r="AE996" s="12">
        <v>5.0851930036188197E-3</v>
      </c>
      <c r="AF996" s="12">
        <v>5.9995417730640897E-2</v>
      </c>
      <c r="AG996" s="12">
        <v>3.4699999999999998E-4</v>
      </c>
      <c r="AH996" s="12">
        <v>2.9762429672480995E-4</v>
      </c>
    </row>
    <row r="997" spans="1:34" ht="14.25">
      <c r="A997" s="14" t="s">
        <v>4367</v>
      </c>
      <c r="B997" s="24" t="s">
        <v>2668</v>
      </c>
      <c r="C997" s="14" t="s">
        <v>2737</v>
      </c>
      <c r="D997" s="14" t="s">
        <v>2911</v>
      </c>
      <c r="E997" s="14" t="s">
        <v>4368</v>
      </c>
      <c r="F997" s="13">
        <v>173.8</v>
      </c>
      <c r="G997" s="14" t="s">
        <v>3383</v>
      </c>
      <c r="H997" s="567" t="s">
        <v>2934</v>
      </c>
      <c r="I997" s="14" t="s">
        <v>4368</v>
      </c>
      <c r="J997" s="14" t="s">
        <v>4369</v>
      </c>
      <c r="K997" s="478">
        <v>1</v>
      </c>
      <c r="L997" s="220">
        <v>173.8</v>
      </c>
      <c r="M997" s="573" t="s">
        <v>4370</v>
      </c>
      <c r="N997" s="479" t="s">
        <v>2937</v>
      </c>
      <c r="O997" s="569" t="s">
        <v>2976</v>
      </c>
      <c r="P997" s="14" t="s">
        <v>3862</v>
      </c>
      <c r="Q997" s="486" t="s">
        <v>3863</v>
      </c>
      <c r="R997" s="14">
        <v>5</v>
      </c>
      <c r="S997" s="14">
        <f t="shared" si="817"/>
        <v>8.6900000000000013</v>
      </c>
      <c r="T997" s="220">
        <f t="shared" si="1054"/>
        <v>100.00000000000001</v>
      </c>
      <c r="U997" s="14">
        <f t="shared" si="1055"/>
        <v>5.0000000000000009</v>
      </c>
      <c r="V997" s="220">
        <f t="shared" si="1056"/>
        <v>5.0000000000000009</v>
      </c>
      <c r="W997" s="14" t="s">
        <v>208</v>
      </c>
      <c r="X997" s="14">
        <f t="shared" si="1057"/>
        <v>5.0000000000000009</v>
      </c>
      <c r="Y997" s="220">
        <f t="shared" ref="Y997:AA997" si="1059">X997</f>
        <v>5.0000000000000009</v>
      </c>
      <c r="Z997" s="220">
        <f t="shared" si="1059"/>
        <v>5.0000000000000009</v>
      </c>
      <c r="AA997" s="792">
        <f t="shared" si="1059"/>
        <v>5.0000000000000009</v>
      </c>
      <c r="AB997" s="18" t="s">
        <v>2662</v>
      </c>
      <c r="AC997" s="13" t="s">
        <v>208</v>
      </c>
      <c r="AD997" s="13" t="s">
        <v>3864</v>
      </c>
      <c r="AE997" s="12">
        <v>6.399192301960112E-3</v>
      </c>
      <c r="AF997" s="12">
        <v>0.12411340117772937</v>
      </c>
      <c r="AG997" s="12">
        <v>9.8749999999999988E-5</v>
      </c>
      <c r="AH997" s="12">
        <v>3.8580927353216109E-4</v>
      </c>
    </row>
    <row r="998" spans="1:34" ht="14.25">
      <c r="A998" s="14" t="s">
        <v>4367</v>
      </c>
      <c r="B998" s="24" t="s">
        <v>2668</v>
      </c>
      <c r="C998" s="14" t="s">
        <v>2737</v>
      </c>
      <c r="D998" s="14" t="s">
        <v>2911</v>
      </c>
      <c r="E998" s="14" t="s">
        <v>4368</v>
      </c>
      <c r="F998" s="13">
        <v>173.8</v>
      </c>
      <c r="G998" s="14" t="s">
        <v>3383</v>
      </c>
      <c r="H998" s="567" t="s">
        <v>2934</v>
      </c>
      <c r="I998" s="14" t="s">
        <v>4368</v>
      </c>
      <c r="J998" s="14" t="s">
        <v>4369</v>
      </c>
      <c r="K998" s="478">
        <v>1</v>
      </c>
      <c r="L998" s="220">
        <v>173.8</v>
      </c>
      <c r="M998" s="573" t="s">
        <v>4370</v>
      </c>
      <c r="N998" s="479" t="s">
        <v>2937</v>
      </c>
      <c r="O998" s="569" t="s">
        <v>2976</v>
      </c>
      <c r="P998" s="655" t="s">
        <v>4371</v>
      </c>
      <c r="Q998" s="486" t="s">
        <v>4372</v>
      </c>
      <c r="R998" s="14">
        <v>23.5</v>
      </c>
      <c r="S998" s="14">
        <f t="shared" si="817"/>
        <v>40.843000000000004</v>
      </c>
      <c r="T998" s="220">
        <f t="shared" si="1054"/>
        <v>100.00000000000001</v>
      </c>
      <c r="U998" s="14">
        <f t="shared" si="1055"/>
        <v>23.500000000000004</v>
      </c>
      <c r="V998" s="220">
        <f t="shared" si="1056"/>
        <v>23.500000000000004</v>
      </c>
      <c r="W998" s="14" t="s">
        <v>887</v>
      </c>
      <c r="X998" s="14">
        <f t="shared" si="1057"/>
        <v>23.500000000000004</v>
      </c>
      <c r="Y998" s="220">
        <f>SUM(X998,X999)</f>
        <v>33.500000000000007</v>
      </c>
      <c r="Z998" s="220">
        <f t="shared" ref="Z998:Z999" si="1060">X998</f>
        <v>23.500000000000004</v>
      </c>
      <c r="AA998" s="792">
        <f t="shared" ref="AA998:AA999" si="1061">Z998</f>
        <v>23.500000000000004</v>
      </c>
      <c r="AB998" s="18" t="s">
        <v>887</v>
      </c>
      <c r="AC998" s="13" t="s">
        <v>3218</v>
      </c>
      <c r="AD998" s="13" t="s">
        <v>3219</v>
      </c>
      <c r="AE998" s="12">
        <v>4.2126000000000004E-2</v>
      </c>
      <c r="AF998" s="12">
        <v>0.123858</v>
      </c>
      <c r="AG998" s="12">
        <v>8.2576200000000007E-4</v>
      </c>
      <c r="AH998" s="12">
        <v>7.77E-3</v>
      </c>
    </row>
    <row r="999" spans="1:34" ht="14.25">
      <c r="A999" s="14" t="s">
        <v>4367</v>
      </c>
      <c r="B999" s="24" t="s">
        <v>2668</v>
      </c>
      <c r="C999" s="14" t="s">
        <v>2737</v>
      </c>
      <c r="D999" s="14" t="s">
        <v>2911</v>
      </c>
      <c r="E999" s="14" t="s">
        <v>4368</v>
      </c>
      <c r="F999" s="13">
        <v>173.8</v>
      </c>
      <c r="G999" s="14" t="s">
        <v>3383</v>
      </c>
      <c r="H999" s="567" t="s">
        <v>2934</v>
      </c>
      <c r="I999" s="14" t="s">
        <v>4368</v>
      </c>
      <c r="J999" s="14" t="s">
        <v>4369</v>
      </c>
      <c r="K999" s="478">
        <v>1</v>
      </c>
      <c r="L999" s="220">
        <v>173.8</v>
      </c>
      <c r="M999" s="573" t="s">
        <v>4370</v>
      </c>
      <c r="N999" s="479" t="s">
        <v>2937</v>
      </c>
      <c r="O999" s="569" t="s">
        <v>2976</v>
      </c>
      <c r="P999" s="655" t="s">
        <v>3212</v>
      </c>
      <c r="Q999" s="10" t="s">
        <v>3216</v>
      </c>
      <c r="R999" s="14">
        <v>10</v>
      </c>
      <c r="S999" s="14">
        <f t="shared" si="817"/>
        <v>17.380000000000003</v>
      </c>
      <c r="T999" s="220">
        <f t="shared" si="1054"/>
        <v>100.00000000000001</v>
      </c>
      <c r="U999" s="14">
        <f t="shared" si="1055"/>
        <v>10.000000000000002</v>
      </c>
      <c r="V999" s="220">
        <f t="shared" si="1056"/>
        <v>10.000000000000002</v>
      </c>
      <c r="W999" s="14" t="s">
        <v>883</v>
      </c>
      <c r="X999" s="14">
        <f t="shared" si="1057"/>
        <v>10.000000000000002</v>
      </c>
      <c r="Y999" s="220" t="s">
        <v>1666</v>
      </c>
      <c r="Z999" s="220">
        <f t="shared" si="1060"/>
        <v>10.000000000000002</v>
      </c>
      <c r="AA999" s="792">
        <f t="shared" si="1061"/>
        <v>10.000000000000002</v>
      </c>
      <c r="AB999" s="18" t="s">
        <v>883</v>
      </c>
      <c r="AC999" s="13" t="s">
        <v>3218</v>
      </c>
      <c r="AD999" s="13" t="s">
        <v>3219</v>
      </c>
      <c r="AE999" s="12">
        <v>4.8143999999999999E-2</v>
      </c>
      <c r="AF999" s="12">
        <v>0.14155200000000001</v>
      </c>
      <c r="AG999" s="12">
        <v>9.4372800000000001E-4</v>
      </c>
      <c r="AH999" s="12">
        <v>8.8800000000000007E-3</v>
      </c>
    </row>
    <row r="1000" spans="1:34" ht="14.25">
      <c r="A1000" s="14" t="s">
        <v>4367</v>
      </c>
      <c r="B1000" s="24" t="s">
        <v>2668</v>
      </c>
      <c r="C1000" s="14" t="s">
        <v>2737</v>
      </c>
      <c r="D1000" s="14" t="s">
        <v>2911</v>
      </c>
      <c r="E1000" s="14" t="s">
        <v>4368</v>
      </c>
      <c r="F1000" s="13">
        <v>173.8</v>
      </c>
      <c r="G1000" s="14" t="s">
        <v>3383</v>
      </c>
      <c r="H1000" s="567" t="s">
        <v>2934</v>
      </c>
      <c r="I1000" s="14" t="s">
        <v>4368</v>
      </c>
      <c r="J1000" s="14" t="s">
        <v>4369</v>
      </c>
      <c r="K1000" s="478">
        <v>1</v>
      </c>
      <c r="L1000" s="220">
        <v>173.8</v>
      </c>
      <c r="M1000" s="573" t="s">
        <v>4370</v>
      </c>
      <c r="N1000" s="479" t="s">
        <v>2937</v>
      </c>
      <c r="O1000" s="569" t="s">
        <v>2976</v>
      </c>
      <c r="P1000" s="489" t="s">
        <v>3416</v>
      </c>
      <c r="Q1000" s="918" t="s">
        <v>4373</v>
      </c>
      <c r="R1000" s="522">
        <f>27.75*0.448654037886341</f>
        <v>12.450149551345962</v>
      </c>
      <c r="S1000" s="522">
        <f t="shared" ref="S1000:S1126" si="1062">(0.01*R1000)*L1000</f>
        <v>21.638359920239285</v>
      </c>
      <c r="T1000" s="470">
        <f t="shared" si="1054"/>
        <v>100.00000000000001</v>
      </c>
      <c r="U1000" s="522">
        <f t="shared" si="1055"/>
        <v>12.450149551345964</v>
      </c>
      <c r="V1000" s="470">
        <f t="shared" si="1056"/>
        <v>12.450149551345964</v>
      </c>
      <c r="W1000" s="482" t="s">
        <v>3474</v>
      </c>
      <c r="X1000" s="482">
        <f t="shared" si="1057"/>
        <v>12.450149551345964</v>
      </c>
      <c r="Y1000" s="481">
        <f t="shared" ref="Y1000:AA1000" si="1063">X1000</f>
        <v>12.450149551345964</v>
      </c>
      <c r="Z1000" s="481">
        <f t="shared" si="1063"/>
        <v>12.450149551345964</v>
      </c>
      <c r="AA1000" s="796">
        <f t="shared" si="1063"/>
        <v>12.450149551345964</v>
      </c>
      <c r="AB1000" s="456" t="s">
        <v>72</v>
      </c>
      <c r="AC1000" s="469" t="s">
        <v>2938</v>
      </c>
      <c r="AD1000" s="469" t="s">
        <v>2940</v>
      </c>
      <c r="AE1000" s="457">
        <v>0</v>
      </c>
      <c r="AF1000" s="457">
        <v>0</v>
      </c>
      <c r="AG1000" s="457">
        <v>0</v>
      </c>
      <c r="AH1000" s="457">
        <v>0</v>
      </c>
    </row>
    <row r="1001" spans="1:34" ht="14.25">
      <c r="A1001" s="14" t="s">
        <v>4367</v>
      </c>
      <c r="B1001" s="24" t="s">
        <v>2668</v>
      </c>
      <c r="C1001" s="14" t="s">
        <v>2737</v>
      </c>
      <c r="D1001" s="14" t="s">
        <v>2911</v>
      </c>
      <c r="E1001" s="14" t="s">
        <v>4368</v>
      </c>
      <c r="F1001" s="13">
        <v>173.8</v>
      </c>
      <c r="G1001" s="14" t="s">
        <v>3383</v>
      </c>
      <c r="H1001" s="567" t="s">
        <v>2934</v>
      </c>
      <c r="I1001" s="14" t="s">
        <v>4368</v>
      </c>
      <c r="J1001" s="14" t="s">
        <v>4369</v>
      </c>
      <c r="K1001" s="478">
        <v>1</v>
      </c>
      <c r="L1001" s="220">
        <v>173.8</v>
      </c>
      <c r="M1001" s="573" t="s">
        <v>4370</v>
      </c>
      <c r="N1001" s="479" t="s">
        <v>2937</v>
      </c>
      <c r="O1001" s="569" t="s">
        <v>2976</v>
      </c>
      <c r="P1001" s="14" t="s">
        <v>3416</v>
      </c>
      <c r="Q1001" s="10" t="s">
        <v>4373</v>
      </c>
      <c r="R1001" s="14">
        <f>27.75*0.723327305605787</f>
        <v>20.072332730560589</v>
      </c>
      <c r="S1001" s="14">
        <f t="shared" si="1062"/>
        <v>34.885714285714307</v>
      </c>
      <c r="T1001" s="220">
        <f t="shared" si="1054"/>
        <v>100.00000000000001</v>
      </c>
      <c r="U1001" s="14">
        <f t="shared" si="1055"/>
        <v>20.072332730560593</v>
      </c>
      <c r="V1001" s="220">
        <f t="shared" si="1056"/>
        <v>20.072332730560593</v>
      </c>
      <c r="W1001" s="14" t="s">
        <v>4374</v>
      </c>
      <c r="X1001" s="14">
        <f t="shared" si="1057"/>
        <v>20.072332730560593</v>
      </c>
      <c r="Y1001" s="220">
        <f t="shared" ref="Y1001:AA1001" si="1064">X1001</f>
        <v>20.072332730560593</v>
      </c>
      <c r="Z1001" s="220">
        <f t="shared" si="1064"/>
        <v>20.072332730560593</v>
      </c>
      <c r="AA1001" s="792">
        <f t="shared" si="1064"/>
        <v>20.072332730560593</v>
      </c>
      <c r="AB1001" s="18" t="s">
        <v>506</v>
      </c>
      <c r="AC1001" s="13" t="s">
        <v>1780</v>
      </c>
      <c r="AD1001" s="13" t="s">
        <v>1781</v>
      </c>
      <c r="AE1001" s="12">
        <v>4.8057057617005398E-4</v>
      </c>
      <c r="AF1001" s="12">
        <v>9.8776215197699697E-3</v>
      </c>
      <c r="AG1001" s="12">
        <v>6.3E-5</v>
      </c>
      <c r="AH1001" s="12">
        <v>2.4250819999999999E-4</v>
      </c>
    </row>
    <row r="1002" spans="1:34" ht="14.25">
      <c r="A1002" s="14" t="s">
        <v>4367</v>
      </c>
      <c r="B1002" s="24" t="s">
        <v>2668</v>
      </c>
      <c r="C1002" s="14" t="s">
        <v>2737</v>
      </c>
      <c r="D1002" s="14" t="s">
        <v>2911</v>
      </c>
      <c r="E1002" s="14" t="s">
        <v>4368</v>
      </c>
      <c r="F1002" s="13">
        <v>173.8</v>
      </c>
      <c r="G1002" s="14" t="s">
        <v>3383</v>
      </c>
      <c r="H1002" s="567" t="s">
        <v>2934</v>
      </c>
      <c r="I1002" s="14" t="s">
        <v>4368</v>
      </c>
      <c r="J1002" s="14" t="s">
        <v>4369</v>
      </c>
      <c r="K1002" s="478">
        <v>1</v>
      </c>
      <c r="L1002" s="220">
        <v>173.8</v>
      </c>
      <c r="M1002" s="573" t="s">
        <v>4370</v>
      </c>
      <c r="N1002" s="479" t="s">
        <v>2937</v>
      </c>
      <c r="O1002" s="569" t="s">
        <v>2976</v>
      </c>
      <c r="P1002" s="14" t="s">
        <v>3416</v>
      </c>
      <c r="Q1002" s="10" t="s">
        <v>4373</v>
      </c>
      <c r="R1002" s="14">
        <f>27.75*0.180831826401447</f>
        <v>5.0180831826401535</v>
      </c>
      <c r="S1002" s="14">
        <f t="shared" si="1062"/>
        <v>8.7214285714285875</v>
      </c>
      <c r="T1002" s="220">
        <f t="shared" si="1054"/>
        <v>100.00000000000001</v>
      </c>
      <c r="U1002" s="14">
        <f t="shared" si="1055"/>
        <v>5.0180831826401544</v>
      </c>
      <c r="V1002" s="220">
        <f t="shared" si="1056"/>
        <v>5.0180831826401544</v>
      </c>
      <c r="W1002" s="14" t="s">
        <v>3476</v>
      </c>
      <c r="X1002" s="14">
        <f t="shared" si="1057"/>
        <v>5.0180831826401544</v>
      </c>
      <c r="Y1002" s="220">
        <f t="shared" ref="Y1002:AA1002" si="1065">X1002</f>
        <v>5.0180831826401544</v>
      </c>
      <c r="Z1002" s="220">
        <f t="shared" si="1065"/>
        <v>5.0180831826401544</v>
      </c>
      <c r="AA1002" s="792">
        <f t="shared" si="1065"/>
        <v>5.0180831826401544</v>
      </c>
      <c r="AB1002" s="18" t="s">
        <v>2584</v>
      </c>
      <c r="AC1002" s="13" t="s">
        <v>3424</v>
      </c>
      <c r="AD1002" s="13" t="s">
        <v>3425</v>
      </c>
      <c r="AE1002" s="12">
        <v>4.7754773653722405E-4</v>
      </c>
      <c r="AF1002" s="12">
        <v>9.9048845026103102E-3</v>
      </c>
      <c r="AG1002" s="12">
        <v>1.1598405219282348E-5</v>
      </c>
      <c r="AH1002" s="12">
        <v>9.908404494382022E-5</v>
      </c>
    </row>
    <row r="1003" spans="1:34" ht="14.25">
      <c r="A1003" s="14" t="s">
        <v>4367</v>
      </c>
      <c r="B1003" s="24" t="s">
        <v>2668</v>
      </c>
      <c r="C1003" s="14" t="s">
        <v>2737</v>
      </c>
      <c r="D1003" s="14" t="s">
        <v>2911</v>
      </c>
      <c r="E1003" s="14" t="s">
        <v>4368</v>
      </c>
      <c r="F1003" s="13">
        <v>173.8</v>
      </c>
      <c r="G1003" s="14" t="s">
        <v>3383</v>
      </c>
      <c r="H1003" s="567" t="s">
        <v>2934</v>
      </c>
      <c r="I1003" s="14" t="s">
        <v>4368</v>
      </c>
      <c r="J1003" s="14" t="s">
        <v>4369</v>
      </c>
      <c r="K1003" s="478">
        <v>1</v>
      </c>
      <c r="L1003" s="220">
        <v>173.8</v>
      </c>
      <c r="M1003" s="573" t="s">
        <v>4370</v>
      </c>
      <c r="N1003" s="479" t="s">
        <v>2937</v>
      </c>
      <c r="O1003" s="569" t="s">
        <v>2976</v>
      </c>
      <c r="P1003" s="490" t="s">
        <v>3416</v>
      </c>
      <c r="Q1003" s="919" t="s">
        <v>4373</v>
      </c>
      <c r="R1003" s="490">
        <f>27.75*0.0958408679927667</f>
        <v>2.6595840867992759</v>
      </c>
      <c r="S1003" s="490">
        <f t="shared" si="1062"/>
        <v>4.6223571428571422</v>
      </c>
      <c r="T1003" s="220">
        <f t="shared" si="1054"/>
        <v>100.00000000000001</v>
      </c>
      <c r="U1003" s="490">
        <f t="shared" si="1055"/>
        <v>2.6595840867992764</v>
      </c>
      <c r="V1003" s="220">
        <f t="shared" si="1056"/>
        <v>2.6595840867992764</v>
      </c>
      <c r="W1003" s="14" t="s">
        <v>3477</v>
      </c>
      <c r="X1003" s="14">
        <f t="shared" si="1057"/>
        <v>2.6595840867992764</v>
      </c>
      <c r="Y1003" s="499">
        <f t="shared" ref="Y1003:AA1003" si="1066">X1003</f>
        <v>2.6595840867992764</v>
      </c>
      <c r="Z1003" s="220">
        <f t="shared" si="1066"/>
        <v>2.6595840867992764</v>
      </c>
      <c r="AA1003" s="792">
        <f t="shared" si="1066"/>
        <v>2.6595840867992764</v>
      </c>
      <c r="AB1003" s="809" t="s">
        <v>2518</v>
      </c>
      <c r="AC1003" s="511" t="s">
        <v>3174</v>
      </c>
      <c r="AD1003" s="511" t="s">
        <v>3174</v>
      </c>
      <c r="AE1003" s="461">
        <v>2.2073766211046637E-2</v>
      </c>
      <c r="AF1003" s="461">
        <v>8.7246004352723297E-2</v>
      </c>
      <c r="AG1003" s="461">
        <v>5.8202330775582959E-4</v>
      </c>
      <c r="AH1003" s="461">
        <v>2.670351142205461E-3</v>
      </c>
    </row>
    <row r="1004" spans="1:34" ht="14.25">
      <c r="A1004" s="14" t="s">
        <v>4367</v>
      </c>
      <c r="B1004" s="24" t="s">
        <v>2668</v>
      </c>
      <c r="C1004" s="14" t="s">
        <v>2737</v>
      </c>
      <c r="D1004" s="14" t="s">
        <v>2911</v>
      </c>
      <c r="E1004" s="14" t="s">
        <v>4368</v>
      </c>
      <c r="F1004" s="13">
        <v>173.8</v>
      </c>
      <c r="G1004" s="14" t="s">
        <v>3383</v>
      </c>
      <c r="H1004" s="567" t="s">
        <v>2934</v>
      </c>
      <c r="I1004" s="14" t="s">
        <v>4368</v>
      </c>
      <c r="J1004" s="14" t="s">
        <v>4369</v>
      </c>
      <c r="K1004" s="478">
        <v>1</v>
      </c>
      <c r="L1004" s="220">
        <v>173.8</v>
      </c>
      <c r="M1004" s="573" t="s">
        <v>4370</v>
      </c>
      <c r="N1004" s="479" t="s">
        <v>2937</v>
      </c>
      <c r="O1004" s="569" t="s">
        <v>2976</v>
      </c>
      <c r="P1004" s="14" t="s">
        <v>2945</v>
      </c>
      <c r="Q1004" s="435" t="s">
        <v>2946</v>
      </c>
      <c r="R1004" s="14">
        <v>3.5</v>
      </c>
      <c r="S1004" s="14">
        <f t="shared" si="1062"/>
        <v>6.0830000000000011</v>
      </c>
      <c r="T1004" s="220">
        <f t="shared" si="1054"/>
        <v>100.00000000000001</v>
      </c>
      <c r="U1004" s="14">
        <f t="shared" si="1055"/>
        <v>3.5000000000000009</v>
      </c>
      <c r="V1004" s="220">
        <f t="shared" si="1056"/>
        <v>3.5000000000000009</v>
      </c>
      <c r="W1004" s="14" t="s">
        <v>433</v>
      </c>
      <c r="X1004" s="14">
        <f t="shared" si="1057"/>
        <v>3.5000000000000009</v>
      </c>
      <c r="Y1004" s="220">
        <f t="shared" ref="Y1004:Y1005" si="1067">X1004</f>
        <v>3.5000000000000009</v>
      </c>
      <c r="Z1004" s="220">
        <f t="shared" ref="Z1004:Z1005" si="1068">X1004</f>
        <v>3.5000000000000009</v>
      </c>
      <c r="AA1004" s="792">
        <f t="shared" ref="AA1004:AA1006" si="1069">Z1004</f>
        <v>3.5000000000000009</v>
      </c>
      <c r="AB1004" s="18" t="s">
        <v>433</v>
      </c>
      <c r="AC1004" s="13" t="s">
        <v>433</v>
      </c>
      <c r="AD1004" s="13" t="s">
        <v>2947</v>
      </c>
      <c r="AE1004" s="12">
        <v>3.0104466724907065E-4</v>
      </c>
      <c r="AF1004" s="12">
        <v>1.2500000000000001E-2</v>
      </c>
      <c r="AG1004" s="12">
        <v>5.1818181818181835E-4</v>
      </c>
      <c r="AH1004" s="12">
        <v>4.0084080366977777E-4</v>
      </c>
    </row>
    <row r="1005" spans="1:34" ht="14.25">
      <c r="A1005" s="14" t="s">
        <v>4367</v>
      </c>
      <c r="B1005" s="24" t="s">
        <v>2668</v>
      </c>
      <c r="C1005" s="14" t="s">
        <v>2737</v>
      </c>
      <c r="D1005" s="14" t="s">
        <v>2911</v>
      </c>
      <c r="E1005" s="14" t="s">
        <v>4368</v>
      </c>
      <c r="F1005" s="13">
        <v>173.8</v>
      </c>
      <c r="G1005" s="14" t="s">
        <v>3383</v>
      </c>
      <c r="H1005" s="567" t="s">
        <v>2934</v>
      </c>
      <c r="I1005" s="14" t="s">
        <v>4368</v>
      </c>
      <c r="J1005" s="14" t="s">
        <v>4369</v>
      </c>
      <c r="K1005" s="478">
        <v>1</v>
      </c>
      <c r="L1005" s="220">
        <v>173.8</v>
      </c>
      <c r="M1005" s="573" t="s">
        <v>4370</v>
      </c>
      <c r="N1005" s="479" t="s">
        <v>2937</v>
      </c>
      <c r="O1005" s="569" t="s">
        <v>2976</v>
      </c>
      <c r="P1005" s="14" t="s">
        <v>83</v>
      </c>
      <c r="Q1005" s="527" t="s">
        <v>3430</v>
      </c>
      <c r="R1005" s="14">
        <v>0.75</v>
      </c>
      <c r="S1005" s="14">
        <f t="shared" si="1062"/>
        <v>1.3035000000000001</v>
      </c>
      <c r="T1005" s="220">
        <f t="shared" si="1054"/>
        <v>100.00000000000001</v>
      </c>
      <c r="U1005" s="14">
        <f t="shared" si="1055"/>
        <v>0.75000000000000011</v>
      </c>
      <c r="V1005" s="220">
        <f t="shared" si="1056"/>
        <v>0.75000000000000011</v>
      </c>
      <c r="W1005" s="14" t="s">
        <v>83</v>
      </c>
      <c r="X1005" s="14">
        <f t="shared" si="1057"/>
        <v>0.75000000000000011</v>
      </c>
      <c r="Y1005" s="220">
        <f t="shared" si="1067"/>
        <v>0.75000000000000011</v>
      </c>
      <c r="Z1005" s="220">
        <f t="shared" si="1068"/>
        <v>0.75000000000000011</v>
      </c>
      <c r="AA1005" s="792">
        <f t="shared" si="1069"/>
        <v>0.75000000000000011</v>
      </c>
      <c r="AB1005" s="18" t="s">
        <v>83</v>
      </c>
      <c r="AC1005" s="13" t="s">
        <v>83</v>
      </c>
      <c r="AD1005" s="13" t="s">
        <v>2951</v>
      </c>
      <c r="AE1005" s="12">
        <v>0</v>
      </c>
      <c r="AF1005" s="12">
        <v>0</v>
      </c>
      <c r="AG1005" s="12">
        <v>0</v>
      </c>
      <c r="AH1005" s="12">
        <v>0</v>
      </c>
    </row>
    <row r="1006" spans="1:34" ht="14.25">
      <c r="A1006" s="14" t="s">
        <v>4367</v>
      </c>
      <c r="B1006" s="24" t="s">
        <v>2668</v>
      </c>
      <c r="C1006" s="14" t="s">
        <v>2737</v>
      </c>
      <c r="D1006" s="14" t="s">
        <v>2911</v>
      </c>
      <c r="E1006" s="14" t="s">
        <v>4368</v>
      </c>
      <c r="F1006" s="13">
        <v>173.8</v>
      </c>
      <c r="G1006" s="14" t="s">
        <v>3383</v>
      </c>
      <c r="H1006" s="567" t="s">
        <v>2934</v>
      </c>
      <c r="I1006" s="14" t="s">
        <v>4368</v>
      </c>
      <c r="J1006" s="14" t="s">
        <v>4369</v>
      </c>
      <c r="K1006" s="478">
        <v>1</v>
      </c>
      <c r="L1006" s="220">
        <v>173.8</v>
      </c>
      <c r="M1006" s="573" t="s">
        <v>4370</v>
      </c>
      <c r="N1006" s="479" t="s">
        <v>2937</v>
      </c>
      <c r="O1006" s="569" t="s">
        <v>2976</v>
      </c>
      <c r="P1006" s="14" t="s">
        <v>3021</v>
      </c>
      <c r="Q1006" s="486" t="s">
        <v>4375</v>
      </c>
      <c r="R1006" s="14">
        <v>3</v>
      </c>
      <c r="S1006" s="14">
        <f t="shared" si="1062"/>
        <v>5.2140000000000004</v>
      </c>
      <c r="T1006" s="220">
        <f t="shared" si="1054"/>
        <v>100.00000000000001</v>
      </c>
      <c r="U1006" s="14">
        <f t="shared" si="1055"/>
        <v>3.0000000000000004</v>
      </c>
      <c r="V1006" s="220">
        <f t="shared" si="1056"/>
        <v>3.0000000000000004</v>
      </c>
      <c r="W1006" s="14" t="s">
        <v>346</v>
      </c>
      <c r="X1006" s="14">
        <f t="shared" si="1057"/>
        <v>3.0000000000000004</v>
      </c>
      <c r="Y1006" s="220">
        <f>SUM(X1006,X1009)</f>
        <v>3.5000000000000004</v>
      </c>
      <c r="Z1006" s="220">
        <f>SUM(X1006,X1009)</f>
        <v>3.5000000000000004</v>
      </c>
      <c r="AA1006" s="792">
        <f t="shared" si="1069"/>
        <v>3.5000000000000004</v>
      </c>
      <c r="AB1006" s="18" t="s">
        <v>346</v>
      </c>
      <c r="AC1006" s="13" t="s">
        <v>2982</v>
      </c>
      <c r="AD1006" s="13" t="s">
        <v>2983</v>
      </c>
      <c r="AE1006" s="12">
        <v>2.9691872042618299E-2</v>
      </c>
      <c r="AF1006" s="12">
        <v>7.5368545517799299E-2</v>
      </c>
      <c r="AG1006" s="12">
        <v>2.9014018691588786E-4</v>
      </c>
      <c r="AH1006" s="12">
        <v>1.4770983615231311E-3</v>
      </c>
    </row>
    <row r="1007" spans="1:34" ht="14.25">
      <c r="A1007" s="14" t="s">
        <v>4367</v>
      </c>
      <c r="B1007" s="24" t="s">
        <v>2668</v>
      </c>
      <c r="C1007" s="14" t="s">
        <v>2737</v>
      </c>
      <c r="D1007" s="14" t="s">
        <v>2911</v>
      </c>
      <c r="E1007" s="14" t="s">
        <v>4368</v>
      </c>
      <c r="F1007" s="13">
        <v>173.8</v>
      </c>
      <c r="G1007" s="14" t="s">
        <v>3383</v>
      </c>
      <c r="H1007" s="567" t="s">
        <v>2934</v>
      </c>
      <c r="I1007" s="14" t="s">
        <v>4368</v>
      </c>
      <c r="J1007" s="14" t="s">
        <v>4369</v>
      </c>
      <c r="K1007" s="478">
        <v>1</v>
      </c>
      <c r="L1007" s="220">
        <v>173.8</v>
      </c>
      <c r="M1007" s="573" t="s">
        <v>4370</v>
      </c>
      <c r="N1007" s="479" t="s">
        <v>2937</v>
      </c>
      <c r="O1007" s="569" t="s">
        <v>2976</v>
      </c>
      <c r="P1007" s="14" t="s">
        <v>3508</v>
      </c>
      <c r="Q1007" s="486" t="s">
        <v>3509</v>
      </c>
      <c r="R1007" s="14">
        <v>0.5</v>
      </c>
      <c r="S1007" s="14">
        <f t="shared" si="1062"/>
        <v>0.86900000000000011</v>
      </c>
      <c r="T1007" s="220">
        <f t="shared" si="1054"/>
        <v>100.00000000000001</v>
      </c>
      <c r="U1007" s="14">
        <f t="shared" si="1055"/>
        <v>0.50000000000000011</v>
      </c>
      <c r="V1007" s="220">
        <f t="shared" si="1056"/>
        <v>0.50000000000000011</v>
      </c>
      <c r="W1007" s="14" t="s">
        <v>321</v>
      </c>
      <c r="X1007" s="14">
        <f t="shared" si="1057"/>
        <v>0.50000000000000011</v>
      </c>
      <c r="Y1007" s="499">
        <f t="shared" ref="Y1007:AA1007" si="1070">X1007</f>
        <v>0.50000000000000011</v>
      </c>
      <c r="Z1007" s="220">
        <f t="shared" si="1070"/>
        <v>0.50000000000000011</v>
      </c>
      <c r="AA1007" s="792">
        <f t="shared" si="1070"/>
        <v>0.50000000000000011</v>
      </c>
      <c r="AB1007" s="18" t="s">
        <v>321</v>
      </c>
      <c r="AC1007" s="13" t="s">
        <v>3510</v>
      </c>
      <c r="AD1007" s="13" t="s">
        <v>18</v>
      </c>
      <c r="AE1007" s="12">
        <v>5.2419900086202897E-2</v>
      </c>
      <c r="AF1007" s="12">
        <v>2.8162483479607547</v>
      </c>
      <c r="AG1007" s="12">
        <v>1.6256511627906977E-3</v>
      </c>
      <c r="AH1007" s="12">
        <v>1.194650084062842E-2</v>
      </c>
    </row>
    <row r="1008" spans="1:34" ht="14.25">
      <c r="A1008" s="14" t="s">
        <v>4367</v>
      </c>
      <c r="B1008" s="24" t="s">
        <v>2668</v>
      </c>
      <c r="C1008" s="14" t="s">
        <v>2737</v>
      </c>
      <c r="D1008" s="14" t="s">
        <v>2911</v>
      </c>
      <c r="E1008" s="14" t="s">
        <v>4368</v>
      </c>
      <c r="F1008" s="13">
        <v>173.8</v>
      </c>
      <c r="G1008" s="14" t="s">
        <v>3383</v>
      </c>
      <c r="H1008" s="567" t="s">
        <v>2934</v>
      </c>
      <c r="I1008" s="14" t="s">
        <v>4368</v>
      </c>
      <c r="J1008" s="14" t="s">
        <v>4369</v>
      </c>
      <c r="K1008" s="478">
        <v>1</v>
      </c>
      <c r="L1008" s="220">
        <v>173.8</v>
      </c>
      <c r="M1008" s="573" t="s">
        <v>4370</v>
      </c>
      <c r="N1008" s="479" t="s">
        <v>2937</v>
      </c>
      <c r="O1008" s="569" t="s">
        <v>2976</v>
      </c>
      <c r="P1008" s="14" t="s">
        <v>330</v>
      </c>
      <c r="Q1008" s="486" t="s">
        <v>4376</v>
      </c>
      <c r="R1008" s="14">
        <v>0.5</v>
      </c>
      <c r="S1008" s="14">
        <f t="shared" si="1062"/>
        <v>0.86900000000000011</v>
      </c>
      <c r="T1008" s="220">
        <f t="shared" si="1054"/>
        <v>100.00000000000001</v>
      </c>
      <c r="U1008" s="14">
        <f t="shared" si="1055"/>
        <v>0.50000000000000011</v>
      </c>
      <c r="V1008" s="220">
        <f t="shared" si="1056"/>
        <v>0.50000000000000011</v>
      </c>
      <c r="W1008" s="14" t="s">
        <v>332</v>
      </c>
      <c r="X1008" s="14">
        <f t="shared" si="1057"/>
        <v>0.50000000000000011</v>
      </c>
      <c r="Y1008" s="499">
        <f t="shared" ref="Y1008:AA1008" si="1071">X1008</f>
        <v>0.50000000000000011</v>
      </c>
      <c r="Z1008" s="220">
        <f t="shared" si="1071"/>
        <v>0.50000000000000011</v>
      </c>
      <c r="AA1008" s="792">
        <f t="shared" si="1071"/>
        <v>0.50000000000000011</v>
      </c>
      <c r="AB1008" s="18" t="s">
        <v>332</v>
      </c>
      <c r="AC1008" s="13" t="s">
        <v>18</v>
      </c>
      <c r="AD1008" s="13" t="s">
        <v>3144</v>
      </c>
      <c r="AE1008" s="12">
        <v>2.3E-3</v>
      </c>
      <c r="AF1008" s="12">
        <v>4.7879999999999999E-2</v>
      </c>
      <c r="AG1008" s="12">
        <v>9.9999999999999995E-7</v>
      </c>
      <c r="AH1008" s="12">
        <v>4.4092488403675551E-4</v>
      </c>
    </row>
    <row r="1009" spans="1:34" ht="14.25">
      <c r="A1009" s="14" t="s">
        <v>4367</v>
      </c>
      <c r="B1009" s="24" t="s">
        <v>2668</v>
      </c>
      <c r="C1009" s="14" t="s">
        <v>2737</v>
      </c>
      <c r="D1009" s="14" t="s">
        <v>2911</v>
      </c>
      <c r="E1009" s="14" t="s">
        <v>4368</v>
      </c>
      <c r="F1009" s="13">
        <v>173.8</v>
      </c>
      <c r="G1009" s="14" t="s">
        <v>3383</v>
      </c>
      <c r="H1009" s="567" t="s">
        <v>2934</v>
      </c>
      <c r="I1009" s="14" t="s">
        <v>4368</v>
      </c>
      <c r="J1009" s="14" t="s">
        <v>4369</v>
      </c>
      <c r="K1009" s="478">
        <v>1</v>
      </c>
      <c r="L1009" s="220">
        <v>173.8</v>
      </c>
      <c r="M1009" s="573" t="s">
        <v>4370</v>
      </c>
      <c r="N1009" s="479" t="s">
        <v>2937</v>
      </c>
      <c r="O1009" s="569" t="s">
        <v>2976</v>
      </c>
      <c r="P1009" s="655" t="s">
        <v>2987</v>
      </c>
      <c r="Q1009" s="486" t="s">
        <v>4377</v>
      </c>
      <c r="R1009" s="14">
        <v>0.5</v>
      </c>
      <c r="S1009" s="14">
        <f t="shared" si="1062"/>
        <v>0.86900000000000011</v>
      </c>
      <c r="T1009" s="220">
        <f t="shared" si="1054"/>
        <v>100.00000000000001</v>
      </c>
      <c r="U1009" s="14">
        <f t="shared" si="1055"/>
        <v>0.50000000000000011</v>
      </c>
      <c r="V1009" s="220">
        <f t="shared" si="1056"/>
        <v>0.50000000000000011</v>
      </c>
      <c r="W1009" s="14" t="s">
        <v>349</v>
      </c>
      <c r="X1009" s="14">
        <f t="shared" si="1057"/>
        <v>0.50000000000000011</v>
      </c>
      <c r="Y1009" s="220" t="s">
        <v>1666</v>
      </c>
      <c r="Z1009" s="220" t="s">
        <v>1666</v>
      </c>
      <c r="AA1009" s="792" t="str">
        <f t="shared" ref="AA1009:AH1009" si="1072">Z1009</f>
        <v>*</v>
      </c>
      <c r="AB1009" s="458" t="str">
        <f t="shared" si="1072"/>
        <v>*</v>
      </c>
      <c r="AC1009" s="497" t="str">
        <f t="shared" si="1072"/>
        <v>*</v>
      </c>
      <c r="AD1009" s="497" t="str">
        <f t="shared" si="1072"/>
        <v>*</v>
      </c>
      <c r="AE1009" s="454" t="str">
        <f t="shared" si="1072"/>
        <v>*</v>
      </c>
      <c r="AF1009" s="454" t="str">
        <f t="shared" si="1072"/>
        <v>*</v>
      </c>
      <c r="AG1009" s="454" t="str">
        <f t="shared" si="1072"/>
        <v>*</v>
      </c>
      <c r="AH1009" s="454" t="str">
        <f t="shared" si="1072"/>
        <v>*</v>
      </c>
    </row>
    <row r="1010" spans="1:34" ht="14.25">
      <c r="A1010" s="14" t="s">
        <v>4367</v>
      </c>
      <c r="B1010" s="24" t="s">
        <v>2668</v>
      </c>
      <c r="C1010" s="14" t="s">
        <v>2737</v>
      </c>
      <c r="D1010" s="14" t="s">
        <v>2911</v>
      </c>
      <c r="E1010" s="14" t="s">
        <v>4368</v>
      </c>
      <c r="F1010" s="13">
        <v>173.8</v>
      </c>
      <c r="G1010" s="14" t="s">
        <v>3383</v>
      </c>
      <c r="H1010" s="567" t="s">
        <v>2934</v>
      </c>
      <c r="I1010" s="14" t="s">
        <v>4368</v>
      </c>
      <c r="J1010" s="14" t="s">
        <v>4369</v>
      </c>
      <c r="K1010" s="478">
        <v>1</v>
      </c>
      <c r="L1010" s="220">
        <v>173.8</v>
      </c>
      <c r="M1010" s="573" t="s">
        <v>4370</v>
      </c>
      <c r="N1010" s="479" t="s">
        <v>2937</v>
      </c>
      <c r="O1010" s="569" t="s">
        <v>2976</v>
      </c>
      <c r="P1010" s="14" t="s">
        <v>3853</v>
      </c>
      <c r="Q1010" s="486" t="s">
        <v>4378</v>
      </c>
      <c r="R1010" s="14">
        <v>0.25</v>
      </c>
      <c r="S1010" s="14">
        <f t="shared" si="1062"/>
        <v>0.43450000000000005</v>
      </c>
      <c r="T1010" s="220">
        <f t="shared" si="1054"/>
        <v>100.00000000000001</v>
      </c>
      <c r="U1010" s="14">
        <f t="shared" si="1055"/>
        <v>0.25000000000000006</v>
      </c>
      <c r="V1010" s="220">
        <f t="shared" si="1056"/>
        <v>0.25000000000000006</v>
      </c>
      <c r="W1010" s="14" t="s">
        <v>324</v>
      </c>
      <c r="X1010" s="14">
        <f t="shared" si="1057"/>
        <v>0.25000000000000006</v>
      </c>
      <c r="Y1010" s="499">
        <f t="shared" ref="Y1010:AA1010" si="1073">X1010</f>
        <v>0.25000000000000006</v>
      </c>
      <c r="Z1010" s="220">
        <f t="shared" si="1073"/>
        <v>0.25000000000000006</v>
      </c>
      <c r="AA1010" s="792">
        <f t="shared" si="1073"/>
        <v>0.25000000000000006</v>
      </c>
      <c r="AB1010" s="18" t="s">
        <v>324</v>
      </c>
      <c r="AC1010" s="13" t="s">
        <v>18</v>
      </c>
      <c r="AD1010" s="13" t="s">
        <v>3144</v>
      </c>
      <c r="AE1010" s="12">
        <v>1.0652903141570055E-3</v>
      </c>
      <c r="AF1010" s="12">
        <v>1.7273631840796021E-2</v>
      </c>
      <c r="AG1010" s="12">
        <v>1.3582399999999999E-4</v>
      </c>
      <c r="AH1010" s="12">
        <v>2.14E-3</v>
      </c>
    </row>
    <row r="1011" spans="1:34" ht="14.25">
      <c r="A1011" s="617" t="s">
        <v>4367</v>
      </c>
      <c r="B1011" s="794" t="s">
        <v>2668</v>
      </c>
      <c r="C1011" s="617" t="s">
        <v>2737</v>
      </c>
      <c r="D1011" s="617" t="s">
        <v>2911</v>
      </c>
      <c r="E1011" s="617" t="s">
        <v>4368</v>
      </c>
      <c r="F1011" s="799">
        <v>173.8</v>
      </c>
      <c r="G1011" s="617" t="s">
        <v>3383</v>
      </c>
      <c r="H1011" s="910" t="s">
        <v>2934</v>
      </c>
      <c r="I1011" s="617" t="s">
        <v>4368</v>
      </c>
      <c r="J1011" s="617" t="s">
        <v>4369</v>
      </c>
      <c r="K1011" s="838">
        <v>1</v>
      </c>
      <c r="L1011" s="725">
        <v>173.8</v>
      </c>
      <c r="M1011" s="917" t="s">
        <v>4370</v>
      </c>
      <c r="N1011" s="841" t="s">
        <v>2937</v>
      </c>
      <c r="O1011" s="912" t="s">
        <v>2976</v>
      </c>
      <c r="P1011" s="617" t="s">
        <v>86</v>
      </c>
      <c r="Q1011" s="617" t="s">
        <v>3442</v>
      </c>
      <c r="R1011" s="617">
        <v>0.75</v>
      </c>
      <c r="S1011" s="617">
        <f t="shared" si="1062"/>
        <v>1.3035000000000001</v>
      </c>
      <c r="T1011" s="725">
        <f t="shared" si="1054"/>
        <v>100.00000000000001</v>
      </c>
      <c r="U1011" s="617">
        <f t="shared" si="1055"/>
        <v>0.75000000000000011</v>
      </c>
      <c r="V1011" s="725">
        <f t="shared" si="1056"/>
        <v>0.75000000000000011</v>
      </c>
      <c r="W1011" s="617" t="s">
        <v>86</v>
      </c>
      <c r="X1011" s="617">
        <f t="shared" si="1057"/>
        <v>0.75000000000000011</v>
      </c>
      <c r="Y1011" s="862">
        <f t="shared" ref="Y1011:AA1011" si="1074">X1011</f>
        <v>0.75000000000000011</v>
      </c>
      <c r="Z1011" s="725">
        <f t="shared" si="1074"/>
        <v>0.75000000000000011</v>
      </c>
      <c r="AA1011" s="455">
        <f t="shared" si="1074"/>
        <v>0.75000000000000011</v>
      </c>
      <c r="AB1011" s="793" t="s">
        <v>86</v>
      </c>
      <c r="AC1011" s="799" t="s">
        <v>18</v>
      </c>
      <c r="AD1011" s="799" t="s">
        <v>18</v>
      </c>
      <c r="AE1011" s="635">
        <v>0</v>
      </c>
      <c r="AF1011" s="635">
        <v>0</v>
      </c>
      <c r="AG1011" s="635">
        <v>0</v>
      </c>
      <c r="AH1011" s="635">
        <v>0</v>
      </c>
    </row>
    <row r="1012" spans="1:34" ht="12.75">
      <c r="A1012" s="617" t="s">
        <v>4379</v>
      </c>
      <c r="B1012" s="799" t="s">
        <v>2738</v>
      </c>
      <c r="C1012" s="617" t="s">
        <v>2739</v>
      </c>
      <c r="D1012" s="617" t="s">
        <v>2911</v>
      </c>
      <c r="E1012" s="617" t="s">
        <v>4380</v>
      </c>
      <c r="F1012" s="799">
        <v>355</v>
      </c>
      <c r="G1012" s="617" t="s">
        <v>4381</v>
      </c>
      <c r="H1012" s="799" t="s">
        <v>1624</v>
      </c>
      <c r="I1012" s="617" t="s">
        <v>4380</v>
      </c>
      <c r="J1012" s="617" t="s">
        <v>4382</v>
      </c>
      <c r="K1012" s="838">
        <v>1</v>
      </c>
      <c r="L1012" s="725">
        <v>355</v>
      </c>
      <c r="M1012" s="850" t="s">
        <v>1624</v>
      </c>
      <c r="N1012" s="850"/>
      <c r="O1012" s="842"/>
      <c r="P1012" s="617" t="s">
        <v>4380</v>
      </c>
      <c r="Q1012" s="617"/>
      <c r="R1012" s="617">
        <v>100</v>
      </c>
      <c r="S1012" s="617">
        <f t="shared" si="1062"/>
        <v>355</v>
      </c>
      <c r="T1012" s="725">
        <f t="shared" ref="T1012:T1015" si="1075">R1012</f>
        <v>100</v>
      </c>
      <c r="U1012" s="617">
        <f t="shared" si="1055"/>
        <v>100</v>
      </c>
      <c r="V1012" s="725"/>
      <c r="W1012" s="617" t="s">
        <v>4383</v>
      </c>
      <c r="X1012" s="617">
        <f t="shared" ref="X1012:X1015" si="1076">U1012*K1012</f>
        <v>100</v>
      </c>
      <c r="Y1012" s="725"/>
      <c r="Z1012" s="725"/>
      <c r="AA1012" s="455">
        <f t="shared" ref="AA1012:AA1015" si="1077">X1012</f>
        <v>100</v>
      </c>
      <c r="AB1012" s="793" t="s">
        <v>2740</v>
      </c>
      <c r="AC1012" s="799"/>
      <c r="AD1012" s="799"/>
      <c r="AE1012" s="635">
        <v>0</v>
      </c>
      <c r="AF1012" s="635">
        <v>0</v>
      </c>
      <c r="AG1012" s="635">
        <v>0</v>
      </c>
      <c r="AH1012" s="635">
        <v>0</v>
      </c>
    </row>
    <row r="1013" spans="1:34" ht="12.75">
      <c r="A1013" s="617" t="s">
        <v>4384</v>
      </c>
      <c r="B1013" s="799" t="s">
        <v>2738</v>
      </c>
      <c r="C1013" s="617" t="s">
        <v>2741</v>
      </c>
      <c r="D1013" s="617" t="s">
        <v>2911</v>
      </c>
      <c r="E1013" s="617" t="s">
        <v>4385</v>
      </c>
      <c r="F1013" s="799">
        <v>355</v>
      </c>
      <c r="G1013" s="617" t="s">
        <v>4381</v>
      </c>
      <c r="H1013" s="799" t="s">
        <v>1624</v>
      </c>
      <c r="I1013" s="617" t="s">
        <v>4385</v>
      </c>
      <c r="J1013" s="617" t="s">
        <v>4386</v>
      </c>
      <c r="K1013" s="838">
        <v>1</v>
      </c>
      <c r="L1013" s="725">
        <v>355</v>
      </c>
      <c r="M1013" s="850" t="s">
        <v>1624</v>
      </c>
      <c r="N1013" s="850"/>
      <c r="O1013" s="842"/>
      <c r="P1013" s="617" t="s">
        <v>4385</v>
      </c>
      <c r="Q1013" s="617"/>
      <c r="R1013" s="617">
        <v>100</v>
      </c>
      <c r="S1013" s="617">
        <f t="shared" si="1062"/>
        <v>355</v>
      </c>
      <c r="T1013" s="725">
        <f t="shared" si="1075"/>
        <v>100</v>
      </c>
      <c r="U1013" s="617">
        <f t="shared" si="1055"/>
        <v>100</v>
      </c>
      <c r="V1013" s="725"/>
      <c r="W1013" s="617" t="s">
        <v>4387</v>
      </c>
      <c r="X1013" s="617">
        <f t="shared" si="1076"/>
        <v>100</v>
      </c>
      <c r="Y1013" s="725"/>
      <c r="Z1013" s="725"/>
      <c r="AA1013" s="455">
        <f t="shared" si="1077"/>
        <v>100</v>
      </c>
      <c r="AB1013" s="793" t="s">
        <v>2742</v>
      </c>
      <c r="AC1013" s="799"/>
      <c r="AD1013" s="799"/>
      <c r="AE1013" s="635">
        <v>0</v>
      </c>
      <c r="AF1013" s="635">
        <v>0</v>
      </c>
      <c r="AG1013" s="635">
        <v>0</v>
      </c>
      <c r="AH1013" s="635">
        <v>0</v>
      </c>
    </row>
    <row r="1014" spans="1:34" ht="12.75">
      <c r="A1014" s="617" t="s">
        <v>4388</v>
      </c>
      <c r="B1014" s="799" t="s">
        <v>2738</v>
      </c>
      <c r="C1014" s="617" t="s">
        <v>2743</v>
      </c>
      <c r="D1014" s="617" t="s">
        <v>2911</v>
      </c>
      <c r="E1014" s="617" t="s">
        <v>4389</v>
      </c>
      <c r="F1014" s="799">
        <v>368</v>
      </c>
      <c r="G1014" s="617" t="s">
        <v>4381</v>
      </c>
      <c r="H1014" s="799">
        <v>14400</v>
      </c>
      <c r="I1014" s="617" t="s">
        <v>4389</v>
      </c>
      <c r="J1014" s="617" t="s">
        <v>4390</v>
      </c>
      <c r="K1014" s="838">
        <v>1</v>
      </c>
      <c r="L1014" s="725">
        <v>368</v>
      </c>
      <c r="M1014" s="850" t="s">
        <v>4391</v>
      </c>
      <c r="N1014" s="850"/>
      <c r="O1014" s="842"/>
      <c r="P1014" s="617" t="s">
        <v>4389</v>
      </c>
      <c r="Q1014" s="617" t="s">
        <v>4392</v>
      </c>
      <c r="R1014" s="617">
        <v>100</v>
      </c>
      <c r="S1014" s="617">
        <f t="shared" si="1062"/>
        <v>368</v>
      </c>
      <c r="T1014" s="725">
        <f t="shared" si="1075"/>
        <v>100</v>
      </c>
      <c r="U1014" s="617">
        <f t="shared" si="1055"/>
        <v>100</v>
      </c>
      <c r="V1014" s="725"/>
      <c r="W1014" s="617" t="s">
        <v>2744</v>
      </c>
      <c r="X1014" s="617">
        <f t="shared" si="1076"/>
        <v>100</v>
      </c>
      <c r="Y1014" s="725"/>
      <c r="Z1014" s="725"/>
      <c r="AA1014" s="455">
        <f t="shared" si="1077"/>
        <v>100</v>
      </c>
      <c r="AB1014" s="793" t="s">
        <v>2744</v>
      </c>
      <c r="AC1014" s="799" t="s">
        <v>4393</v>
      </c>
      <c r="AD1014" s="799" t="s">
        <v>4394</v>
      </c>
      <c r="AE1014" s="635">
        <v>5.408949017510318E-4</v>
      </c>
      <c r="AF1014" s="635">
        <v>2.9059467320077442E-2</v>
      </c>
      <c r="AG1014" s="635">
        <v>1.7188466484573448E-5</v>
      </c>
      <c r="AH1014" s="635">
        <v>1.4199239909412813E-4</v>
      </c>
    </row>
    <row r="1015" spans="1:34" ht="12.75">
      <c r="A1015" s="617" t="s">
        <v>4395</v>
      </c>
      <c r="B1015" s="799" t="s">
        <v>2738</v>
      </c>
      <c r="C1015" s="617" t="s">
        <v>2745</v>
      </c>
      <c r="D1015" s="617" t="s">
        <v>2911</v>
      </c>
      <c r="E1015" s="617" t="s">
        <v>4396</v>
      </c>
      <c r="F1015" s="799">
        <v>370</v>
      </c>
      <c r="G1015" s="617" t="s">
        <v>4381</v>
      </c>
      <c r="H1015" s="799" t="s">
        <v>1624</v>
      </c>
      <c r="I1015" s="617" t="s">
        <v>4396</v>
      </c>
      <c r="J1015" s="617" t="s">
        <v>4397</v>
      </c>
      <c r="K1015" s="838">
        <v>1</v>
      </c>
      <c r="L1015" s="725">
        <v>370</v>
      </c>
      <c r="M1015" s="850" t="s">
        <v>1624</v>
      </c>
      <c r="N1015" s="850"/>
      <c r="O1015" s="842"/>
      <c r="P1015" s="617" t="s">
        <v>4396</v>
      </c>
      <c r="Q1015" s="617" t="s">
        <v>4398</v>
      </c>
      <c r="R1015" s="617">
        <v>100</v>
      </c>
      <c r="S1015" s="617">
        <f t="shared" si="1062"/>
        <v>370</v>
      </c>
      <c r="T1015" s="725">
        <f t="shared" si="1075"/>
        <v>100</v>
      </c>
      <c r="U1015" s="617">
        <f t="shared" si="1055"/>
        <v>100</v>
      </c>
      <c r="V1015" s="725"/>
      <c r="W1015" s="617" t="s">
        <v>4399</v>
      </c>
      <c r="X1015" s="617">
        <f t="shared" si="1076"/>
        <v>100</v>
      </c>
      <c r="Y1015" s="725"/>
      <c r="Z1015" s="725"/>
      <c r="AA1015" s="455">
        <f t="shared" si="1077"/>
        <v>100</v>
      </c>
      <c r="AB1015" s="793" t="s">
        <v>2746</v>
      </c>
      <c r="AC1015" s="799" t="s">
        <v>4400</v>
      </c>
      <c r="AD1015" s="799" t="s">
        <v>4401</v>
      </c>
      <c r="AE1015" s="635">
        <v>5.408949017510318E-4</v>
      </c>
      <c r="AF1015" s="635">
        <v>2.9059467320077442E-2</v>
      </c>
      <c r="AG1015" s="635">
        <v>1.7188466484573448E-5</v>
      </c>
      <c r="AH1015" s="635">
        <v>1.4199239909412813E-4</v>
      </c>
    </row>
    <row r="1016" spans="1:34" ht="14.25">
      <c r="A1016" s="14" t="s">
        <v>4402</v>
      </c>
      <c r="B1016" s="24" t="s">
        <v>2738</v>
      </c>
      <c r="C1016" s="14" t="s">
        <v>2747</v>
      </c>
      <c r="D1016" s="14" t="s">
        <v>2911</v>
      </c>
      <c r="E1016" s="14" t="s">
        <v>4403</v>
      </c>
      <c r="F1016" s="13">
        <v>377.57</v>
      </c>
      <c r="G1016" s="14" t="s">
        <v>4381</v>
      </c>
      <c r="H1016" s="567">
        <v>14267</v>
      </c>
      <c r="I1016" s="14" t="s">
        <v>4404</v>
      </c>
      <c r="J1016" s="14" t="s">
        <v>4405</v>
      </c>
      <c r="K1016" s="478">
        <v>0.33</v>
      </c>
      <c r="L1016" s="220">
        <v>123.88</v>
      </c>
      <c r="M1016" s="568" t="s">
        <v>4406</v>
      </c>
      <c r="N1016" s="568"/>
      <c r="O1016" s="569"/>
      <c r="P1016" s="14" t="s">
        <v>2962</v>
      </c>
      <c r="Q1016" s="14" t="s">
        <v>2963</v>
      </c>
      <c r="R1016" s="14">
        <v>6</v>
      </c>
      <c r="S1016" s="14">
        <f t="shared" si="1062"/>
        <v>7.4327999999999994</v>
      </c>
      <c r="T1016" s="220">
        <f>SUM(R1016:R1019)</f>
        <v>100</v>
      </c>
      <c r="U1016" s="14">
        <v>6</v>
      </c>
      <c r="V1016" s="220">
        <f>U1016*100/SUM(U1016:U1017,U1019)</f>
        <v>37.5</v>
      </c>
      <c r="W1016" s="14" t="s">
        <v>425</v>
      </c>
      <c r="X1016" s="560">
        <f t="shared" ref="X1016:X1025" si="1078">V1016*K1016</f>
        <v>12.375</v>
      </c>
      <c r="Y1016" s="220">
        <f>SUM(X1016,X1024)</f>
        <v>15.061046511627907</v>
      </c>
      <c r="Z1016" s="220">
        <f t="shared" ref="Z1016:AA1016" si="1079">Y1016</f>
        <v>15.061046511627907</v>
      </c>
      <c r="AA1016" s="792">
        <f t="shared" si="1079"/>
        <v>15.061046511627907</v>
      </c>
      <c r="AB1016" s="18" t="s">
        <v>425</v>
      </c>
      <c r="AC1016" s="13" t="s">
        <v>2964</v>
      </c>
      <c r="AD1016" s="13" t="s">
        <v>2965</v>
      </c>
      <c r="AE1016" s="12">
        <v>3.8102374934982654E-3</v>
      </c>
      <c r="AF1016" s="12">
        <v>0.20470422547079484</v>
      </c>
      <c r="AG1016" s="12">
        <v>1.210810810810811E-4</v>
      </c>
      <c r="AH1016" s="12">
        <v>1.0002400855855065E-3</v>
      </c>
    </row>
    <row r="1017" spans="1:34" ht="14.25">
      <c r="A1017" s="14" t="s">
        <v>4402</v>
      </c>
      <c r="B1017" s="24" t="s">
        <v>2738</v>
      </c>
      <c r="C1017" s="14" t="s">
        <v>2747</v>
      </c>
      <c r="D1017" s="14" t="s">
        <v>2911</v>
      </c>
      <c r="E1017" s="14" t="s">
        <v>4403</v>
      </c>
      <c r="F1017" s="13">
        <v>377.57</v>
      </c>
      <c r="G1017" s="14" t="s">
        <v>4381</v>
      </c>
      <c r="H1017" s="567">
        <v>14267</v>
      </c>
      <c r="I1017" s="14" t="s">
        <v>4404</v>
      </c>
      <c r="J1017" s="14" t="s">
        <v>4405</v>
      </c>
      <c r="K1017" s="478">
        <v>0.33</v>
      </c>
      <c r="L1017" s="220">
        <v>123.88</v>
      </c>
      <c r="M1017" s="568" t="s">
        <v>4406</v>
      </c>
      <c r="N1017" s="568"/>
      <c r="O1017" s="569"/>
      <c r="P1017" s="14" t="s">
        <v>2945</v>
      </c>
      <c r="Q1017" s="435" t="s">
        <v>2946</v>
      </c>
      <c r="R1017" s="14">
        <v>6</v>
      </c>
      <c r="S1017" s="14">
        <f t="shared" si="1062"/>
        <v>7.4327999999999994</v>
      </c>
      <c r="T1017" s="220">
        <f>SUM(R1016:R1019)</f>
        <v>100</v>
      </c>
      <c r="U1017" s="14">
        <v>6</v>
      </c>
      <c r="V1017" s="220">
        <f>U1017*100/SUM(U1016:U1017,U1019)</f>
        <v>37.5</v>
      </c>
      <c r="W1017" s="14" t="s">
        <v>433</v>
      </c>
      <c r="X1017" s="560">
        <f t="shared" si="1078"/>
        <v>12.375</v>
      </c>
      <c r="Y1017" s="220">
        <f>SUM(X1017,X1025,X1027)</f>
        <v>16.061046511627907</v>
      </c>
      <c r="Z1017" s="220">
        <f t="shared" ref="Z1017:AA1017" si="1080">Y1017</f>
        <v>16.061046511627907</v>
      </c>
      <c r="AA1017" s="792">
        <f t="shared" si="1080"/>
        <v>16.061046511627907</v>
      </c>
      <c r="AB1017" s="18" t="s">
        <v>433</v>
      </c>
      <c r="AC1017" s="13" t="s">
        <v>433</v>
      </c>
      <c r="AD1017" s="13" t="s">
        <v>2947</v>
      </c>
      <c r="AE1017" s="12">
        <v>3.0104466724907065E-4</v>
      </c>
      <c r="AF1017" s="12">
        <v>1.2500000000000001E-2</v>
      </c>
      <c r="AG1017" s="12">
        <v>5.1818181818181835E-4</v>
      </c>
      <c r="AH1017" s="12">
        <v>4.0084080366977777E-4</v>
      </c>
    </row>
    <row r="1018" spans="1:34" ht="14.25">
      <c r="A1018" s="14" t="s">
        <v>4402</v>
      </c>
      <c r="B1018" s="24" t="s">
        <v>2738</v>
      </c>
      <c r="C1018" s="14" t="s">
        <v>2747</v>
      </c>
      <c r="D1018" s="14" t="s">
        <v>2911</v>
      </c>
      <c r="E1018" s="14" t="s">
        <v>4403</v>
      </c>
      <c r="F1018" s="13">
        <v>377.57</v>
      </c>
      <c r="G1018" s="14" t="s">
        <v>4381</v>
      </c>
      <c r="H1018" s="567">
        <v>14267</v>
      </c>
      <c r="I1018" s="14" t="s">
        <v>4404</v>
      </c>
      <c r="J1018" s="14" t="s">
        <v>4405</v>
      </c>
      <c r="K1018" s="478">
        <v>0.33</v>
      </c>
      <c r="L1018" s="220">
        <v>123.88</v>
      </c>
      <c r="M1018" s="568" t="s">
        <v>4406</v>
      </c>
      <c r="N1018" s="568"/>
      <c r="O1018" s="569"/>
      <c r="P1018" s="14" t="s">
        <v>2938</v>
      </c>
      <c r="Q1018" s="435" t="s">
        <v>2939</v>
      </c>
      <c r="R1018" s="14">
        <v>84</v>
      </c>
      <c r="S1018" s="14">
        <f t="shared" si="1062"/>
        <v>104.05919999999999</v>
      </c>
      <c r="T1018" s="220">
        <f>SUM(R1016:R1019)</f>
        <v>100</v>
      </c>
      <c r="U1018" s="14">
        <v>84</v>
      </c>
      <c r="V1018" s="481">
        <f>U1018</f>
        <v>84</v>
      </c>
      <c r="W1018" s="482" t="s">
        <v>72</v>
      </c>
      <c r="X1018" s="576">
        <f t="shared" si="1078"/>
        <v>27.720000000000002</v>
      </c>
      <c r="Y1018" s="481">
        <f>SUM(X1018,X1020,X1029)</f>
        <v>77.240408163265315</v>
      </c>
      <c r="Z1018" s="481">
        <f t="shared" ref="Z1018:AA1018" si="1081">Y1018</f>
        <v>77.240408163265315</v>
      </c>
      <c r="AA1018" s="796">
        <f t="shared" si="1081"/>
        <v>77.240408163265315</v>
      </c>
      <c r="AB1018" s="456" t="s">
        <v>72</v>
      </c>
      <c r="AC1018" s="469" t="s">
        <v>2938</v>
      </c>
      <c r="AD1018" s="469" t="s">
        <v>2940</v>
      </c>
      <c r="AE1018" s="457">
        <v>0</v>
      </c>
      <c r="AF1018" s="457">
        <v>0</v>
      </c>
      <c r="AG1018" s="457">
        <v>0</v>
      </c>
      <c r="AH1018" s="457">
        <v>0</v>
      </c>
    </row>
    <row r="1019" spans="1:34" ht="14.25">
      <c r="A1019" s="14" t="s">
        <v>4402</v>
      </c>
      <c r="B1019" s="24" t="s">
        <v>2738</v>
      </c>
      <c r="C1019" s="14" t="s">
        <v>2747</v>
      </c>
      <c r="D1019" s="14" t="s">
        <v>2911</v>
      </c>
      <c r="E1019" s="14" t="s">
        <v>4403</v>
      </c>
      <c r="F1019" s="13">
        <v>377.57</v>
      </c>
      <c r="G1019" s="14" t="s">
        <v>4381</v>
      </c>
      <c r="H1019" s="567">
        <v>14267</v>
      </c>
      <c r="I1019" s="135" t="s">
        <v>4404</v>
      </c>
      <c r="J1019" s="135" t="s">
        <v>4405</v>
      </c>
      <c r="K1019" s="475">
        <v>0.33</v>
      </c>
      <c r="L1019" s="476">
        <v>123.88</v>
      </c>
      <c r="M1019" s="570" t="s">
        <v>4406</v>
      </c>
      <c r="N1019" s="570"/>
      <c r="O1019" s="571"/>
      <c r="P1019" s="135" t="s">
        <v>4407</v>
      </c>
      <c r="Q1019" s="495" t="s">
        <v>4408</v>
      </c>
      <c r="R1019" s="135">
        <v>4</v>
      </c>
      <c r="S1019" s="135">
        <f t="shared" si="1062"/>
        <v>4.9551999999999996</v>
      </c>
      <c r="T1019" s="476">
        <f>SUM(R1016:R1019)</f>
        <v>100</v>
      </c>
      <c r="U1019" s="135">
        <v>4</v>
      </c>
      <c r="V1019" s="476">
        <f>U1019*100/SUM(U1016:U1017,U1019)</f>
        <v>25</v>
      </c>
      <c r="W1019" s="135" t="s">
        <v>38</v>
      </c>
      <c r="X1019" s="560">
        <f t="shared" si="1078"/>
        <v>8.25</v>
      </c>
      <c r="Y1019" s="220">
        <f>SUM(X1019,X1022)</f>
        <v>17.459302325581397</v>
      </c>
      <c r="Z1019" s="220">
        <f t="shared" ref="Z1019:AA1019" si="1082">Y1019</f>
        <v>17.459302325581397</v>
      </c>
      <c r="AA1019" s="792">
        <f t="shared" si="1082"/>
        <v>17.459302325581397</v>
      </c>
      <c r="AB1019" s="18" t="s">
        <v>38</v>
      </c>
      <c r="AC1019" s="14" t="s">
        <v>4409</v>
      </c>
      <c r="AD1019" s="14" t="s">
        <v>4410</v>
      </c>
      <c r="AE1019" s="12">
        <v>1.6939344187576338E-2</v>
      </c>
      <c r="AF1019" s="12">
        <v>0.12747220842521731</v>
      </c>
      <c r="AG1019" s="12">
        <v>6.4159613314729389E-4</v>
      </c>
      <c r="AH1019" s="12">
        <v>1.9596661512744689E-4</v>
      </c>
    </row>
    <row r="1020" spans="1:34" ht="14.25">
      <c r="A1020" s="14" t="s">
        <v>4402</v>
      </c>
      <c r="B1020" s="24" t="s">
        <v>2738</v>
      </c>
      <c r="C1020" s="14" t="s">
        <v>2747</v>
      </c>
      <c r="D1020" s="14" t="s">
        <v>2911</v>
      </c>
      <c r="E1020" s="14" t="s">
        <v>4403</v>
      </c>
      <c r="F1020" s="13">
        <v>377.57</v>
      </c>
      <c r="G1020" s="14" t="s">
        <v>4381</v>
      </c>
      <c r="H1020" s="567">
        <v>14267</v>
      </c>
      <c r="I1020" s="14" t="s">
        <v>4411</v>
      </c>
      <c r="J1020" s="14" t="s">
        <v>4412</v>
      </c>
      <c r="K1020" s="478">
        <v>0.33</v>
      </c>
      <c r="L1020" s="220">
        <v>123.88</v>
      </c>
      <c r="M1020" s="568" t="s">
        <v>4413</v>
      </c>
      <c r="N1020" s="568"/>
      <c r="O1020" s="569"/>
      <c r="P1020" s="14" t="s">
        <v>2938</v>
      </c>
      <c r="Q1020" s="435" t="s">
        <v>2939</v>
      </c>
      <c r="R1020" s="14">
        <v>55</v>
      </c>
      <c r="S1020" s="14">
        <f t="shared" si="1062"/>
        <v>68.134</v>
      </c>
      <c r="T1020" s="220">
        <f>SUM(R1020:R1025)</f>
        <v>98</v>
      </c>
      <c r="U1020">
        <f t="shared" ref="U1020:U1028" si="1083">R1020*100/T1020</f>
        <v>56.122448979591837</v>
      </c>
      <c r="V1020" s="481">
        <f>U1020</f>
        <v>56.122448979591837</v>
      </c>
      <c r="W1020" s="482" t="s">
        <v>72</v>
      </c>
      <c r="X1020" s="576">
        <f t="shared" si="1078"/>
        <v>18.520408163265309</v>
      </c>
      <c r="Y1020" s="220" t="s">
        <v>1666</v>
      </c>
      <c r="Z1020" s="220" t="s">
        <v>1666</v>
      </c>
      <c r="AA1020" s="792" t="str">
        <f t="shared" ref="AA1020:AH1020" si="1084">Z1020</f>
        <v>*</v>
      </c>
      <c r="AB1020" s="458" t="str">
        <f t="shared" si="1084"/>
        <v>*</v>
      </c>
      <c r="AC1020" s="497" t="str">
        <f t="shared" si="1084"/>
        <v>*</v>
      </c>
      <c r="AD1020" s="497" t="str">
        <f t="shared" si="1084"/>
        <v>*</v>
      </c>
      <c r="AE1020" s="454" t="str">
        <f t="shared" si="1084"/>
        <v>*</v>
      </c>
      <c r="AF1020" s="454" t="str">
        <f t="shared" si="1084"/>
        <v>*</v>
      </c>
      <c r="AG1020" s="454" t="str">
        <f t="shared" si="1084"/>
        <v>*</v>
      </c>
      <c r="AH1020" s="454" t="str">
        <f t="shared" si="1084"/>
        <v>*</v>
      </c>
    </row>
    <row r="1021" spans="1:34" ht="14.25">
      <c r="A1021" s="14" t="s">
        <v>4402</v>
      </c>
      <c r="B1021" s="24" t="s">
        <v>2738</v>
      </c>
      <c r="C1021" s="14" t="s">
        <v>2747</v>
      </c>
      <c r="D1021" s="14" t="s">
        <v>2911</v>
      </c>
      <c r="E1021" s="14" t="s">
        <v>4403</v>
      </c>
      <c r="F1021" s="13">
        <v>377.57</v>
      </c>
      <c r="G1021" s="14" t="s">
        <v>4381</v>
      </c>
      <c r="H1021" s="567">
        <v>14267</v>
      </c>
      <c r="I1021" s="14" t="s">
        <v>4411</v>
      </c>
      <c r="J1021" s="14" t="s">
        <v>4412</v>
      </c>
      <c r="K1021" s="478">
        <v>0.33</v>
      </c>
      <c r="L1021" s="220">
        <v>123.88</v>
      </c>
      <c r="M1021" s="568" t="s">
        <v>4413</v>
      </c>
      <c r="N1021" s="568"/>
      <c r="O1021" s="569"/>
      <c r="P1021" s="14" t="s">
        <v>3085</v>
      </c>
      <c r="Q1021" s="10" t="s">
        <v>3313</v>
      </c>
      <c r="R1021" s="14">
        <v>12</v>
      </c>
      <c r="S1021" s="14">
        <f t="shared" si="1062"/>
        <v>14.865599999999999</v>
      </c>
      <c r="T1021" s="220">
        <f>SUM(R1020:R1025)</f>
        <v>98</v>
      </c>
      <c r="U1021">
        <f t="shared" si="1083"/>
        <v>12.244897959183673</v>
      </c>
      <c r="V1021" s="220">
        <f>U1021*100/SUM(U1021:U1025)</f>
        <v>27.90697674418605</v>
      </c>
      <c r="W1021" s="14" t="s">
        <v>690</v>
      </c>
      <c r="X1021" s="560">
        <f t="shared" si="1078"/>
        <v>9.2093023255813975</v>
      </c>
      <c r="Y1021" s="220">
        <f t="shared" ref="Y1021:AA1021" si="1085">X1021</f>
        <v>9.2093023255813975</v>
      </c>
      <c r="Z1021" s="220">
        <f t="shared" si="1085"/>
        <v>9.2093023255813975</v>
      </c>
      <c r="AA1021" s="792">
        <f t="shared" si="1085"/>
        <v>9.2093023255813975</v>
      </c>
      <c r="AB1021" s="18" t="s">
        <v>690</v>
      </c>
      <c r="AC1021" s="13" t="s">
        <v>3087</v>
      </c>
      <c r="AD1021" s="13" t="s">
        <v>3088</v>
      </c>
      <c r="AE1021" s="12">
        <v>1.9306129458663359E-3</v>
      </c>
      <c r="AF1021" s="12">
        <v>3.9248033695195798E-2</v>
      </c>
      <c r="AG1021" s="12">
        <v>2.2000000000000001E-4</v>
      </c>
      <c r="AH1021" s="12">
        <v>2.1384856875782642E-3</v>
      </c>
    </row>
    <row r="1022" spans="1:34" ht="14.25">
      <c r="A1022" s="14" t="s">
        <v>4402</v>
      </c>
      <c r="B1022" s="24" t="s">
        <v>2738</v>
      </c>
      <c r="C1022" s="14" t="s">
        <v>2747</v>
      </c>
      <c r="D1022" s="14" t="s">
        <v>2911</v>
      </c>
      <c r="E1022" s="14" t="s">
        <v>4403</v>
      </c>
      <c r="F1022" s="13">
        <v>377.57</v>
      </c>
      <c r="G1022" s="14" t="s">
        <v>4381</v>
      </c>
      <c r="H1022" s="567">
        <v>14267</v>
      </c>
      <c r="I1022" s="14" t="s">
        <v>4411</v>
      </c>
      <c r="J1022" s="14" t="s">
        <v>4412</v>
      </c>
      <c r="K1022" s="478">
        <v>0.33</v>
      </c>
      <c r="L1022" s="220">
        <v>123.88</v>
      </c>
      <c r="M1022" s="568" t="s">
        <v>4413</v>
      </c>
      <c r="N1022" s="568"/>
      <c r="O1022" s="569"/>
      <c r="P1022" s="14" t="s">
        <v>4407</v>
      </c>
      <c r="Q1022" s="486" t="s">
        <v>4408</v>
      </c>
      <c r="R1022" s="14">
        <v>12</v>
      </c>
      <c r="S1022" s="14">
        <f t="shared" si="1062"/>
        <v>14.865599999999999</v>
      </c>
      <c r="T1022" s="220">
        <f>SUM(R1020:R1025)</f>
        <v>98</v>
      </c>
      <c r="U1022">
        <f t="shared" si="1083"/>
        <v>12.244897959183673</v>
      </c>
      <c r="V1022" s="220">
        <f>U1022*100/SUM(U1021:U1025)</f>
        <v>27.90697674418605</v>
      </c>
      <c r="W1022" s="14" t="s">
        <v>2220</v>
      </c>
      <c r="X1022" s="560">
        <f t="shared" si="1078"/>
        <v>9.2093023255813975</v>
      </c>
      <c r="Y1022" s="220" t="s">
        <v>1666</v>
      </c>
      <c r="Z1022" s="220" t="s">
        <v>1666</v>
      </c>
      <c r="AA1022" s="792" t="str">
        <f t="shared" ref="AA1022:AH1022" si="1086">Z1022</f>
        <v>*</v>
      </c>
      <c r="AB1022" s="458" t="str">
        <f t="shared" si="1086"/>
        <v>*</v>
      </c>
      <c r="AC1022" s="497" t="str">
        <f t="shared" si="1086"/>
        <v>*</v>
      </c>
      <c r="AD1022" s="497" t="str">
        <f t="shared" si="1086"/>
        <v>*</v>
      </c>
      <c r="AE1022" s="454" t="str">
        <f t="shared" si="1086"/>
        <v>*</v>
      </c>
      <c r="AF1022" s="454" t="str">
        <f t="shared" si="1086"/>
        <v>*</v>
      </c>
      <c r="AG1022" s="454" t="str">
        <f t="shared" si="1086"/>
        <v>*</v>
      </c>
      <c r="AH1022" s="454" t="str">
        <f t="shared" si="1086"/>
        <v>*</v>
      </c>
    </row>
    <row r="1023" spans="1:34" ht="14.25">
      <c r="A1023" s="14" t="s">
        <v>4402</v>
      </c>
      <c r="B1023" s="24" t="s">
        <v>2738</v>
      </c>
      <c r="C1023" s="14" t="s">
        <v>2747</v>
      </c>
      <c r="D1023" s="14" t="s">
        <v>2911</v>
      </c>
      <c r="E1023" s="14" t="s">
        <v>4403</v>
      </c>
      <c r="F1023" s="13">
        <v>377.57</v>
      </c>
      <c r="G1023" s="14" t="s">
        <v>4381</v>
      </c>
      <c r="H1023" s="567">
        <v>14267</v>
      </c>
      <c r="I1023" s="14" t="s">
        <v>4411</v>
      </c>
      <c r="J1023" s="14" t="s">
        <v>4412</v>
      </c>
      <c r="K1023" s="478">
        <v>0.33</v>
      </c>
      <c r="L1023" s="220">
        <v>123.88</v>
      </c>
      <c r="M1023" s="568" t="s">
        <v>4413</v>
      </c>
      <c r="N1023" s="568"/>
      <c r="O1023" s="569"/>
      <c r="P1023" s="14" t="s">
        <v>4414</v>
      </c>
      <c r="Q1023" s="486" t="s">
        <v>4415</v>
      </c>
      <c r="R1023" s="14">
        <v>12</v>
      </c>
      <c r="S1023" s="14">
        <f t="shared" si="1062"/>
        <v>14.865599999999999</v>
      </c>
      <c r="T1023" s="220">
        <f>SUM(R1020:R1025)</f>
        <v>98</v>
      </c>
      <c r="U1023">
        <f t="shared" si="1083"/>
        <v>12.244897959183673</v>
      </c>
      <c r="V1023" s="220">
        <f>U1023*100/SUM(U1021:U1025)</f>
        <v>27.90697674418605</v>
      </c>
      <c r="W1023" s="14" t="s">
        <v>36</v>
      </c>
      <c r="X1023" s="560">
        <f t="shared" si="1078"/>
        <v>9.2093023255813975</v>
      </c>
      <c r="Y1023" s="220">
        <f t="shared" ref="Y1023:AA1023" si="1087">X1023</f>
        <v>9.2093023255813975</v>
      </c>
      <c r="Z1023" s="220">
        <f t="shared" si="1087"/>
        <v>9.2093023255813975</v>
      </c>
      <c r="AA1023" s="792">
        <f t="shared" si="1087"/>
        <v>9.2093023255813975</v>
      </c>
      <c r="AB1023" s="18" t="s">
        <v>36</v>
      </c>
      <c r="AC1023" s="13" t="s">
        <v>4416</v>
      </c>
      <c r="AD1023" s="13" t="s">
        <v>4417</v>
      </c>
      <c r="AE1023" s="12">
        <v>2.4184492523326444E-3</v>
      </c>
      <c r="AF1023" s="12">
        <v>3.5176357141887118E-2</v>
      </c>
      <c r="AG1023" s="12">
        <v>1.8888888888888888E-4</v>
      </c>
      <c r="AH1023" s="12">
        <v>8.5327130333333323E-4</v>
      </c>
    </row>
    <row r="1024" spans="1:34" ht="14.25">
      <c r="A1024" s="14" t="s">
        <v>4402</v>
      </c>
      <c r="B1024" s="24" t="s">
        <v>2738</v>
      </c>
      <c r="C1024" s="14" t="s">
        <v>2747</v>
      </c>
      <c r="D1024" s="14" t="s">
        <v>2911</v>
      </c>
      <c r="E1024" s="14" t="s">
        <v>4403</v>
      </c>
      <c r="F1024" s="13">
        <v>377.57</v>
      </c>
      <c r="G1024" s="14" t="s">
        <v>4381</v>
      </c>
      <c r="H1024" s="567">
        <v>14267</v>
      </c>
      <c r="I1024" s="14" t="s">
        <v>4411</v>
      </c>
      <c r="J1024" s="14" t="s">
        <v>4412</v>
      </c>
      <c r="K1024" s="478">
        <v>0.33</v>
      </c>
      <c r="L1024" s="220">
        <v>123.88</v>
      </c>
      <c r="M1024" s="568" t="s">
        <v>4413</v>
      </c>
      <c r="N1024" s="568"/>
      <c r="O1024" s="569"/>
      <c r="P1024" s="14" t="s">
        <v>2962</v>
      </c>
      <c r="Q1024" s="14" t="s">
        <v>2963</v>
      </c>
      <c r="R1024" s="14">
        <v>3.5</v>
      </c>
      <c r="S1024" s="14">
        <f t="shared" si="1062"/>
        <v>4.3357999999999999</v>
      </c>
      <c r="T1024" s="220">
        <f>SUM(R1020:R1025)</f>
        <v>98</v>
      </c>
      <c r="U1024">
        <f t="shared" si="1083"/>
        <v>3.5714285714285716</v>
      </c>
      <c r="V1024" s="220">
        <f>U1024*100/SUM(U1021:U1025)</f>
        <v>8.1395348837209323</v>
      </c>
      <c r="W1024" s="14" t="s">
        <v>425</v>
      </c>
      <c r="X1024" s="560">
        <f t="shared" si="1078"/>
        <v>2.6860465116279078</v>
      </c>
      <c r="Y1024" s="220" t="s">
        <v>1666</v>
      </c>
      <c r="Z1024" s="220" t="s">
        <v>1666</v>
      </c>
      <c r="AA1024" s="792" t="str">
        <f t="shared" ref="AA1024:AH1024" si="1088">Z1024</f>
        <v>*</v>
      </c>
      <c r="AB1024" s="458" t="str">
        <f t="shared" si="1088"/>
        <v>*</v>
      </c>
      <c r="AC1024" s="497" t="str">
        <f t="shared" si="1088"/>
        <v>*</v>
      </c>
      <c r="AD1024" s="497" t="str">
        <f t="shared" si="1088"/>
        <v>*</v>
      </c>
      <c r="AE1024" s="454" t="str">
        <f t="shared" si="1088"/>
        <v>*</v>
      </c>
      <c r="AF1024" s="454" t="str">
        <f t="shared" si="1088"/>
        <v>*</v>
      </c>
      <c r="AG1024" s="454" t="str">
        <f t="shared" si="1088"/>
        <v>*</v>
      </c>
      <c r="AH1024" s="454" t="str">
        <f t="shared" si="1088"/>
        <v>*</v>
      </c>
    </row>
    <row r="1025" spans="1:34" ht="14.25">
      <c r="A1025" s="14" t="s">
        <v>4402</v>
      </c>
      <c r="B1025" s="24" t="s">
        <v>2738</v>
      </c>
      <c r="C1025" s="14" t="s">
        <v>2747</v>
      </c>
      <c r="D1025" s="14" t="s">
        <v>2911</v>
      </c>
      <c r="E1025" s="14" t="s">
        <v>4403</v>
      </c>
      <c r="F1025" s="13">
        <v>377.57</v>
      </c>
      <c r="G1025" s="14" t="s">
        <v>4381</v>
      </c>
      <c r="H1025" s="567">
        <v>14267</v>
      </c>
      <c r="I1025" s="135" t="s">
        <v>4411</v>
      </c>
      <c r="J1025" s="135" t="s">
        <v>4412</v>
      </c>
      <c r="K1025" s="475">
        <v>0.33</v>
      </c>
      <c r="L1025" s="476">
        <v>123.88</v>
      </c>
      <c r="M1025" s="570" t="s">
        <v>4413</v>
      </c>
      <c r="N1025" s="570"/>
      <c r="O1025" s="571"/>
      <c r="P1025" s="135" t="s">
        <v>2945</v>
      </c>
      <c r="Q1025" s="561" t="s">
        <v>2946</v>
      </c>
      <c r="R1025" s="135">
        <v>3.5</v>
      </c>
      <c r="S1025" s="135">
        <f t="shared" si="1062"/>
        <v>4.3357999999999999</v>
      </c>
      <c r="T1025" s="854">
        <f>SUM(R1020:R1025)</f>
        <v>98</v>
      </c>
      <c r="U1025" s="135">
        <f t="shared" si="1083"/>
        <v>3.5714285714285716</v>
      </c>
      <c r="V1025" s="220">
        <f>U1025*100/SUM(U1021:U1025)</f>
        <v>8.1395348837209323</v>
      </c>
      <c r="W1025" s="14" t="s">
        <v>433</v>
      </c>
      <c r="X1025" s="560">
        <f t="shared" si="1078"/>
        <v>2.6860465116279078</v>
      </c>
      <c r="Y1025" s="220" t="s">
        <v>1666</v>
      </c>
      <c r="Z1025" s="220" t="s">
        <v>1666</v>
      </c>
      <c r="AA1025" s="792" t="str">
        <f t="shared" ref="AA1025:AH1025" si="1089">Z1025</f>
        <v>*</v>
      </c>
      <c r="AB1025" s="458" t="str">
        <f t="shared" si="1089"/>
        <v>*</v>
      </c>
      <c r="AC1025" s="497" t="str">
        <f t="shared" si="1089"/>
        <v>*</v>
      </c>
      <c r="AD1025" s="497" t="str">
        <f t="shared" si="1089"/>
        <v>*</v>
      </c>
      <c r="AE1025" s="454" t="str">
        <f t="shared" si="1089"/>
        <v>*</v>
      </c>
      <c r="AF1025" s="454" t="str">
        <f t="shared" si="1089"/>
        <v>*</v>
      </c>
      <c r="AG1025" s="454" t="str">
        <f t="shared" si="1089"/>
        <v>*</v>
      </c>
      <c r="AH1025" s="454" t="str">
        <f t="shared" si="1089"/>
        <v>*</v>
      </c>
    </row>
    <row r="1026" spans="1:34" ht="14.25">
      <c r="A1026" s="14" t="s">
        <v>4402</v>
      </c>
      <c r="B1026" s="13" t="s">
        <v>2738</v>
      </c>
      <c r="C1026" s="14" t="s">
        <v>2747</v>
      </c>
      <c r="D1026" s="14" t="s">
        <v>2911</v>
      </c>
      <c r="E1026" s="14" t="s">
        <v>4403</v>
      </c>
      <c r="F1026" s="13">
        <v>377.57</v>
      </c>
      <c r="G1026" s="14" t="s">
        <v>4381</v>
      </c>
      <c r="H1026" s="567">
        <v>14267</v>
      </c>
      <c r="I1026" s="14" t="s">
        <v>4418</v>
      </c>
      <c r="J1026" s="14" t="s">
        <v>4419</v>
      </c>
      <c r="K1026" s="478">
        <v>0.03</v>
      </c>
      <c r="L1026" s="220">
        <v>11.32</v>
      </c>
      <c r="M1026" s="568" t="s">
        <v>4420</v>
      </c>
      <c r="N1026" s="568"/>
      <c r="O1026" s="569"/>
      <c r="P1026" s="14" t="s">
        <v>67</v>
      </c>
      <c r="Q1026" s="14" t="s">
        <v>4421</v>
      </c>
      <c r="R1026" s="14">
        <f t="shared" ref="R1026:R1028" si="1090">12.6/3</f>
        <v>4.2</v>
      </c>
      <c r="S1026" s="14">
        <f t="shared" si="1062"/>
        <v>0.47544000000000003</v>
      </c>
      <c r="T1026" s="220">
        <f>SUM(R1026:R1028)</f>
        <v>12.600000000000001</v>
      </c>
      <c r="U1026" s="14">
        <f t="shared" si="1083"/>
        <v>33.333333333333329</v>
      </c>
      <c r="V1026" s="551">
        <f t="shared" ref="V1026:V1028" si="1091">U1026</f>
        <v>33.333333333333329</v>
      </c>
      <c r="W1026" s="162" t="s">
        <v>67</v>
      </c>
      <c r="X1026" s="577">
        <f t="shared" ref="X1026:X1028" si="1092">U1026*K1026</f>
        <v>0.99999999999999978</v>
      </c>
      <c r="Y1026" s="499">
        <f t="shared" ref="Y1026:AA1026" si="1093">X1026</f>
        <v>0.99999999999999978</v>
      </c>
      <c r="Z1026" s="220">
        <f t="shared" si="1093"/>
        <v>0.99999999999999978</v>
      </c>
      <c r="AA1026" s="792">
        <f t="shared" si="1093"/>
        <v>0.99999999999999978</v>
      </c>
      <c r="AB1026" s="18" t="s">
        <v>67</v>
      </c>
      <c r="AC1026" s="13" t="s">
        <v>67</v>
      </c>
      <c r="AD1026" s="13" t="s">
        <v>4422</v>
      </c>
      <c r="AE1026" s="12">
        <v>5.5830754650352915E-5</v>
      </c>
      <c r="AF1026" s="12">
        <v>1.5310196905766523E-3</v>
      </c>
      <c r="AG1026" s="12">
        <v>7.5780590717299575E-6</v>
      </c>
      <c r="AH1026" s="12">
        <v>3.6275960326593231E-5</v>
      </c>
    </row>
    <row r="1027" spans="1:34" ht="14.25">
      <c r="A1027" s="14" t="s">
        <v>4402</v>
      </c>
      <c r="B1027" s="13" t="s">
        <v>2738</v>
      </c>
      <c r="C1027" s="14" t="s">
        <v>2747</v>
      </c>
      <c r="D1027" s="14" t="s">
        <v>2911</v>
      </c>
      <c r="E1027" s="14" t="s">
        <v>4403</v>
      </c>
      <c r="F1027" s="13">
        <v>377.57</v>
      </c>
      <c r="G1027" s="14" t="s">
        <v>4381</v>
      </c>
      <c r="H1027" s="567">
        <v>14267</v>
      </c>
      <c r="I1027" s="14" t="s">
        <v>4418</v>
      </c>
      <c r="J1027" s="14" t="s">
        <v>4419</v>
      </c>
      <c r="K1027" s="478">
        <v>0.03</v>
      </c>
      <c r="L1027" s="220">
        <v>11.32</v>
      </c>
      <c r="M1027" s="568" t="s">
        <v>4420</v>
      </c>
      <c r="N1027" s="568"/>
      <c r="O1027" s="569"/>
      <c r="P1027" s="14" t="s">
        <v>433</v>
      </c>
      <c r="Q1027" s="14" t="s">
        <v>4421</v>
      </c>
      <c r="R1027" s="14">
        <f t="shared" si="1090"/>
        <v>4.2</v>
      </c>
      <c r="S1027" s="14">
        <f t="shared" si="1062"/>
        <v>0.47544000000000003</v>
      </c>
      <c r="T1027" s="487">
        <f>SUM(R1026:R1028)</f>
        <v>12.600000000000001</v>
      </c>
      <c r="U1027" s="14">
        <f t="shared" si="1083"/>
        <v>33.333333333333329</v>
      </c>
      <c r="V1027" s="220">
        <f t="shared" si="1091"/>
        <v>33.333333333333329</v>
      </c>
      <c r="W1027" s="14" t="s">
        <v>433</v>
      </c>
      <c r="X1027" s="577">
        <f t="shared" si="1092"/>
        <v>0.99999999999999978</v>
      </c>
      <c r="Y1027" s="220" t="s">
        <v>1666</v>
      </c>
      <c r="Z1027" s="220" t="s">
        <v>1666</v>
      </c>
      <c r="AA1027" s="792" t="str">
        <f t="shared" ref="AA1027:AH1027" si="1094">Z1027</f>
        <v>*</v>
      </c>
      <c r="AB1027" s="458" t="str">
        <f t="shared" si="1094"/>
        <v>*</v>
      </c>
      <c r="AC1027" s="497" t="str">
        <f t="shared" si="1094"/>
        <v>*</v>
      </c>
      <c r="AD1027" s="497" t="str">
        <f t="shared" si="1094"/>
        <v>*</v>
      </c>
      <c r="AE1027" s="454" t="str">
        <f t="shared" si="1094"/>
        <v>*</v>
      </c>
      <c r="AF1027" s="454" t="str">
        <f t="shared" si="1094"/>
        <v>*</v>
      </c>
      <c r="AG1027" s="454" t="str">
        <f t="shared" si="1094"/>
        <v>*</v>
      </c>
      <c r="AH1027" s="454" t="str">
        <f t="shared" si="1094"/>
        <v>*</v>
      </c>
    </row>
    <row r="1028" spans="1:34" ht="14.25">
      <c r="A1028" s="14" t="s">
        <v>4402</v>
      </c>
      <c r="B1028" s="13" t="s">
        <v>2738</v>
      </c>
      <c r="C1028" s="14" t="s">
        <v>2747</v>
      </c>
      <c r="D1028" s="14" t="s">
        <v>2911</v>
      </c>
      <c r="E1028" s="14" t="s">
        <v>4403</v>
      </c>
      <c r="F1028" s="13">
        <v>377.57</v>
      </c>
      <c r="G1028" s="14" t="s">
        <v>4381</v>
      </c>
      <c r="H1028" s="567">
        <v>14267</v>
      </c>
      <c r="I1028" s="135" t="s">
        <v>4418</v>
      </c>
      <c r="J1028" s="135" t="s">
        <v>4419</v>
      </c>
      <c r="K1028" s="475">
        <v>0.03</v>
      </c>
      <c r="L1028" s="476">
        <v>11.32</v>
      </c>
      <c r="M1028" s="570" t="s">
        <v>4420</v>
      </c>
      <c r="N1028" s="570"/>
      <c r="O1028" s="571"/>
      <c r="P1028" s="135" t="s">
        <v>4423</v>
      </c>
      <c r="Q1028" s="135" t="s">
        <v>4421</v>
      </c>
      <c r="R1028" s="135">
        <f t="shared" si="1090"/>
        <v>4.2</v>
      </c>
      <c r="S1028" s="135">
        <f t="shared" si="1062"/>
        <v>0.47544000000000003</v>
      </c>
      <c r="T1028" s="496">
        <f>SUM(R1026:R1028)</f>
        <v>12.600000000000001</v>
      </c>
      <c r="U1028" s="135">
        <f t="shared" si="1083"/>
        <v>33.333333333333329</v>
      </c>
      <c r="V1028" s="476">
        <f t="shared" si="1091"/>
        <v>33.333333333333329</v>
      </c>
      <c r="W1028" s="135" t="s">
        <v>4423</v>
      </c>
      <c r="X1028" s="577">
        <f t="shared" si="1092"/>
        <v>0.99999999999999978</v>
      </c>
      <c r="Y1028" s="499">
        <f t="shared" ref="Y1028:AA1028" si="1095">X1028</f>
        <v>0.99999999999999978</v>
      </c>
      <c r="Z1028" s="220">
        <f t="shared" si="1095"/>
        <v>0.99999999999999978</v>
      </c>
      <c r="AA1028" s="792">
        <f t="shared" si="1095"/>
        <v>0.99999999999999978</v>
      </c>
      <c r="AB1028" s="809" t="s">
        <v>2748</v>
      </c>
      <c r="AC1028" s="511" t="s">
        <v>3174</v>
      </c>
      <c r="AD1028" s="511" t="s">
        <v>3174</v>
      </c>
      <c r="AE1028" s="461">
        <v>2.2073766211046637E-2</v>
      </c>
      <c r="AF1028" s="461">
        <v>8.7246004352723297E-2</v>
      </c>
      <c r="AG1028" s="461">
        <v>5.8202330775582959E-4</v>
      </c>
      <c r="AH1028" s="461">
        <v>2.670351142205461E-3</v>
      </c>
    </row>
    <row r="1029" spans="1:34" ht="12.75">
      <c r="A1029" s="617" t="s">
        <v>4402</v>
      </c>
      <c r="B1029" s="799" t="s">
        <v>2738</v>
      </c>
      <c r="C1029" s="617" t="s">
        <v>2747</v>
      </c>
      <c r="D1029" s="617" t="s">
        <v>2911</v>
      </c>
      <c r="E1029" s="617" t="s">
        <v>4403</v>
      </c>
      <c r="F1029" s="799">
        <v>377.57</v>
      </c>
      <c r="G1029" s="617" t="s">
        <v>4381</v>
      </c>
      <c r="H1029" s="910">
        <v>14267</v>
      </c>
      <c r="I1029" s="617" t="s">
        <v>3490</v>
      </c>
      <c r="J1029" s="617" t="s">
        <v>4424</v>
      </c>
      <c r="K1029" s="838">
        <v>0.31</v>
      </c>
      <c r="L1029" s="725">
        <v>118.5</v>
      </c>
      <c r="M1029" s="911" t="s">
        <v>4050</v>
      </c>
      <c r="N1029" s="911"/>
      <c r="O1029" s="912"/>
      <c r="P1029" s="617" t="s">
        <v>2938</v>
      </c>
      <c r="Q1029" s="920" t="s">
        <v>2939</v>
      </c>
      <c r="R1029" s="617">
        <v>100</v>
      </c>
      <c r="S1029" s="617">
        <f t="shared" si="1062"/>
        <v>118.5</v>
      </c>
      <c r="T1029" s="725">
        <f t="shared" ref="T1029:T1036" si="1096">R1029</f>
        <v>100</v>
      </c>
      <c r="U1029" s="617">
        <f>T1029</f>
        <v>100</v>
      </c>
      <c r="V1029" s="858">
        <f>T1029</f>
        <v>100</v>
      </c>
      <c r="W1029" s="859" t="s">
        <v>72</v>
      </c>
      <c r="X1029" s="859">
        <f>V1029*K1029</f>
        <v>31</v>
      </c>
      <c r="Y1029" s="725" t="s">
        <v>1666</v>
      </c>
      <c r="Z1029" s="725" t="str">
        <f t="shared" ref="Z1029:AH1029" si="1097">Y1029</f>
        <v>*</v>
      </c>
      <c r="AA1029" s="455" t="str">
        <f t="shared" si="1097"/>
        <v>*</v>
      </c>
      <c r="AB1029" s="821" t="str">
        <f t="shared" si="1097"/>
        <v>*</v>
      </c>
      <c r="AC1029" s="869" t="str">
        <f t="shared" si="1097"/>
        <v>*</v>
      </c>
      <c r="AD1029" s="869" t="str">
        <f t="shared" si="1097"/>
        <v>*</v>
      </c>
      <c r="AE1029" s="808" t="str">
        <f t="shared" si="1097"/>
        <v>*</v>
      </c>
      <c r="AF1029" s="808" t="str">
        <f t="shared" si="1097"/>
        <v>*</v>
      </c>
      <c r="AG1029" s="808" t="str">
        <f t="shared" si="1097"/>
        <v>*</v>
      </c>
      <c r="AH1029" s="808" t="str">
        <f t="shared" si="1097"/>
        <v>*</v>
      </c>
    </row>
    <row r="1030" spans="1:34" ht="12.75">
      <c r="A1030" s="617" t="s">
        <v>4425</v>
      </c>
      <c r="B1030" s="799" t="s">
        <v>2738</v>
      </c>
      <c r="C1030" s="617" t="s">
        <v>2749</v>
      </c>
      <c r="D1030" s="617" t="s">
        <v>2911</v>
      </c>
      <c r="E1030" s="617" t="s">
        <v>17</v>
      </c>
      <c r="F1030" s="799">
        <v>356</v>
      </c>
      <c r="G1030" s="617" t="s">
        <v>4381</v>
      </c>
      <c r="H1030" s="910">
        <v>14003</v>
      </c>
      <c r="I1030" s="617" t="s">
        <v>17</v>
      </c>
      <c r="J1030" s="617" t="s">
        <v>4426</v>
      </c>
      <c r="K1030" s="838">
        <v>1</v>
      </c>
      <c r="L1030" s="725">
        <v>356</v>
      </c>
      <c r="M1030" s="911" t="s">
        <v>4427</v>
      </c>
      <c r="N1030" s="911"/>
      <c r="O1030" s="912"/>
      <c r="P1030" s="617" t="s">
        <v>17</v>
      </c>
      <c r="Q1030" s="617" t="s">
        <v>4428</v>
      </c>
      <c r="R1030" s="617">
        <v>100</v>
      </c>
      <c r="S1030" s="617">
        <f t="shared" si="1062"/>
        <v>356</v>
      </c>
      <c r="T1030" s="725">
        <f t="shared" si="1096"/>
        <v>100</v>
      </c>
      <c r="U1030" s="617">
        <f t="shared" ref="U1030:U1036" si="1098">R1030*100/T1030</f>
        <v>100</v>
      </c>
      <c r="V1030" s="725"/>
      <c r="W1030" s="617" t="s">
        <v>17</v>
      </c>
      <c r="X1030" s="617">
        <f t="shared" ref="X1030:X1034" si="1099">U1030*K1030</f>
        <v>100</v>
      </c>
      <c r="Y1030" s="725">
        <f t="shared" ref="Y1030:Z1030" si="1100">X1030</f>
        <v>100</v>
      </c>
      <c r="Z1030" s="725">
        <f t="shared" si="1100"/>
        <v>100</v>
      </c>
      <c r="AA1030" s="455">
        <f t="shared" ref="AA1030:AA1040" si="1101">X1030</f>
        <v>100</v>
      </c>
      <c r="AB1030" s="793" t="s">
        <v>17</v>
      </c>
      <c r="AC1030" s="799" t="s">
        <v>17</v>
      </c>
      <c r="AD1030" s="799" t="s">
        <v>4429</v>
      </c>
      <c r="AE1030" s="635">
        <v>2.0863187909805599E-3</v>
      </c>
      <c r="AF1030" s="635">
        <v>1.5149371069182389E-2</v>
      </c>
      <c r="AG1030" s="635">
        <v>3.0135276985835671E-4</v>
      </c>
      <c r="AH1030" s="635">
        <v>3.5347185290550941E-4</v>
      </c>
    </row>
    <row r="1031" spans="1:34" ht="12.75">
      <c r="A1031" s="617" t="s">
        <v>4430</v>
      </c>
      <c r="B1031" s="799" t="s">
        <v>2738</v>
      </c>
      <c r="C1031" s="617" t="s">
        <v>2750</v>
      </c>
      <c r="D1031" s="617" t="s">
        <v>2911</v>
      </c>
      <c r="E1031" s="617" t="s">
        <v>4431</v>
      </c>
      <c r="F1031" s="799">
        <v>354</v>
      </c>
      <c r="G1031" s="617" t="s">
        <v>4381</v>
      </c>
      <c r="H1031" s="910">
        <v>14006</v>
      </c>
      <c r="I1031" s="617" t="s">
        <v>4431</v>
      </c>
      <c r="J1031" s="617" t="s">
        <v>680</v>
      </c>
      <c r="K1031" s="838">
        <v>1</v>
      </c>
      <c r="L1031" s="725">
        <v>354</v>
      </c>
      <c r="M1031" s="911" t="s">
        <v>4432</v>
      </c>
      <c r="N1031" s="911"/>
      <c r="O1031" s="912"/>
      <c r="P1031" s="617" t="s">
        <v>4431</v>
      </c>
      <c r="Q1031" s="617" t="s">
        <v>4433</v>
      </c>
      <c r="R1031" s="617">
        <v>100</v>
      </c>
      <c r="S1031" s="617">
        <f t="shared" si="1062"/>
        <v>354</v>
      </c>
      <c r="T1031" s="725">
        <f t="shared" si="1096"/>
        <v>100</v>
      </c>
      <c r="U1031" s="617">
        <f t="shared" si="1098"/>
        <v>100</v>
      </c>
      <c r="V1031" s="725"/>
      <c r="W1031" s="617" t="s">
        <v>2751</v>
      </c>
      <c r="X1031" s="617">
        <f t="shared" si="1099"/>
        <v>100</v>
      </c>
      <c r="Y1031" s="725">
        <f t="shared" ref="Y1031:Z1031" si="1102">X1031</f>
        <v>100</v>
      </c>
      <c r="Z1031" s="725">
        <f t="shared" si="1102"/>
        <v>100</v>
      </c>
      <c r="AA1031" s="455">
        <f t="shared" si="1101"/>
        <v>100</v>
      </c>
      <c r="AB1031" s="793" t="s">
        <v>2751</v>
      </c>
      <c r="AC1031" s="799" t="s">
        <v>4434</v>
      </c>
      <c r="AD1031" s="799" t="s">
        <v>4435</v>
      </c>
      <c r="AE1031" s="635">
        <v>3.0935071728332439E-3</v>
      </c>
      <c r="AF1031" s="635">
        <v>2.2462860550856643E-2</v>
      </c>
      <c r="AG1031" s="635">
        <v>4.4683341737618407E-4</v>
      </c>
      <c r="AH1031" s="635">
        <v>3.0935071729999999E-3</v>
      </c>
    </row>
    <row r="1032" spans="1:34" ht="12.75">
      <c r="A1032" s="617" t="s">
        <v>4436</v>
      </c>
      <c r="B1032" s="799" t="s">
        <v>2738</v>
      </c>
      <c r="C1032" s="617" t="s">
        <v>2752</v>
      </c>
      <c r="D1032" s="617" t="s">
        <v>2911</v>
      </c>
      <c r="E1032" s="617" t="s">
        <v>4437</v>
      </c>
      <c r="F1032" s="799">
        <v>147</v>
      </c>
      <c r="G1032" s="617" t="s">
        <v>3834</v>
      </c>
      <c r="H1032" s="910">
        <v>14096</v>
      </c>
      <c r="I1032" s="617" t="s">
        <v>4437</v>
      </c>
      <c r="J1032" s="617" t="s">
        <v>1771</v>
      </c>
      <c r="K1032" s="838">
        <v>1</v>
      </c>
      <c r="L1032" s="725">
        <v>147</v>
      </c>
      <c r="M1032" s="911" t="s">
        <v>4438</v>
      </c>
      <c r="N1032" s="911"/>
      <c r="O1032" s="912"/>
      <c r="P1032" s="617" t="s">
        <v>4437</v>
      </c>
      <c r="Q1032" s="617" t="s">
        <v>4439</v>
      </c>
      <c r="R1032" s="617">
        <v>100</v>
      </c>
      <c r="S1032" s="617">
        <f t="shared" si="1062"/>
        <v>147</v>
      </c>
      <c r="T1032" s="725">
        <f t="shared" si="1096"/>
        <v>100</v>
      </c>
      <c r="U1032" s="617">
        <f t="shared" si="1098"/>
        <v>100</v>
      </c>
      <c r="V1032" s="725"/>
      <c r="W1032" s="617" t="s">
        <v>2753</v>
      </c>
      <c r="X1032" s="617">
        <f t="shared" si="1099"/>
        <v>100</v>
      </c>
      <c r="Y1032" s="725">
        <f t="shared" ref="Y1032:Z1032" si="1103">X1032</f>
        <v>100</v>
      </c>
      <c r="Z1032" s="725">
        <f t="shared" si="1103"/>
        <v>100</v>
      </c>
      <c r="AA1032" s="455">
        <f t="shared" si="1101"/>
        <v>100</v>
      </c>
      <c r="AB1032" s="793" t="s">
        <v>2753</v>
      </c>
      <c r="AC1032" s="799" t="s">
        <v>4440</v>
      </c>
      <c r="AD1032" s="799" t="s">
        <v>4441</v>
      </c>
      <c r="AE1032" s="635">
        <v>1.5676635966133333E-3</v>
      </c>
      <c r="AF1032" s="635">
        <v>7.7472873595999994E-3</v>
      </c>
      <c r="AG1032" s="635">
        <v>1.4584397163120569E-4</v>
      </c>
      <c r="AH1032" s="635">
        <v>7.7344115366430246E-4</v>
      </c>
    </row>
    <row r="1033" spans="1:34" ht="12.75">
      <c r="A1033" s="14" t="s">
        <v>4442</v>
      </c>
      <c r="B1033" s="13" t="s">
        <v>2738</v>
      </c>
      <c r="C1033" s="14" t="s">
        <v>2754</v>
      </c>
      <c r="D1033" s="14" t="s">
        <v>2911</v>
      </c>
      <c r="E1033" s="14" t="s">
        <v>4443</v>
      </c>
      <c r="F1033" s="13">
        <v>147</v>
      </c>
      <c r="G1033" s="14" t="s">
        <v>3834</v>
      </c>
      <c r="H1033" s="567">
        <v>14106</v>
      </c>
      <c r="I1033" s="14" t="s">
        <v>4443</v>
      </c>
      <c r="J1033" s="14" t="s">
        <v>1772</v>
      </c>
      <c r="K1033" s="478">
        <v>1</v>
      </c>
      <c r="L1033" s="220">
        <v>147</v>
      </c>
      <c r="M1033" s="568" t="s">
        <v>4444</v>
      </c>
      <c r="N1033" s="568"/>
      <c r="O1033" s="569"/>
      <c r="P1033" s="14" t="s">
        <v>4443</v>
      </c>
      <c r="Q1033" s="14" t="s">
        <v>4445</v>
      </c>
      <c r="R1033" s="14">
        <v>100</v>
      </c>
      <c r="S1033" s="14">
        <f t="shared" si="1062"/>
        <v>147</v>
      </c>
      <c r="T1033" s="725">
        <f t="shared" si="1096"/>
        <v>100</v>
      </c>
      <c r="U1033" s="617">
        <f t="shared" si="1098"/>
        <v>100</v>
      </c>
      <c r="V1033" s="220"/>
      <c r="W1033" s="617" t="s">
        <v>2755</v>
      </c>
      <c r="X1033" s="617">
        <f t="shared" si="1099"/>
        <v>100</v>
      </c>
      <c r="Y1033" s="725">
        <f t="shared" ref="Y1033:Z1033" si="1104">X1033</f>
        <v>100</v>
      </c>
      <c r="Z1033" s="725">
        <f t="shared" si="1104"/>
        <v>100</v>
      </c>
      <c r="AA1033" s="455">
        <f t="shared" si="1101"/>
        <v>100</v>
      </c>
      <c r="AB1033" s="18" t="s">
        <v>2755</v>
      </c>
      <c r="AC1033" s="13" t="s">
        <v>4446</v>
      </c>
      <c r="AD1033" s="13" t="s">
        <v>4447</v>
      </c>
      <c r="AE1033" s="12">
        <v>1.7747135055999998E-3</v>
      </c>
      <c r="AF1033" s="12">
        <v>8.7705139919999984E-3</v>
      </c>
      <c r="AG1033" s="12">
        <v>1.651063829787234E-4</v>
      </c>
      <c r="AH1033" s="12">
        <v>6.7545804255319153E-4</v>
      </c>
    </row>
    <row r="1034" spans="1:34" ht="12.75">
      <c r="A1034" s="753" t="s">
        <v>4448</v>
      </c>
      <c r="B1034" s="805" t="s">
        <v>2738</v>
      </c>
      <c r="C1034" s="753" t="s">
        <v>2756</v>
      </c>
      <c r="D1034" s="753" t="s">
        <v>2911</v>
      </c>
      <c r="E1034" s="753" t="s">
        <v>4449</v>
      </c>
      <c r="F1034" s="805">
        <v>42</v>
      </c>
      <c r="G1034" s="753" t="s">
        <v>4450</v>
      </c>
      <c r="H1034" s="921">
        <v>14037</v>
      </c>
      <c r="I1034" s="753" t="s">
        <v>4449</v>
      </c>
      <c r="J1034" s="753" t="s">
        <v>4451</v>
      </c>
      <c r="K1034" s="864">
        <v>1</v>
      </c>
      <c r="L1034" s="865">
        <v>237</v>
      </c>
      <c r="M1034" s="922" t="s">
        <v>4452</v>
      </c>
      <c r="N1034" s="922"/>
      <c r="O1034" s="923"/>
      <c r="P1034" s="753" t="s">
        <v>4449</v>
      </c>
      <c r="Q1034" s="753" t="s">
        <v>4453</v>
      </c>
      <c r="R1034" s="753">
        <v>100</v>
      </c>
      <c r="S1034" s="753">
        <f t="shared" si="1062"/>
        <v>237</v>
      </c>
      <c r="T1034" s="725">
        <f t="shared" si="1096"/>
        <v>100</v>
      </c>
      <c r="U1034" s="617">
        <f t="shared" si="1098"/>
        <v>100</v>
      </c>
      <c r="V1034" s="924"/>
      <c r="W1034" s="925" t="s">
        <v>4451</v>
      </c>
      <c r="X1034" s="617">
        <f t="shared" si="1099"/>
        <v>100</v>
      </c>
      <c r="Y1034" s="725">
        <f t="shared" ref="Y1034:Z1034" si="1105">X1034</f>
        <v>100</v>
      </c>
      <c r="Z1034" s="725">
        <f t="shared" si="1105"/>
        <v>100</v>
      </c>
      <c r="AA1034" s="455">
        <f t="shared" si="1101"/>
        <v>100</v>
      </c>
      <c r="AB1034" s="806" t="s">
        <v>2757</v>
      </c>
      <c r="AC1034" s="805" t="s">
        <v>4449</v>
      </c>
      <c r="AD1034" s="805" t="s">
        <v>4454</v>
      </c>
      <c r="AE1034" s="804">
        <v>1.6135489016096731E-2</v>
      </c>
      <c r="AF1034" s="804">
        <v>0.11716450599224061</v>
      </c>
      <c r="AG1034" s="804">
        <v>2.3306478040234853E-3</v>
      </c>
      <c r="AH1034" s="804">
        <v>2.7337342810278844E-3</v>
      </c>
    </row>
    <row r="1035" spans="1:34" ht="12.75">
      <c r="A1035" s="753" t="s">
        <v>4455</v>
      </c>
      <c r="B1035" s="805" t="s">
        <v>2738</v>
      </c>
      <c r="C1035" s="753" t="s">
        <v>2758</v>
      </c>
      <c r="D1035" s="753" t="s">
        <v>2911</v>
      </c>
      <c r="E1035" s="753" t="s">
        <v>2938</v>
      </c>
      <c r="F1035" s="805">
        <v>237</v>
      </c>
      <c r="G1035" s="753" t="s">
        <v>2913</v>
      </c>
      <c r="H1035" s="921">
        <v>14429</v>
      </c>
      <c r="I1035" s="753" t="s">
        <v>2938</v>
      </c>
      <c r="J1035" s="753" t="s">
        <v>4456</v>
      </c>
      <c r="K1035" s="864">
        <v>1</v>
      </c>
      <c r="L1035" s="865">
        <v>237</v>
      </c>
      <c r="M1035" s="922" t="s">
        <v>4050</v>
      </c>
      <c r="N1035" s="922"/>
      <c r="O1035" s="923"/>
      <c r="P1035" s="753" t="s">
        <v>2938</v>
      </c>
      <c r="Q1035" s="926" t="s">
        <v>2939</v>
      </c>
      <c r="R1035" s="753">
        <v>100</v>
      </c>
      <c r="S1035" s="753">
        <f t="shared" si="1062"/>
        <v>237</v>
      </c>
      <c r="T1035" s="725">
        <f t="shared" si="1096"/>
        <v>100</v>
      </c>
      <c r="U1035" s="617">
        <f t="shared" si="1098"/>
        <v>100</v>
      </c>
      <c r="V1035" s="927">
        <f>U1035</f>
        <v>100</v>
      </c>
      <c r="W1035" s="928" t="s">
        <v>4457</v>
      </c>
      <c r="X1035" s="859">
        <f t="shared" ref="X1035:X1036" si="1106">V1035*K1035</f>
        <v>100</v>
      </c>
      <c r="Y1035" s="929">
        <f t="shared" ref="Y1035:Z1035" si="1107">X1035</f>
        <v>100</v>
      </c>
      <c r="Z1035" s="929">
        <f t="shared" si="1107"/>
        <v>100</v>
      </c>
      <c r="AA1035" s="459">
        <f t="shared" si="1101"/>
        <v>100</v>
      </c>
      <c r="AB1035" s="815" t="s">
        <v>72</v>
      </c>
      <c r="AC1035" s="861" t="s">
        <v>2938</v>
      </c>
      <c r="AD1035" s="861" t="s">
        <v>2940</v>
      </c>
      <c r="AE1035" s="802">
        <v>0</v>
      </c>
      <c r="AF1035" s="802">
        <v>0</v>
      </c>
      <c r="AG1035" s="802">
        <v>0</v>
      </c>
      <c r="AH1035" s="802">
        <v>0</v>
      </c>
    </row>
    <row r="1036" spans="1:34" ht="12.75">
      <c r="A1036" s="14" t="s">
        <v>4458</v>
      </c>
      <c r="B1036" s="13" t="s">
        <v>2738</v>
      </c>
      <c r="C1036" s="14" t="s">
        <v>2759</v>
      </c>
      <c r="D1036" s="14" t="s">
        <v>2911</v>
      </c>
      <c r="E1036" s="14" t="s">
        <v>4459</v>
      </c>
      <c r="F1036" s="13">
        <v>237</v>
      </c>
      <c r="G1036" s="14" t="s">
        <v>2913</v>
      </c>
      <c r="H1036" s="13" t="s">
        <v>1624</v>
      </c>
      <c r="I1036" s="14" t="s">
        <v>2938</v>
      </c>
      <c r="J1036" s="14" t="s">
        <v>4456</v>
      </c>
      <c r="K1036" s="478">
        <v>1</v>
      </c>
      <c r="L1036" s="220">
        <v>237</v>
      </c>
      <c r="M1036" s="568" t="s">
        <v>4050</v>
      </c>
      <c r="N1036" s="568"/>
      <c r="O1036" s="569"/>
      <c r="P1036" s="14" t="s">
        <v>2938</v>
      </c>
      <c r="Q1036" s="14" t="s">
        <v>2939</v>
      </c>
      <c r="R1036" s="14">
        <v>100</v>
      </c>
      <c r="S1036" s="14">
        <f t="shared" si="1062"/>
        <v>237</v>
      </c>
      <c r="T1036" s="220">
        <f t="shared" si="1096"/>
        <v>100</v>
      </c>
      <c r="U1036">
        <f t="shared" si="1098"/>
        <v>100</v>
      </c>
      <c r="V1036" s="481">
        <v>100</v>
      </c>
      <c r="W1036" s="541" t="s">
        <v>4457</v>
      </c>
      <c r="X1036" s="482">
        <f t="shared" si="1106"/>
        <v>100</v>
      </c>
      <c r="Y1036" s="470">
        <f t="shared" ref="Y1036:Z1036" si="1108">X1036</f>
        <v>100</v>
      </c>
      <c r="Z1036" s="470">
        <f t="shared" si="1108"/>
        <v>100</v>
      </c>
      <c r="AA1036" s="796">
        <f t="shared" si="1101"/>
        <v>100</v>
      </c>
      <c r="AB1036" s="456" t="s">
        <v>72</v>
      </c>
      <c r="AC1036" s="469" t="s">
        <v>2938</v>
      </c>
      <c r="AD1036" s="469" t="s">
        <v>2940</v>
      </c>
      <c r="AE1036" s="457">
        <v>0</v>
      </c>
      <c r="AF1036" s="457">
        <v>0</v>
      </c>
      <c r="AG1036" s="457">
        <v>0</v>
      </c>
      <c r="AH1036" s="457">
        <v>0</v>
      </c>
    </row>
    <row r="1037" spans="1:34" ht="12.75">
      <c r="A1037" s="617" t="s">
        <v>4458</v>
      </c>
      <c r="B1037" s="799" t="s">
        <v>2738</v>
      </c>
      <c r="C1037" s="617" t="s">
        <v>2759</v>
      </c>
      <c r="D1037" s="617" t="s">
        <v>2911</v>
      </c>
      <c r="E1037" s="617" t="s">
        <v>4459</v>
      </c>
      <c r="F1037" s="799">
        <v>237</v>
      </c>
      <c r="G1037" s="617" t="s">
        <v>2913</v>
      </c>
      <c r="H1037" s="799" t="s">
        <v>1624</v>
      </c>
      <c r="I1037" s="617" t="s">
        <v>2938</v>
      </c>
      <c r="J1037" s="617" t="s">
        <v>4456</v>
      </c>
      <c r="K1037" s="838">
        <v>1</v>
      </c>
      <c r="L1037" s="725">
        <v>237</v>
      </c>
      <c r="M1037" s="911" t="s">
        <v>4050</v>
      </c>
      <c r="N1037" s="911"/>
      <c r="O1037" s="912"/>
      <c r="P1037" s="617" t="s">
        <v>2760</v>
      </c>
      <c r="Q1037" s="617" t="s">
        <v>4460</v>
      </c>
      <c r="R1037" s="617">
        <v>0</v>
      </c>
      <c r="S1037" s="617">
        <f t="shared" si="1062"/>
        <v>0</v>
      </c>
      <c r="T1037" s="725">
        <v>0</v>
      </c>
      <c r="U1037" s="617">
        <v>0</v>
      </c>
      <c r="V1037" s="725">
        <v>100</v>
      </c>
      <c r="W1037" s="799" t="s">
        <v>4461</v>
      </c>
      <c r="X1037" s="617">
        <f>V1037</f>
        <v>100</v>
      </c>
      <c r="Y1037" s="725">
        <f t="shared" ref="Y1037:Z1037" si="1109">X1037</f>
        <v>100</v>
      </c>
      <c r="Z1037" s="725">
        <f t="shared" si="1109"/>
        <v>100</v>
      </c>
      <c r="AA1037" s="455">
        <f t="shared" si="1101"/>
        <v>100</v>
      </c>
      <c r="AB1037" s="793" t="s">
        <v>2760</v>
      </c>
      <c r="AC1037" s="799" t="s">
        <v>4462</v>
      </c>
      <c r="AD1037" s="799" t="s">
        <v>4463</v>
      </c>
      <c r="AE1037" s="635">
        <v>5.5830754650352915E-5</v>
      </c>
      <c r="AF1037" s="635">
        <v>1.5310196905766523E-3</v>
      </c>
      <c r="AG1037" s="635">
        <v>7.5780590717299575E-6</v>
      </c>
      <c r="AH1037" s="635">
        <v>3.6275960326593231E-5</v>
      </c>
    </row>
    <row r="1038" spans="1:34" ht="12.75">
      <c r="A1038" s="617" t="s">
        <v>4464</v>
      </c>
      <c r="B1038" s="799" t="s">
        <v>2738</v>
      </c>
      <c r="C1038" s="617" t="s">
        <v>2761</v>
      </c>
      <c r="D1038" s="617" t="s">
        <v>2911</v>
      </c>
      <c r="E1038" s="617" t="s">
        <v>67</v>
      </c>
      <c r="F1038" s="799">
        <v>237</v>
      </c>
      <c r="G1038" s="617" t="s">
        <v>2913</v>
      </c>
      <c r="H1038" s="799">
        <v>14355</v>
      </c>
      <c r="I1038" s="617" t="s">
        <v>67</v>
      </c>
      <c r="J1038" s="617" t="s">
        <v>4465</v>
      </c>
      <c r="K1038" s="838">
        <v>1</v>
      </c>
      <c r="L1038" s="725">
        <v>237</v>
      </c>
      <c r="M1038" s="911" t="s">
        <v>4466</v>
      </c>
      <c r="N1038" s="578"/>
      <c r="O1038" s="579"/>
      <c r="P1038" s="520" t="s">
        <v>67</v>
      </c>
      <c r="Q1038" s="520" t="s">
        <v>4467</v>
      </c>
      <c r="R1038" s="520">
        <v>100</v>
      </c>
      <c r="S1038" s="617">
        <f t="shared" si="1062"/>
        <v>237</v>
      </c>
      <c r="T1038" s="725">
        <f t="shared" ref="T1038:T1040" si="1110">R1038</f>
        <v>100</v>
      </c>
      <c r="U1038" s="617">
        <f t="shared" ref="U1038:U1232" si="1111">R1038*100/T1038</f>
        <v>100</v>
      </c>
      <c r="V1038" s="725"/>
      <c r="W1038" s="617" t="s">
        <v>4468</v>
      </c>
      <c r="X1038" s="617">
        <f t="shared" ref="X1038:X1047" si="1112">U1038*K1038</f>
        <v>100</v>
      </c>
      <c r="Y1038" s="725">
        <f t="shared" ref="Y1038:Z1038" si="1113">X1038</f>
        <v>100</v>
      </c>
      <c r="Z1038" s="725">
        <f t="shared" si="1113"/>
        <v>100</v>
      </c>
      <c r="AA1038" s="455">
        <f t="shared" si="1101"/>
        <v>100</v>
      </c>
      <c r="AB1038" s="793" t="s">
        <v>67</v>
      </c>
      <c r="AC1038" s="799" t="s">
        <v>67</v>
      </c>
      <c r="AD1038" s="799" t="s">
        <v>4422</v>
      </c>
      <c r="AE1038" s="635">
        <v>5.5830754650352915E-5</v>
      </c>
      <c r="AF1038" s="635">
        <v>1.5310196905766523E-3</v>
      </c>
      <c r="AG1038" s="635">
        <v>7.5780590717299575E-6</v>
      </c>
      <c r="AH1038" s="635">
        <v>3.6275960326593231E-5</v>
      </c>
    </row>
    <row r="1039" spans="1:34" ht="12.75">
      <c r="A1039" s="617" t="s">
        <v>4469</v>
      </c>
      <c r="B1039" s="799" t="s">
        <v>2738</v>
      </c>
      <c r="C1039" s="617" t="s">
        <v>2762</v>
      </c>
      <c r="D1039" s="617" t="s">
        <v>2911</v>
      </c>
      <c r="E1039" s="617" t="s">
        <v>4470</v>
      </c>
      <c r="F1039" s="799">
        <v>239</v>
      </c>
      <c r="G1039" s="617" t="s">
        <v>2913</v>
      </c>
      <c r="H1039" s="910">
        <v>14219</v>
      </c>
      <c r="I1039" s="617" t="s">
        <v>4470</v>
      </c>
      <c r="J1039" s="617" t="s">
        <v>4471</v>
      </c>
      <c r="K1039" s="838">
        <v>1</v>
      </c>
      <c r="L1039" s="725">
        <v>239</v>
      </c>
      <c r="M1039" s="911" t="s">
        <v>4472</v>
      </c>
      <c r="N1039" s="911"/>
      <c r="O1039" s="912"/>
      <c r="P1039" s="617" t="s">
        <v>4470</v>
      </c>
      <c r="Q1039" s="617" t="s">
        <v>4473</v>
      </c>
      <c r="R1039" s="617">
        <v>100</v>
      </c>
      <c r="S1039" s="617">
        <f t="shared" si="1062"/>
        <v>239</v>
      </c>
      <c r="T1039" s="725">
        <f t="shared" si="1110"/>
        <v>100</v>
      </c>
      <c r="U1039" s="617">
        <f t="shared" si="1111"/>
        <v>100</v>
      </c>
      <c r="V1039" s="725"/>
      <c r="W1039" s="617" t="s">
        <v>4471</v>
      </c>
      <c r="X1039" s="617">
        <f t="shared" si="1112"/>
        <v>100</v>
      </c>
      <c r="Y1039" s="725">
        <f t="shared" ref="Y1039:Z1039" si="1114">X1039</f>
        <v>100</v>
      </c>
      <c r="Z1039" s="725">
        <f t="shared" si="1114"/>
        <v>100</v>
      </c>
      <c r="AA1039" s="455">
        <f t="shared" si="1101"/>
        <v>100</v>
      </c>
      <c r="AB1039" s="793" t="s">
        <v>2763</v>
      </c>
      <c r="AC1039" s="799" t="s">
        <v>4474</v>
      </c>
      <c r="AD1039" s="799" t="s">
        <v>4475</v>
      </c>
      <c r="AE1039" s="635">
        <v>3.9296258940033015E-4</v>
      </c>
      <c r="AF1039" s="635">
        <v>7.1519191270860089E-3</v>
      </c>
      <c r="AG1039" s="816">
        <v>9.0111690160025949E-6</v>
      </c>
      <c r="AH1039" s="635">
        <v>1.2844553836475908E-4</v>
      </c>
    </row>
    <row r="1040" spans="1:34" ht="12.75">
      <c r="A1040" s="617" t="s">
        <v>4476</v>
      </c>
      <c r="B1040" s="799" t="s">
        <v>2738</v>
      </c>
      <c r="C1040" s="617" t="s">
        <v>2764</v>
      </c>
      <c r="D1040" s="617" t="s">
        <v>2911</v>
      </c>
      <c r="E1040" s="617" t="s">
        <v>4477</v>
      </c>
      <c r="F1040" s="799">
        <v>237</v>
      </c>
      <c r="G1040" s="617" t="s">
        <v>2913</v>
      </c>
      <c r="H1040" s="910">
        <v>14209</v>
      </c>
      <c r="I1040" s="617" t="s">
        <v>4477</v>
      </c>
      <c r="J1040" s="617" t="s">
        <v>4478</v>
      </c>
      <c r="K1040" s="838">
        <v>1</v>
      </c>
      <c r="L1040" s="725">
        <v>237</v>
      </c>
      <c r="M1040" s="911" t="s">
        <v>4479</v>
      </c>
      <c r="N1040" s="911"/>
      <c r="O1040" s="912"/>
      <c r="P1040" s="617" t="s">
        <v>4477</v>
      </c>
      <c r="Q1040" s="617" t="s">
        <v>4480</v>
      </c>
      <c r="R1040" s="617">
        <v>100</v>
      </c>
      <c r="S1040" s="617">
        <f t="shared" si="1062"/>
        <v>237</v>
      </c>
      <c r="T1040" s="725">
        <f t="shared" si="1110"/>
        <v>100</v>
      </c>
      <c r="U1040" s="617">
        <f t="shared" si="1111"/>
        <v>100</v>
      </c>
      <c r="V1040" s="725"/>
      <c r="W1040" s="617" t="s">
        <v>4478</v>
      </c>
      <c r="X1040" s="617">
        <f t="shared" si="1112"/>
        <v>100</v>
      </c>
      <c r="Y1040" s="725">
        <f t="shared" ref="Y1040:Z1040" si="1115">X1040</f>
        <v>100</v>
      </c>
      <c r="Z1040" s="725">
        <f t="shared" si="1115"/>
        <v>100</v>
      </c>
      <c r="AA1040" s="455">
        <f t="shared" si="1101"/>
        <v>100</v>
      </c>
      <c r="AB1040" s="793" t="s">
        <v>27</v>
      </c>
      <c r="AC1040" s="799" t="s">
        <v>4481</v>
      </c>
      <c r="AD1040" s="799" t="s">
        <v>4482</v>
      </c>
      <c r="AE1040" s="635">
        <v>3.9296258940033015E-4</v>
      </c>
      <c r="AF1040" s="635">
        <v>7.1519191270860089E-3</v>
      </c>
      <c r="AG1040" s="817">
        <v>9.0111690160025949E-6</v>
      </c>
      <c r="AH1040" s="635">
        <v>1.2844553836475908E-4</v>
      </c>
    </row>
    <row r="1041" spans="1:34" ht="14.25">
      <c r="A1041" s="14" t="s">
        <v>4483</v>
      </c>
      <c r="B1041" s="24" t="s">
        <v>2738</v>
      </c>
      <c r="C1041" s="14" t="s">
        <v>2765</v>
      </c>
      <c r="D1041" s="14" t="s">
        <v>2911</v>
      </c>
      <c r="E1041" s="14" t="s">
        <v>4484</v>
      </c>
      <c r="F1041" s="13">
        <v>480</v>
      </c>
      <c r="G1041" s="14" t="s">
        <v>4485</v>
      </c>
      <c r="H1041" s="13" t="s">
        <v>2973</v>
      </c>
      <c r="I1041" s="14" t="s">
        <v>4486</v>
      </c>
      <c r="J1041" s="14" t="s">
        <v>4487</v>
      </c>
      <c r="K1041" s="478">
        <v>0.68</v>
      </c>
      <c r="L1041" s="220">
        <v>326.39999999999998</v>
      </c>
      <c r="M1041" s="568" t="s">
        <v>4488</v>
      </c>
      <c r="N1041" s="479" t="s">
        <v>2937</v>
      </c>
      <c r="O1041" s="569" t="s">
        <v>2976</v>
      </c>
      <c r="P1041" s="14" t="s">
        <v>2766</v>
      </c>
      <c r="Q1041" s="486" t="s">
        <v>4489</v>
      </c>
      <c r="R1041" s="14">
        <v>34</v>
      </c>
      <c r="S1041" s="14">
        <f t="shared" si="1062"/>
        <v>110.976</v>
      </c>
      <c r="T1041" s="220">
        <f>SUM(R1041:R1042)</f>
        <v>100</v>
      </c>
      <c r="U1041" s="14">
        <f t="shared" si="1111"/>
        <v>34</v>
      </c>
      <c r="V1041" s="220"/>
      <c r="W1041" s="14" t="s">
        <v>2766</v>
      </c>
      <c r="X1041">
        <f t="shared" si="1112"/>
        <v>23.12</v>
      </c>
      <c r="Y1041" s="220">
        <f>SUM(X1041,X1043)</f>
        <v>29.892486772486773</v>
      </c>
      <c r="Z1041" s="220">
        <f t="shared" ref="Z1041:AA1041" si="1116">Y1041</f>
        <v>29.892486772486773</v>
      </c>
      <c r="AA1041" s="792">
        <f t="shared" si="1116"/>
        <v>29.892486772486773</v>
      </c>
      <c r="AB1041" s="18" t="s">
        <v>2766</v>
      </c>
      <c r="AC1041" s="13" t="s">
        <v>4481</v>
      </c>
      <c r="AD1041" s="13" t="s">
        <v>4482</v>
      </c>
      <c r="AE1041" s="12">
        <v>2.4451005562687207E-3</v>
      </c>
      <c r="AF1041" s="12">
        <v>4.4500830124090722E-2</v>
      </c>
      <c r="AG1041" s="12">
        <v>5.6069496099571696E-5</v>
      </c>
      <c r="AH1041" s="12">
        <v>7.9921668315850096E-4</v>
      </c>
    </row>
    <row r="1042" spans="1:34" ht="14.25">
      <c r="A1042" s="14" t="s">
        <v>4483</v>
      </c>
      <c r="B1042" s="24" t="s">
        <v>2738</v>
      </c>
      <c r="C1042" s="14" t="s">
        <v>2765</v>
      </c>
      <c r="D1042" s="14" t="s">
        <v>2911</v>
      </c>
      <c r="E1042" s="14" t="s">
        <v>4484</v>
      </c>
      <c r="F1042" s="13">
        <v>480</v>
      </c>
      <c r="G1042" s="14" t="s">
        <v>4485</v>
      </c>
      <c r="H1042" s="13" t="s">
        <v>2973</v>
      </c>
      <c r="I1042" s="135" t="s">
        <v>4486</v>
      </c>
      <c r="J1042" s="135" t="s">
        <v>4487</v>
      </c>
      <c r="K1042" s="475">
        <v>0.68</v>
      </c>
      <c r="L1042" s="476">
        <v>326.39999999999998</v>
      </c>
      <c r="M1042" s="570" t="s">
        <v>4488</v>
      </c>
      <c r="N1042" s="493" t="s">
        <v>2937</v>
      </c>
      <c r="O1042" s="571" t="s">
        <v>2976</v>
      </c>
      <c r="P1042" s="135" t="s">
        <v>2924</v>
      </c>
      <c r="Q1042" s="495" t="s">
        <v>4490</v>
      </c>
      <c r="R1042" s="135">
        <v>66</v>
      </c>
      <c r="S1042" s="135">
        <f t="shared" si="1062"/>
        <v>215.42400000000001</v>
      </c>
      <c r="T1042" s="476">
        <f>SUM(R1041:R1042)</f>
        <v>100</v>
      </c>
      <c r="U1042" s="135">
        <f t="shared" si="1111"/>
        <v>66</v>
      </c>
      <c r="V1042" s="476"/>
      <c r="W1042" s="135" t="s">
        <v>118</v>
      </c>
      <c r="X1042">
        <f t="shared" si="1112"/>
        <v>44.88</v>
      </c>
      <c r="Y1042" s="220">
        <f>SUM(X1042,X1044,X1047)</f>
        <v>67.906455026455035</v>
      </c>
      <c r="Z1042" s="220">
        <f>SUM(X1042,X1044)</f>
        <v>65.197460317460326</v>
      </c>
      <c r="AA1042" s="792">
        <f>Z1042</f>
        <v>65.197460317460326</v>
      </c>
      <c r="AB1042" s="18" t="s">
        <v>118</v>
      </c>
      <c r="AC1042" s="13" t="s">
        <v>4491</v>
      </c>
      <c r="AD1042" s="13" t="s">
        <v>4492</v>
      </c>
      <c r="AE1042" s="12">
        <v>5.2598080568720387E-3</v>
      </c>
      <c r="AF1042" s="12">
        <v>1.5464779620853082E-2</v>
      </c>
      <c r="AG1042" s="12">
        <v>1.0310377488151661E-4</v>
      </c>
      <c r="AH1042" s="12">
        <v>9.7015402843601893E-4</v>
      </c>
    </row>
    <row r="1043" spans="1:34" ht="14.25">
      <c r="A1043" s="14" t="s">
        <v>4483</v>
      </c>
      <c r="B1043" s="24" t="s">
        <v>2738</v>
      </c>
      <c r="C1043" s="14" t="s">
        <v>2765</v>
      </c>
      <c r="D1043" s="14" t="s">
        <v>2911</v>
      </c>
      <c r="E1043" s="14" t="s">
        <v>4484</v>
      </c>
      <c r="F1043" s="13">
        <v>480</v>
      </c>
      <c r="G1043" s="14" t="s">
        <v>4485</v>
      </c>
      <c r="H1043" s="13" t="s">
        <v>2973</v>
      </c>
      <c r="I1043" s="14" t="s">
        <v>4493</v>
      </c>
      <c r="J1043" s="14" t="s">
        <v>4494</v>
      </c>
      <c r="K1043" s="478">
        <v>0.32</v>
      </c>
      <c r="L1043" s="220">
        <v>153.6</v>
      </c>
      <c r="M1043" s="568" t="s">
        <v>4495</v>
      </c>
      <c r="N1043" s="479" t="s">
        <v>2937</v>
      </c>
      <c r="O1043" s="569" t="s">
        <v>2976</v>
      </c>
      <c r="P1043" s="14" t="s">
        <v>2766</v>
      </c>
      <c r="Q1043" s="486" t="s">
        <v>4489</v>
      </c>
      <c r="R1043" s="14">
        <v>20</v>
      </c>
      <c r="S1043" s="14">
        <f t="shared" si="1062"/>
        <v>30.72</v>
      </c>
      <c r="T1043" s="487">
        <f>SUM(R1043:R1047)</f>
        <v>94.5</v>
      </c>
      <c r="U1043">
        <f t="shared" si="1111"/>
        <v>21.164021164021165</v>
      </c>
      <c r="V1043" s="220"/>
      <c r="W1043" s="14" t="s">
        <v>2766</v>
      </c>
      <c r="X1043">
        <f t="shared" si="1112"/>
        <v>6.772486772486773</v>
      </c>
      <c r="Y1043" s="220" t="s">
        <v>1666</v>
      </c>
      <c r="Z1043" s="220" t="str">
        <f t="shared" ref="Z1043:AH1043" si="1117">Y1043</f>
        <v>*</v>
      </c>
      <c r="AA1043" s="792" t="str">
        <f t="shared" si="1117"/>
        <v>*</v>
      </c>
      <c r="AB1043" s="466" t="str">
        <f t="shared" si="1117"/>
        <v>*</v>
      </c>
      <c r="AC1043" s="831" t="str">
        <f t="shared" si="1117"/>
        <v>*</v>
      </c>
      <c r="AD1043" s="831" t="str">
        <f t="shared" si="1117"/>
        <v>*</v>
      </c>
      <c r="AE1043" s="454" t="str">
        <f t="shared" si="1117"/>
        <v>*</v>
      </c>
      <c r="AF1043" s="454" t="str">
        <f t="shared" si="1117"/>
        <v>*</v>
      </c>
      <c r="AG1043" s="454" t="str">
        <f t="shared" si="1117"/>
        <v>*</v>
      </c>
      <c r="AH1043" s="454" t="str">
        <f t="shared" si="1117"/>
        <v>*</v>
      </c>
    </row>
    <row r="1044" spans="1:34" ht="14.25">
      <c r="A1044" s="14" t="s">
        <v>4483</v>
      </c>
      <c r="B1044" s="24" t="s">
        <v>2738</v>
      </c>
      <c r="C1044" s="14" t="s">
        <v>2765</v>
      </c>
      <c r="D1044" s="14" t="s">
        <v>2911</v>
      </c>
      <c r="E1044" s="14" t="s">
        <v>4484</v>
      </c>
      <c r="F1044" s="13">
        <v>480</v>
      </c>
      <c r="G1044" s="14" t="s">
        <v>4485</v>
      </c>
      <c r="H1044" s="13" t="s">
        <v>2973</v>
      </c>
      <c r="I1044" s="14" t="s">
        <v>4493</v>
      </c>
      <c r="J1044" s="14" t="s">
        <v>4494</v>
      </c>
      <c r="K1044" s="478">
        <v>0.32</v>
      </c>
      <c r="L1044" s="220">
        <v>153.6</v>
      </c>
      <c r="M1044" s="568" t="s">
        <v>4495</v>
      </c>
      <c r="N1044" s="479" t="s">
        <v>2937</v>
      </c>
      <c r="O1044" s="569" t="s">
        <v>2976</v>
      </c>
      <c r="P1044" s="14" t="s">
        <v>2924</v>
      </c>
      <c r="Q1044" s="14" t="s">
        <v>4496</v>
      </c>
      <c r="R1044" s="14">
        <v>60</v>
      </c>
      <c r="S1044" s="14">
        <f t="shared" si="1062"/>
        <v>92.16</v>
      </c>
      <c r="T1044" s="487">
        <f>SUM(R1043:R1047)</f>
        <v>94.5</v>
      </c>
      <c r="U1044">
        <f t="shared" si="1111"/>
        <v>63.492063492063494</v>
      </c>
      <c r="V1044" s="220"/>
      <c r="W1044" s="14" t="s">
        <v>118</v>
      </c>
      <c r="X1044">
        <f t="shared" si="1112"/>
        <v>20.31746031746032</v>
      </c>
      <c r="Y1044" s="220" t="s">
        <v>1666</v>
      </c>
      <c r="Z1044" s="220" t="str">
        <f t="shared" ref="Z1044:AH1044" si="1118">Y1044</f>
        <v>*</v>
      </c>
      <c r="AA1044" s="792" t="str">
        <f t="shared" si="1118"/>
        <v>*</v>
      </c>
      <c r="AB1044" s="466" t="str">
        <f t="shared" si="1118"/>
        <v>*</v>
      </c>
      <c r="AC1044" s="831" t="str">
        <f t="shared" si="1118"/>
        <v>*</v>
      </c>
      <c r="AD1044" s="831" t="str">
        <f t="shared" si="1118"/>
        <v>*</v>
      </c>
      <c r="AE1044" s="454" t="str">
        <f t="shared" si="1118"/>
        <v>*</v>
      </c>
      <c r="AF1044" s="454" t="str">
        <f t="shared" si="1118"/>
        <v>*</v>
      </c>
      <c r="AG1044" s="454" t="str">
        <f t="shared" si="1118"/>
        <v>*</v>
      </c>
      <c r="AH1044" s="454" t="str">
        <f t="shared" si="1118"/>
        <v>*</v>
      </c>
    </row>
    <row r="1045" spans="1:34" ht="14.25">
      <c r="A1045" s="14" t="s">
        <v>4483</v>
      </c>
      <c r="B1045" s="24" t="s">
        <v>2738</v>
      </c>
      <c r="C1045" s="14" t="s">
        <v>2765</v>
      </c>
      <c r="D1045" s="14" t="s">
        <v>2911</v>
      </c>
      <c r="E1045" s="14" t="s">
        <v>4484</v>
      </c>
      <c r="F1045" s="13">
        <v>480</v>
      </c>
      <c r="G1045" s="14" t="s">
        <v>4485</v>
      </c>
      <c r="H1045" s="13" t="s">
        <v>2973</v>
      </c>
      <c r="I1045" s="14" t="s">
        <v>4493</v>
      </c>
      <c r="J1045" s="14" t="s">
        <v>4494</v>
      </c>
      <c r="K1045" s="478">
        <v>0.32</v>
      </c>
      <c r="L1045" s="220">
        <v>153.6</v>
      </c>
      <c r="M1045" s="568" t="s">
        <v>4495</v>
      </c>
      <c r="N1045" s="479" t="s">
        <v>2937</v>
      </c>
      <c r="O1045" s="569" t="s">
        <v>2976</v>
      </c>
      <c r="P1045" s="14" t="s">
        <v>2945</v>
      </c>
      <c r="Q1045" s="14" t="s">
        <v>4497</v>
      </c>
      <c r="R1045" s="14">
        <v>3.5</v>
      </c>
      <c r="S1045" s="14">
        <f t="shared" si="1062"/>
        <v>5.3760000000000003</v>
      </c>
      <c r="T1045" s="220">
        <f>SUM(R1043:R1047)</f>
        <v>94.5</v>
      </c>
      <c r="U1045">
        <f t="shared" si="1111"/>
        <v>3.7037037037037037</v>
      </c>
      <c r="V1045" s="220"/>
      <c r="W1045" s="14" t="s">
        <v>433</v>
      </c>
      <c r="X1045">
        <f t="shared" si="1112"/>
        <v>1.1851851851851851</v>
      </c>
      <c r="Y1045" s="499">
        <f t="shared" ref="Y1045:AA1045" si="1119">X1045</f>
        <v>1.1851851851851851</v>
      </c>
      <c r="Z1045" s="220">
        <f t="shared" si="1119"/>
        <v>1.1851851851851851</v>
      </c>
      <c r="AA1045" s="792">
        <f t="shared" si="1119"/>
        <v>1.1851851851851851</v>
      </c>
      <c r="AB1045" s="466" t="s">
        <v>433</v>
      </c>
      <c r="AC1045" s="13" t="s">
        <v>433</v>
      </c>
      <c r="AD1045" s="13" t="s">
        <v>2947</v>
      </c>
      <c r="AE1045" s="12">
        <v>3.0104466724907065E-4</v>
      </c>
      <c r="AF1045" s="12">
        <v>1.2500000000000001E-2</v>
      </c>
      <c r="AG1045" s="12">
        <v>5.1818181818181835E-4</v>
      </c>
      <c r="AH1045" s="12">
        <v>4.0084080366977777E-4</v>
      </c>
    </row>
    <row r="1046" spans="1:34" ht="14.25">
      <c r="A1046" s="14" t="s">
        <v>4483</v>
      </c>
      <c r="B1046" s="24" t="s">
        <v>2738</v>
      </c>
      <c r="C1046" s="14" t="s">
        <v>2765</v>
      </c>
      <c r="D1046" s="14" t="s">
        <v>2911</v>
      </c>
      <c r="E1046" s="14" t="s">
        <v>4484</v>
      </c>
      <c r="F1046" s="13">
        <v>480</v>
      </c>
      <c r="G1046" s="14" t="s">
        <v>4485</v>
      </c>
      <c r="H1046" s="13" t="s">
        <v>2973</v>
      </c>
      <c r="I1046" s="14" t="s">
        <v>4493</v>
      </c>
      <c r="J1046" s="14" t="s">
        <v>4494</v>
      </c>
      <c r="K1046" s="478">
        <v>0.32</v>
      </c>
      <c r="L1046" s="220">
        <v>153.6</v>
      </c>
      <c r="M1046" s="568" t="s">
        <v>4495</v>
      </c>
      <c r="N1046" s="479" t="s">
        <v>2937</v>
      </c>
      <c r="O1046" s="569" t="s">
        <v>2976</v>
      </c>
      <c r="P1046" s="14" t="s">
        <v>421</v>
      </c>
      <c r="Q1046" s="14" t="s">
        <v>4498</v>
      </c>
      <c r="R1046" s="14">
        <v>3</v>
      </c>
      <c r="S1046" s="14">
        <f t="shared" si="1062"/>
        <v>4.6079999999999997</v>
      </c>
      <c r="T1046" s="220">
        <f>SUM(R1043:R1047)</f>
        <v>94.5</v>
      </c>
      <c r="U1046">
        <f t="shared" si="1111"/>
        <v>3.1746031746031744</v>
      </c>
      <c r="V1046" s="220"/>
      <c r="W1046" s="14" t="s">
        <v>421</v>
      </c>
      <c r="X1046">
        <f t="shared" si="1112"/>
        <v>1.0158730158730158</v>
      </c>
      <c r="Y1046" s="499">
        <f t="shared" ref="Y1046:AA1046" si="1120">X1046</f>
        <v>1.0158730158730158</v>
      </c>
      <c r="Z1046" s="220">
        <f t="shared" si="1120"/>
        <v>1.0158730158730158</v>
      </c>
      <c r="AA1046" s="792">
        <f t="shared" si="1120"/>
        <v>1.0158730158730158</v>
      </c>
      <c r="AB1046" s="18" t="s">
        <v>421</v>
      </c>
      <c r="AC1046" s="14" t="s">
        <v>2953</v>
      </c>
      <c r="AD1046" s="14" t="s">
        <v>2954</v>
      </c>
      <c r="AE1046" s="12">
        <v>3.372204299368619E-2</v>
      </c>
      <c r="AF1046" s="12">
        <v>6.4584205812988751E-2</v>
      </c>
      <c r="AG1046" s="12">
        <v>3.9999999999999998E-6</v>
      </c>
      <c r="AH1046" s="12">
        <v>1.477309663377164E-3</v>
      </c>
    </row>
    <row r="1047" spans="1:34" ht="14.25">
      <c r="A1047" s="617" t="s">
        <v>4483</v>
      </c>
      <c r="B1047" s="794" t="s">
        <v>2738</v>
      </c>
      <c r="C1047" s="617" t="s">
        <v>2765</v>
      </c>
      <c r="D1047" s="617" t="s">
        <v>2911</v>
      </c>
      <c r="E1047" s="617" t="s">
        <v>4484</v>
      </c>
      <c r="F1047" s="799">
        <v>480</v>
      </c>
      <c r="G1047" s="617" t="s">
        <v>4485</v>
      </c>
      <c r="H1047" s="799" t="s">
        <v>2973</v>
      </c>
      <c r="I1047" s="617" t="s">
        <v>4493</v>
      </c>
      <c r="J1047" s="617" t="s">
        <v>4494</v>
      </c>
      <c r="K1047" s="838">
        <v>0.32</v>
      </c>
      <c r="L1047" s="725">
        <v>153.6</v>
      </c>
      <c r="M1047" s="911" t="s">
        <v>4495</v>
      </c>
      <c r="N1047" s="479" t="s">
        <v>2937</v>
      </c>
      <c r="O1047" s="912" t="s">
        <v>2976</v>
      </c>
      <c r="P1047" s="849" t="s">
        <v>4499</v>
      </c>
      <c r="Q1047" s="856" t="s">
        <v>4500</v>
      </c>
      <c r="R1047" s="617">
        <v>8</v>
      </c>
      <c r="S1047" s="617">
        <f t="shared" si="1062"/>
        <v>12.288</v>
      </c>
      <c r="T1047" s="851">
        <f>SUM(R1043:R1047)</f>
        <v>94.5</v>
      </c>
      <c r="U1047" s="617">
        <f t="shared" si="1111"/>
        <v>8.4656084656084651</v>
      </c>
      <c r="V1047" s="725"/>
      <c r="W1047" s="617" t="s">
        <v>112</v>
      </c>
      <c r="X1047" s="617">
        <f t="shared" si="1112"/>
        <v>2.7089947089947088</v>
      </c>
      <c r="Y1047" s="725" t="s">
        <v>1666</v>
      </c>
      <c r="Z1047" s="142">
        <f>X1047</f>
        <v>2.7089947089947088</v>
      </c>
      <c r="AA1047" s="792">
        <f>Z1047</f>
        <v>2.7089947089947088</v>
      </c>
      <c r="AB1047" s="793" t="s">
        <v>2767</v>
      </c>
      <c r="AC1047" s="14" t="s">
        <v>4501</v>
      </c>
      <c r="AD1047" s="14" t="s">
        <v>3011</v>
      </c>
      <c r="AE1047" s="12">
        <v>1.7908303554502368E-2</v>
      </c>
      <c r="AF1047" s="12">
        <v>5.2653626303317533E-2</v>
      </c>
      <c r="AG1047" s="12">
        <v>3.5104203009478677E-4</v>
      </c>
      <c r="AH1047" s="12">
        <v>3.3031267772511848E-3</v>
      </c>
    </row>
    <row r="1048" spans="1:34" ht="12.75">
      <c r="A1048" s="753" t="s">
        <v>4502</v>
      </c>
      <c r="B1048" s="805" t="s">
        <v>2768</v>
      </c>
      <c r="C1048" s="753" t="s">
        <v>2769</v>
      </c>
      <c r="D1048" s="753" t="s">
        <v>2911</v>
      </c>
      <c r="E1048" s="753" t="s">
        <v>3023</v>
      </c>
      <c r="F1048" s="805">
        <v>44</v>
      </c>
      <c r="G1048" s="753" t="s">
        <v>4503</v>
      </c>
      <c r="H1048" s="921">
        <v>19120</v>
      </c>
      <c r="I1048" s="753" t="s">
        <v>3023</v>
      </c>
      <c r="J1048" s="753" t="s">
        <v>4504</v>
      </c>
      <c r="K1048" s="864">
        <v>1</v>
      </c>
      <c r="L1048" s="865">
        <v>44</v>
      </c>
      <c r="M1048" s="911" t="s">
        <v>4505</v>
      </c>
      <c r="N1048" s="922"/>
      <c r="O1048" s="923"/>
      <c r="P1048" s="753" t="s">
        <v>3023</v>
      </c>
      <c r="Q1048" s="753" t="s">
        <v>4506</v>
      </c>
      <c r="R1048" s="753">
        <v>100</v>
      </c>
      <c r="S1048" s="753">
        <f t="shared" si="1062"/>
        <v>44</v>
      </c>
      <c r="T1048" s="865">
        <f t="shared" ref="T1048:T1049" si="1121">R1048</f>
        <v>100</v>
      </c>
      <c r="U1048" s="753">
        <f t="shared" si="1111"/>
        <v>100</v>
      </c>
      <c r="V1048" s="865"/>
      <c r="W1048" s="753" t="s">
        <v>4507</v>
      </c>
      <c r="X1048" s="753">
        <f t="shared" ref="X1048:X1049" si="1122">U1048</f>
        <v>100</v>
      </c>
      <c r="Y1048" s="865">
        <f t="shared" ref="Y1048:Z1048" si="1123">X1048</f>
        <v>100</v>
      </c>
      <c r="Z1048" s="865">
        <f t="shared" si="1123"/>
        <v>100</v>
      </c>
      <c r="AA1048" s="807">
        <f t="shared" ref="AA1048:AA1055" si="1124">X1048</f>
        <v>100</v>
      </c>
      <c r="AB1048" s="806" t="s">
        <v>1668</v>
      </c>
      <c r="AC1048" s="805" t="s">
        <v>4508</v>
      </c>
      <c r="AD1048" s="805" t="s">
        <v>4509</v>
      </c>
      <c r="AE1048" s="804">
        <v>3.372204299368619E-2</v>
      </c>
      <c r="AF1048" s="804">
        <v>6.4584205812988751E-2</v>
      </c>
      <c r="AG1048" s="804">
        <v>3.9999999999999998E-6</v>
      </c>
      <c r="AH1048" s="804">
        <v>1.477309663377164E-3</v>
      </c>
    </row>
    <row r="1049" spans="1:34" ht="12.75">
      <c r="A1049" s="753" t="s">
        <v>4510</v>
      </c>
      <c r="B1049" s="805" t="s">
        <v>2768</v>
      </c>
      <c r="C1049" s="753" t="s">
        <v>2770</v>
      </c>
      <c r="D1049" s="753" t="s">
        <v>2911</v>
      </c>
      <c r="E1049" s="753" t="s">
        <v>4511</v>
      </c>
      <c r="F1049" s="805">
        <v>41</v>
      </c>
      <c r="G1049" s="753" t="s">
        <v>4503</v>
      </c>
      <c r="H1049" s="921">
        <v>19164</v>
      </c>
      <c r="I1049" s="753" t="s">
        <v>4511</v>
      </c>
      <c r="J1049" s="753" t="s">
        <v>4512</v>
      </c>
      <c r="K1049" s="864">
        <v>1</v>
      </c>
      <c r="L1049" s="865">
        <v>41</v>
      </c>
      <c r="M1049" s="922" t="s">
        <v>4513</v>
      </c>
      <c r="N1049" s="922"/>
      <c r="O1049" s="923"/>
      <c r="P1049" s="753" t="s">
        <v>4511</v>
      </c>
      <c r="Q1049" s="753" t="s">
        <v>4514</v>
      </c>
      <c r="R1049" s="753">
        <v>100</v>
      </c>
      <c r="S1049" s="753">
        <f t="shared" si="1062"/>
        <v>41</v>
      </c>
      <c r="T1049" s="865">
        <f t="shared" si="1121"/>
        <v>100</v>
      </c>
      <c r="U1049" s="753">
        <f t="shared" si="1111"/>
        <v>100</v>
      </c>
      <c r="V1049" s="865"/>
      <c r="W1049" s="753" t="s">
        <v>1672</v>
      </c>
      <c r="X1049" s="753">
        <f t="shared" si="1122"/>
        <v>100</v>
      </c>
      <c r="Y1049" s="753">
        <f t="shared" ref="Y1049:Z1049" si="1125">X1049</f>
        <v>100</v>
      </c>
      <c r="Z1049" s="753">
        <f t="shared" si="1125"/>
        <v>100</v>
      </c>
      <c r="AA1049" s="807">
        <f t="shared" si="1124"/>
        <v>100</v>
      </c>
      <c r="AB1049" s="806" t="s">
        <v>416</v>
      </c>
      <c r="AC1049" s="805" t="s">
        <v>4515</v>
      </c>
      <c r="AD1049" s="805" t="s">
        <v>4516</v>
      </c>
      <c r="AE1049" s="635">
        <v>3.372204299368619E-2</v>
      </c>
      <c r="AF1049" s="635">
        <v>6.4584205812988751E-2</v>
      </c>
      <c r="AG1049" s="635">
        <v>3.9999999999999998E-6</v>
      </c>
      <c r="AH1049" s="635">
        <v>1.477309663377164E-3</v>
      </c>
    </row>
    <row r="1050" spans="1:34" ht="12.75">
      <c r="A1050" s="14" t="s">
        <v>4517</v>
      </c>
      <c r="B1050" s="24" t="s">
        <v>2768</v>
      </c>
      <c r="C1050" s="14" t="s">
        <v>2771</v>
      </c>
      <c r="D1050" s="14" t="s">
        <v>2911</v>
      </c>
      <c r="E1050" s="14" t="s">
        <v>4518</v>
      </c>
      <c r="F1050" s="13">
        <v>57</v>
      </c>
      <c r="G1050" s="14" t="s">
        <v>4503</v>
      </c>
      <c r="H1050" s="567">
        <v>19155</v>
      </c>
      <c r="I1050" s="14" t="s">
        <v>4518</v>
      </c>
      <c r="J1050" s="14" t="s">
        <v>4519</v>
      </c>
      <c r="K1050" s="478">
        <v>1</v>
      </c>
      <c r="L1050" s="220">
        <v>57</v>
      </c>
      <c r="M1050" s="568" t="s">
        <v>4520</v>
      </c>
      <c r="N1050" s="568"/>
      <c r="O1050" s="569"/>
      <c r="P1050" s="14" t="s">
        <v>3023</v>
      </c>
      <c r="Q1050" s="10" t="s">
        <v>4506</v>
      </c>
      <c r="R1050" s="14">
        <v>40</v>
      </c>
      <c r="S1050" s="14">
        <f t="shared" si="1062"/>
        <v>22.8</v>
      </c>
      <c r="T1050" s="220">
        <f>SUM(R1050:R1053)</f>
        <v>100</v>
      </c>
      <c r="U1050" s="14">
        <f t="shared" si="1111"/>
        <v>40</v>
      </c>
      <c r="V1050" s="220"/>
      <c r="W1050" s="14" t="s">
        <v>4507</v>
      </c>
      <c r="X1050">
        <f t="shared" ref="X1050:X1055" si="1126">U1050*K1050</f>
        <v>40</v>
      </c>
      <c r="Y1050" s="220">
        <f t="shared" ref="Y1050:Z1050" si="1127">X1050</f>
        <v>40</v>
      </c>
      <c r="Z1050" s="220">
        <f t="shared" si="1127"/>
        <v>40</v>
      </c>
      <c r="AA1050" s="792">
        <f t="shared" si="1124"/>
        <v>40</v>
      </c>
      <c r="AB1050" s="18" t="s">
        <v>1668</v>
      </c>
      <c r="AC1050" s="13" t="s">
        <v>4508</v>
      </c>
      <c r="AD1050" s="13" t="s">
        <v>4509</v>
      </c>
      <c r="AE1050" s="12">
        <v>3.372204299368619E-2</v>
      </c>
      <c r="AF1050" s="12">
        <v>6.4584205812988751E-2</v>
      </c>
      <c r="AG1050" s="12">
        <v>3.9999999999999998E-6</v>
      </c>
      <c r="AH1050" s="12">
        <v>1.477309663377164E-3</v>
      </c>
    </row>
    <row r="1051" spans="1:34" ht="12.75">
      <c r="A1051" s="14" t="s">
        <v>4517</v>
      </c>
      <c r="B1051" s="24" t="s">
        <v>2768</v>
      </c>
      <c r="C1051" s="14" t="s">
        <v>2771</v>
      </c>
      <c r="D1051" s="14" t="s">
        <v>2911</v>
      </c>
      <c r="E1051" s="14" t="s">
        <v>4518</v>
      </c>
      <c r="F1051" s="13">
        <v>57</v>
      </c>
      <c r="G1051" s="14" t="s">
        <v>4503</v>
      </c>
      <c r="H1051" s="567">
        <v>19155</v>
      </c>
      <c r="I1051" s="14" t="s">
        <v>4518</v>
      </c>
      <c r="J1051" s="14" t="s">
        <v>4519</v>
      </c>
      <c r="K1051" s="478">
        <v>1</v>
      </c>
      <c r="L1051" s="220">
        <v>57</v>
      </c>
      <c r="M1051" s="568" t="s">
        <v>4520</v>
      </c>
      <c r="N1051" s="568"/>
      <c r="O1051" s="569"/>
      <c r="P1051" s="14" t="s">
        <v>4521</v>
      </c>
      <c r="Q1051" s="14" t="s">
        <v>4522</v>
      </c>
      <c r="R1051" s="14">
        <v>25</v>
      </c>
      <c r="S1051" s="14">
        <f t="shared" si="1062"/>
        <v>14.25</v>
      </c>
      <c r="T1051" s="220">
        <f>SUM(R1050:R1053)</f>
        <v>100</v>
      </c>
      <c r="U1051" s="14">
        <f t="shared" si="1111"/>
        <v>25</v>
      </c>
      <c r="V1051" s="220"/>
      <c r="W1051" s="14" t="s">
        <v>4523</v>
      </c>
      <c r="X1051">
        <f t="shared" si="1126"/>
        <v>25</v>
      </c>
      <c r="Y1051" s="220">
        <f t="shared" ref="Y1051:Z1051" si="1128">X1051</f>
        <v>25</v>
      </c>
      <c r="Z1051" s="220">
        <f t="shared" si="1128"/>
        <v>25</v>
      </c>
      <c r="AA1051" s="792">
        <f t="shared" si="1124"/>
        <v>25</v>
      </c>
      <c r="AB1051" s="18" t="s">
        <v>2772</v>
      </c>
      <c r="AC1051" s="13" t="s">
        <v>4524</v>
      </c>
      <c r="AD1051" s="13" t="s">
        <v>4525</v>
      </c>
      <c r="AE1051" s="12">
        <v>3.8427539589960401E-3</v>
      </c>
      <c r="AF1051" s="12">
        <v>1.5537788094869101E-2</v>
      </c>
      <c r="AG1051" s="12">
        <v>2.14E-4</v>
      </c>
      <c r="AH1051" s="12">
        <v>5.7320234924778215E-4</v>
      </c>
    </row>
    <row r="1052" spans="1:34" ht="12.75">
      <c r="A1052" s="14" t="s">
        <v>4517</v>
      </c>
      <c r="B1052" s="24" t="s">
        <v>2768</v>
      </c>
      <c r="C1052" s="14" t="s">
        <v>2771</v>
      </c>
      <c r="D1052" s="14" t="s">
        <v>2911</v>
      </c>
      <c r="E1052" s="14" t="s">
        <v>4518</v>
      </c>
      <c r="F1052" s="13">
        <v>57</v>
      </c>
      <c r="G1052" s="14" t="s">
        <v>4503</v>
      </c>
      <c r="H1052" s="567">
        <v>19155</v>
      </c>
      <c r="I1052" s="14" t="s">
        <v>4518</v>
      </c>
      <c r="J1052" s="14" t="s">
        <v>4519</v>
      </c>
      <c r="K1052" s="478">
        <v>1</v>
      </c>
      <c r="L1052" s="220">
        <v>57</v>
      </c>
      <c r="M1052" s="568" t="s">
        <v>4520</v>
      </c>
      <c r="N1052" s="568"/>
      <c r="O1052" s="569"/>
      <c r="P1052" s="14" t="s">
        <v>2962</v>
      </c>
      <c r="Q1052" s="14" t="s">
        <v>2963</v>
      </c>
      <c r="R1052" s="14">
        <v>25</v>
      </c>
      <c r="S1052" s="14">
        <f t="shared" si="1062"/>
        <v>14.25</v>
      </c>
      <c r="T1052" s="220">
        <f>SUM(R1050:R1053)</f>
        <v>100</v>
      </c>
      <c r="U1052" s="14">
        <f t="shared" si="1111"/>
        <v>25</v>
      </c>
      <c r="V1052" s="220"/>
      <c r="W1052" s="14" t="s">
        <v>425</v>
      </c>
      <c r="X1052">
        <f t="shared" si="1126"/>
        <v>25</v>
      </c>
      <c r="Y1052" s="220">
        <f t="shared" ref="Y1052:Z1052" si="1129">X1052</f>
        <v>25</v>
      </c>
      <c r="Z1052" s="220">
        <f t="shared" si="1129"/>
        <v>25</v>
      </c>
      <c r="AA1052" s="792">
        <f t="shared" si="1124"/>
        <v>25</v>
      </c>
      <c r="AB1052" s="18" t="s">
        <v>425</v>
      </c>
      <c r="AC1052" s="13" t="s">
        <v>2964</v>
      </c>
      <c r="AD1052" s="13" t="s">
        <v>2965</v>
      </c>
      <c r="AE1052" s="12">
        <v>3.8102374934982654E-3</v>
      </c>
      <c r="AF1052" s="12">
        <v>0.20470422547079484</v>
      </c>
      <c r="AG1052" s="12">
        <v>1.210810810810811E-4</v>
      </c>
      <c r="AH1052" s="12">
        <v>1.0002400855855065E-3</v>
      </c>
    </row>
    <row r="1053" spans="1:34" ht="12.75">
      <c r="A1053" s="617" t="s">
        <v>4517</v>
      </c>
      <c r="B1053" s="794" t="s">
        <v>2768</v>
      </c>
      <c r="C1053" s="617" t="s">
        <v>2771</v>
      </c>
      <c r="D1053" s="617" t="s">
        <v>2911</v>
      </c>
      <c r="E1053" s="617" t="s">
        <v>4518</v>
      </c>
      <c r="F1053" s="799">
        <v>57</v>
      </c>
      <c r="G1053" s="617" t="s">
        <v>4503</v>
      </c>
      <c r="H1053" s="910">
        <v>19155</v>
      </c>
      <c r="I1053" s="617" t="s">
        <v>4518</v>
      </c>
      <c r="J1053" s="617" t="s">
        <v>4519</v>
      </c>
      <c r="K1053" s="838">
        <v>1</v>
      </c>
      <c r="L1053" s="725">
        <v>57</v>
      </c>
      <c r="M1053" s="911" t="s">
        <v>4520</v>
      </c>
      <c r="N1053" s="911"/>
      <c r="O1053" s="912"/>
      <c r="P1053" s="617" t="s">
        <v>2945</v>
      </c>
      <c r="Q1053" s="899" t="s">
        <v>2946</v>
      </c>
      <c r="R1053" s="617">
        <v>10</v>
      </c>
      <c r="S1053" s="617">
        <f t="shared" si="1062"/>
        <v>5.7</v>
      </c>
      <c r="T1053" s="725">
        <f>SUM(R1050:R1053)</f>
        <v>100</v>
      </c>
      <c r="U1053" s="617">
        <f t="shared" si="1111"/>
        <v>10</v>
      </c>
      <c r="V1053" s="725"/>
      <c r="W1053" s="617" t="s">
        <v>433</v>
      </c>
      <c r="X1053" s="617">
        <f t="shared" si="1126"/>
        <v>10</v>
      </c>
      <c r="Y1053" s="725">
        <f t="shared" ref="Y1053:Z1053" si="1130">X1053</f>
        <v>10</v>
      </c>
      <c r="Z1053" s="725">
        <f t="shared" si="1130"/>
        <v>10</v>
      </c>
      <c r="AA1053" s="455">
        <f t="shared" si="1124"/>
        <v>10</v>
      </c>
      <c r="AB1053" s="793" t="s">
        <v>433</v>
      </c>
      <c r="AC1053" s="799" t="s">
        <v>433</v>
      </c>
      <c r="AD1053" s="799" t="s">
        <v>2947</v>
      </c>
      <c r="AE1053" s="635">
        <v>3.0104466724907065E-4</v>
      </c>
      <c r="AF1053" s="635">
        <v>1.2500000000000001E-2</v>
      </c>
      <c r="AG1053" s="635">
        <v>5.1818181818181835E-4</v>
      </c>
      <c r="AH1053" s="635">
        <v>4.0084080366977777E-4</v>
      </c>
    </row>
    <row r="1054" spans="1:34" ht="12.75">
      <c r="A1054" s="14" t="s">
        <v>4526</v>
      </c>
      <c r="B1054" s="24" t="s">
        <v>2768</v>
      </c>
      <c r="C1054" s="14" t="s">
        <v>2773</v>
      </c>
      <c r="D1054" s="14" t="s">
        <v>2911</v>
      </c>
      <c r="E1054" s="14" t="s">
        <v>4527</v>
      </c>
      <c r="F1054" s="13">
        <v>28</v>
      </c>
      <c r="G1054" s="14" t="s">
        <v>4528</v>
      </c>
      <c r="H1054" s="567">
        <v>19107</v>
      </c>
      <c r="I1054" s="14" t="s">
        <v>4527</v>
      </c>
      <c r="J1054" s="14" t="s">
        <v>4529</v>
      </c>
      <c r="K1054" s="478">
        <v>1</v>
      </c>
      <c r="L1054" s="220">
        <v>28</v>
      </c>
      <c r="M1054" s="568" t="s">
        <v>4530</v>
      </c>
      <c r="N1054" s="568"/>
      <c r="O1054" s="569"/>
      <c r="P1054" s="14" t="s">
        <v>2945</v>
      </c>
      <c r="Q1054" s="435" t="s">
        <v>2946</v>
      </c>
      <c r="R1054" s="14">
        <v>50</v>
      </c>
      <c r="S1054" s="14">
        <f t="shared" si="1062"/>
        <v>14</v>
      </c>
      <c r="T1054" s="487">
        <f>SUM(R1054:R1055)</f>
        <v>66</v>
      </c>
      <c r="U1054">
        <f t="shared" si="1111"/>
        <v>75.757575757575751</v>
      </c>
      <c r="V1054" s="220"/>
      <c r="W1054" s="14" t="s">
        <v>433</v>
      </c>
      <c r="X1054">
        <f t="shared" si="1126"/>
        <v>75.757575757575751</v>
      </c>
      <c r="Y1054" s="220">
        <f t="shared" ref="Y1054:Z1054" si="1131">X1054</f>
        <v>75.757575757575751</v>
      </c>
      <c r="Z1054" s="220">
        <f t="shared" si="1131"/>
        <v>75.757575757575751</v>
      </c>
      <c r="AA1054" s="792">
        <f t="shared" si="1124"/>
        <v>75.757575757575751</v>
      </c>
      <c r="AB1054" s="18" t="s">
        <v>433</v>
      </c>
      <c r="AC1054" s="13" t="s">
        <v>433</v>
      </c>
      <c r="AD1054" s="13" t="s">
        <v>2947</v>
      </c>
      <c r="AE1054" s="12">
        <v>3.0104466724907065E-4</v>
      </c>
      <c r="AF1054" s="12">
        <v>1.2500000000000001E-2</v>
      </c>
      <c r="AG1054" s="12">
        <v>5.1818181818181835E-4</v>
      </c>
      <c r="AH1054" s="12">
        <v>4.0084080366977777E-4</v>
      </c>
    </row>
    <row r="1055" spans="1:34" ht="12.75">
      <c r="A1055" s="617" t="s">
        <v>4526</v>
      </c>
      <c r="B1055" s="794" t="s">
        <v>2768</v>
      </c>
      <c r="C1055" s="617" t="s">
        <v>2773</v>
      </c>
      <c r="D1055" s="617" t="s">
        <v>2911</v>
      </c>
      <c r="E1055" s="617" t="s">
        <v>4527</v>
      </c>
      <c r="F1055" s="799">
        <v>28</v>
      </c>
      <c r="G1055" s="617" t="s">
        <v>4528</v>
      </c>
      <c r="H1055" s="910">
        <v>19107</v>
      </c>
      <c r="I1055" s="617" t="s">
        <v>4527</v>
      </c>
      <c r="J1055" s="617" t="s">
        <v>4529</v>
      </c>
      <c r="K1055" s="838">
        <v>1</v>
      </c>
      <c r="L1055" s="725">
        <v>28</v>
      </c>
      <c r="M1055" s="911" t="s">
        <v>4530</v>
      </c>
      <c r="N1055" s="911"/>
      <c r="O1055" s="912"/>
      <c r="P1055" s="617" t="s">
        <v>2962</v>
      </c>
      <c r="Q1055" s="617" t="s">
        <v>2963</v>
      </c>
      <c r="R1055" s="617">
        <v>16</v>
      </c>
      <c r="S1055" s="617">
        <f t="shared" si="1062"/>
        <v>4.4800000000000004</v>
      </c>
      <c r="T1055" s="851">
        <f>SUM(R1054:R1055)</f>
        <v>66</v>
      </c>
      <c r="U1055" s="617">
        <f t="shared" si="1111"/>
        <v>24.242424242424242</v>
      </c>
      <c r="V1055" s="725"/>
      <c r="W1055" s="617" t="s">
        <v>425</v>
      </c>
      <c r="X1055" s="617">
        <f t="shared" si="1126"/>
        <v>24.242424242424242</v>
      </c>
      <c r="Y1055" s="725">
        <f t="shared" ref="Y1055:Z1055" si="1132">X1055</f>
        <v>24.242424242424242</v>
      </c>
      <c r="Z1055" s="725">
        <f t="shared" si="1132"/>
        <v>24.242424242424242</v>
      </c>
      <c r="AA1055" s="455">
        <f t="shared" si="1124"/>
        <v>24.242424242424242</v>
      </c>
      <c r="AB1055" s="793" t="s">
        <v>425</v>
      </c>
      <c r="AC1055" s="799" t="s">
        <v>2964</v>
      </c>
      <c r="AD1055" s="799" t="s">
        <v>2965</v>
      </c>
      <c r="AE1055" s="635">
        <v>3.8102374934982654E-3</v>
      </c>
      <c r="AF1055" s="635">
        <v>0.20470422547079484</v>
      </c>
      <c r="AG1055" s="635">
        <v>1.210810810810811E-4</v>
      </c>
      <c r="AH1055" s="635">
        <v>1.0002400855855065E-3</v>
      </c>
    </row>
    <row r="1056" spans="1:34" ht="14.25">
      <c r="A1056" s="14" t="s">
        <v>4531</v>
      </c>
      <c r="B1056" s="24" t="s">
        <v>2768</v>
      </c>
      <c r="C1056" s="14" t="s">
        <v>2774</v>
      </c>
      <c r="D1056" s="14" t="s">
        <v>2911</v>
      </c>
      <c r="E1056" s="14" t="s">
        <v>4532</v>
      </c>
      <c r="F1056" s="13">
        <v>16.690000000000001</v>
      </c>
      <c r="G1056" s="14" t="s">
        <v>3704</v>
      </c>
      <c r="H1056" s="13" t="s">
        <v>2973</v>
      </c>
      <c r="I1056" s="655" t="s">
        <v>4533</v>
      </c>
      <c r="J1056" s="14" t="s">
        <v>4534</v>
      </c>
      <c r="K1056" s="478">
        <v>0.91</v>
      </c>
      <c r="L1056" s="220">
        <v>11.83</v>
      </c>
      <c r="M1056" s="568" t="s">
        <v>4535</v>
      </c>
      <c r="N1056" s="479" t="s">
        <v>2937</v>
      </c>
      <c r="O1056" s="569" t="s">
        <v>2976</v>
      </c>
      <c r="P1056" s="655" t="s">
        <v>3005</v>
      </c>
      <c r="Q1056" s="486" t="s">
        <v>3006</v>
      </c>
      <c r="R1056" s="14">
        <v>44</v>
      </c>
      <c r="S1056" s="14">
        <f t="shared" si="1062"/>
        <v>5.2052000000000005</v>
      </c>
      <c r="T1056" s="220">
        <f>SUM(R1056:R1068)</f>
        <v>100</v>
      </c>
      <c r="U1056" s="14">
        <f t="shared" si="1111"/>
        <v>44</v>
      </c>
      <c r="V1056" s="220">
        <f t="shared" ref="V1056:V1068" si="1133">U1056</f>
        <v>44</v>
      </c>
      <c r="W1056" s="14" t="s">
        <v>2779</v>
      </c>
      <c r="X1056">
        <f t="shared" ref="X1056:X1088" si="1134">V1056*K1056</f>
        <v>40.04</v>
      </c>
      <c r="Y1056" s="220">
        <f>SUM(X1056,X1070,X1076)</f>
        <v>41.810380600769861</v>
      </c>
      <c r="Z1056" s="220">
        <f t="shared" ref="Z1056:AA1056" si="1135">Y1056</f>
        <v>41.810380600769861</v>
      </c>
      <c r="AA1056" s="792">
        <f t="shared" si="1135"/>
        <v>41.810380600769861</v>
      </c>
      <c r="AB1056" s="18" t="s">
        <v>2658</v>
      </c>
      <c r="AC1056" s="13" t="s">
        <v>215</v>
      </c>
      <c r="AD1056" s="13" t="s">
        <v>3007</v>
      </c>
      <c r="AE1056" s="12">
        <v>5.0851930036188197E-3</v>
      </c>
      <c r="AF1056" s="12">
        <v>5.9995417730640897E-2</v>
      </c>
      <c r="AG1056" s="12">
        <v>3.4699999999999998E-4</v>
      </c>
      <c r="AH1056" s="12">
        <v>2.9762429672480995E-4</v>
      </c>
    </row>
    <row r="1057" spans="1:34" ht="14.25">
      <c r="A1057" s="14" t="s">
        <v>4531</v>
      </c>
      <c r="B1057" s="24" t="s">
        <v>2768</v>
      </c>
      <c r="C1057" s="14" t="s">
        <v>2774</v>
      </c>
      <c r="D1057" s="14" t="s">
        <v>2911</v>
      </c>
      <c r="E1057" s="14" t="s">
        <v>4532</v>
      </c>
      <c r="F1057" s="13">
        <v>16.690000000000001</v>
      </c>
      <c r="G1057" s="14" t="s">
        <v>3704</v>
      </c>
      <c r="H1057" s="13" t="s">
        <v>2973</v>
      </c>
      <c r="I1057" s="655" t="s">
        <v>4533</v>
      </c>
      <c r="J1057" s="14" t="s">
        <v>4534</v>
      </c>
      <c r="K1057" s="478">
        <v>0.91</v>
      </c>
      <c r="L1057" s="220">
        <v>11.83</v>
      </c>
      <c r="M1057" s="568" t="s">
        <v>4535</v>
      </c>
      <c r="N1057" s="479" t="s">
        <v>2937</v>
      </c>
      <c r="O1057" s="569" t="s">
        <v>2976</v>
      </c>
      <c r="P1057" s="14" t="s">
        <v>2945</v>
      </c>
      <c r="Q1057" s="435" t="s">
        <v>2946</v>
      </c>
      <c r="R1057" s="14">
        <v>25</v>
      </c>
      <c r="S1057" s="14">
        <f t="shared" si="1062"/>
        <v>2.9575</v>
      </c>
      <c r="T1057" s="220">
        <f>SUM(R1056:R1068)</f>
        <v>100</v>
      </c>
      <c r="U1057" s="14">
        <f t="shared" si="1111"/>
        <v>25</v>
      </c>
      <c r="V1057" s="220">
        <f t="shared" si="1133"/>
        <v>25</v>
      </c>
      <c r="W1057" s="14" t="s">
        <v>433</v>
      </c>
      <c r="X1057">
        <f t="shared" si="1134"/>
        <v>22.75</v>
      </c>
      <c r="Y1057" s="220">
        <f>SUM(X1057,X1069,X1072,X1080)</f>
        <v>26.523706017430484</v>
      </c>
      <c r="Z1057" s="220">
        <f t="shared" ref="Z1057:AA1057" si="1136">Y1057</f>
        <v>26.523706017430484</v>
      </c>
      <c r="AA1057" s="792">
        <f t="shared" si="1136"/>
        <v>26.523706017430484</v>
      </c>
      <c r="AB1057" s="18" t="s">
        <v>433</v>
      </c>
      <c r="AC1057" s="13" t="s">
        <v>433</v>
      </c>
      <c r="AD1057" s="13" t="s">
        <v>2947</v>
      </c>
      <c r="AE1057" s="12">
        <v>3.0104466724907065E-4</v>
      </c>
      <c r="AF1057" s="12">
        <v>1.2500000000000001E-2</v>
      </c>
      <c r="AG1057" s="12">
        <v>5.1818181818181835E-4</v>
      </c>
      <c r="AH1057" s="12">
        <v>4.0084080366977777E-4</v>
      </c>
    </row>
    <row r="1058" spans="1:34" ht="14.25">
      <c r="A1058" s="14" t="s">
        <v>4531</v>
      </c>
      <c r="B1058" s="24" t="s">
        <v>2768</v>
      </c>
      <c r="C1058" s="14" t="s">
        <v>2774</v>
      </c>
      <c r="D1058" s="14" t="s">
        <v>2911</v>
      </c>
      <c r="E1058" s="14" t="s">
        <v>4532</v>
      </c>
      <c r="F1058" s="13">
        <v>16.690000000000001</v>
      </c>
      <c r="G1058" s="14" t="s">
        <v>3704</v>
      </c>
      <c r="H1058" s="13" t="s">
        <v>2973</v>
      </c>
      <c r="I1058" s="655" t="s">
        <v>4533</v>
      </c>
      <c r="J1058" s="14" t="s">
        <v>4534</v>
      </c>
      <c r="K1058" s="478">
        <v>0.91</v>
      </c>
      <c r="L1058" s="220">
        <v>11.83</v>
      </c>
      <c r="M1058" s="568" t="s">
        <v>4535</v>
      </c>
      <c r="N1058" s="479" t="s">
        <v>2937</v>
      </c>
      <c r="O1058" s="569" t="s">
        <v>2976</v>
      </c>
      <c r="P1058" s="14" t="s">
        <v>3023</v>
      </c>
      <c r="Q1058" s="14" t="s">
        <v>4536</v>
      </c>
      <c r="R1058" s="14">
        <v>12</v>
      </c>
      <c r="S1058" s="14">
        <f t="shared" si="1062"/>
        <v>1.4196</v>
      </c>
      <c r="T1058" s="220">
        <f>SUM(R1056:R1068)</f>
        <v>100</v>
      </c>
      <c r="U1058" s="14">
        <f t="shared" si="1111"/>
        <v>12</v>
      </c>
      <c r="V1058" s="220">
        <f t="shared" si="1133"/>
        <v>12</v>
      </c>
      <c r="W1058" s="14" t="s">
        <v>4507</v>
      </c>
      <c r="X1058">
        <f t="shared" si="1134"/>
        <v>10.92</v>
      </c>
      <c r="Y1058" s="220">
        <f>SUM(X1058,X1060,X1073)</f>
        <v>12.944991437983878</v>
      </c>
      <c r="Z1058" s="220">
        <f>X1058</f>
        <v>10.92</v>
      </c>
      <c r="AA1058" s="792">
        <f>Z1058</f>
        <v>10.92</v>
      </c>
      <c r="AB1058" s="18" t="s">
        <v>1668</v>
      </c>
      <c r="AC1058" s="13" t="s">
        <v>4508</v>
      </c>
      <c r="AD1058" s="13" t="s">
        <v>4509</v>
      </c>
      <c r="AE1058" s="12">
        <v>3.372204299368619E-2</v>
      </c>
      <c r="AF1058" s="12">
        <v>6.4584205812988751E-2</v>
      </c>
      <c r="AG1058" s="12">
        <v>3.9999999999999998E-6</v>
      </c>
      <c r="AH1058" s="12">
        <v>1.477309663377164E-3</v>
      </c>
    </row>
    <row r="1059" spans="1:34" ht="14.25">
      <c r="A1059" s="14" t="s">
        <v>4531</v>
      </c>
      <c r="B1059" s="24" t="s">
        <v>2768</v>
      </c>
      <c r="C1059" s="14" t="s">
        <v>2774</v>
      </c>
      <c r="D1059" s="14" t="s">
        <v>2911</v>
      </c>
      <c r="E1059" s="14" t="s">
        <v>4532</v>
      </c>
      <c r="F1059" s="13">
        <v>16.690000000000001</v>
      </c>
      <c r="G1059" s="14" t="s">
        <v>3704</v>
      </c>
      <c r="H1059" s="13" t="s">
        <v>2973</v>
      </c>
      <c r="I1059" s="655" t="s">
        <v>4533</v>
      </c>
      <c r="J1059" s="14" t="s">
        <v>4534</v>
      </c>
      <c r="K1059" s="478">
        <v>0.91</v>
      </c>
      <c r="L1059" s="220">
        <v>11.83</v>
      </c>
      <c r="M1059" s="568" t="s">
        <v>4535</v>
      </c>
      <c r="N1059" s="479" t="s">
        <v>2937</v>
      </c>
      <c r="O1059" s="569" t="s">
        <v>2976</v>
      </c>
      <c r="P1059" s="14" t="s">
        <v>3072</v>
      </c>
      <c r="Q1059" s="14" t="s">
        <v>4537</v>
      </c>
      <c r="R1059" s="14">
        <v>0.5</v>
      </c>
      <c r="S1059" s="14">
        <f t="shared" si="1062"/>
        <v>5.9150000000000001E-2</v>
      </c>
      <c r="T1059" s="220">
        <f>SUM(R1056:R1068)</f>
        <v>100</v>
      </c>
      <c r="U1059" s="14">
        <f t="shared" si="1111"/>
        <v>0.5</v>
      </c>
      <c r="V1059" s="220">
        <f t="shared" si="1133"/>
        <v>0.5</v>
      </c>
      <c r="W1059" s="14" t="s">
        <v>343</v>
      </c>
      <c r="X1059">
        <f t="shared" si="1134"/>
        <v>0.45500000000000002</v>
      </c>
      <c r="Y1059" s="220">
        <f>SUM(X1059,X1062,X1063,X1081,X1082,X1086,X1088,X1083)</f>
        <v>5.8975298531722933</v>
      </c>
      <c r="Z1059" s="220">
        <f t="shared" ref="Z1059:AA1059" si="1137">Y1059</f>
        <v>5.8975298531722933</v>
      </c>
      <c r="AA1059" s="792">
        <f t="shared" si="1137"/>
        <v>5.8975298531722933</v>
      </c>
      <c r="AB1059" s="18" t="s">
        <v>2715</v>
      </c>
      <c r="AC1059" s="13" t="s">
        <v>2982</v>
      </c>
      <c r="AD1059" s="13" t="s">
        <v>2983</v>
      </c>
      <c r="AE1059" s="12">
        <v>2.9691872042618299E-2</v>
      </c>
      <c r="AF1059" s="12">
        <v>7.5368545517799299E-2</v>
      </c>
      <c r="AG1059" s="12">
        <v>2.9014018691588786E-4</v>
      </c>
      <c r="AH1059" s="12">
        <v>1.4770983615231311E-3</v>
      </c>
    </row>
    <row r="1060" spans="1:34" ht="14.25">
      <c r="A1060" s="14" t="s">
        <v>4531</v>
      </c>
      <c r="B1060" s="24" t="s">
        <v>2768</v>
      </c>
      <c r="C1060" s="14" t="s">
        <v>2774</v>
      </c>
      <c r="D1060" s="14" t="s">
        <v>2911</v>
      </c>
      <c r="E1060" s="14" t="s">
        <v>4532</v>
      </c>
      <c r="F1060" s="13">
        <v>16.690000000000001</v>
      </c>
      <c r="G1060" s="14" t="s">
        <v>3704</v>
      </c>
      <c r="H1060" s="13" t="s">
        <v>2973</v>
      </c>
      <c r="I1060" s="655" t="s">
        <v>4533</v>
      </c>
      <c r="J1060" s="14" t="s">
        <v>4534</v>
      </c>
      <c r="K1060" s="478">
        <v>0.91</v>
      </c>
      <c r="L1060" s="220">
        <v>11.83</v>
      </c>
      <c r="M1060" s="568" t="s">
        <v>4535</v>
      </c>
      <c r="N1060" s="479" t="s">
        <v>2937</v>
      </c>
      <c r="O1060" s="569" t="s">
        <v>2976</v>
      </c>
      <c r="P1060" s="14" t="s">
        <v>4226</v>
      </c>
      <c r="Q1060" s="486" t="s">
        <v>4538</v>
      </c>
      <c r="R1060" s="14">
        <v>2</v>
      </c>
      <c r="S1060" s="14">
        <f t="shared" si="1062"/>
        <v>0.2366</v>
      </c>
      <c r="T1060" s="220">
        <f>SUM(R1056:R1068)</f>
        <v>100</v>
      </c>
      <c r="U1060" s="14">
        <f t="shared" si="1111"/>
        <v>2</v>
      </c>
      <c r="V1060" s="220">
        <f t="shared" si="1133"/>
        <v>2</v>
      </c>
      <c r="W1060" s="14" t="s">
        <v>423</v>
      </c>
      <c r="X1060">
        <f t="shared" si="1134"/>
        <v>1.82</v>
      </c>
      <c r="Y1060" s="220" t="s">
        <v>1666</v>
      </c>
      <c r="Z1060" s="220">
        <f>X1060</f>
        <v>1.82</v>
      </c>
      <c r="AA1060" s="792">
        <f t="shared" ref="AA1060:AA1061" si="1138">Z1060</f>
        <v>1.82</v>
      </c>
      <c r="AB1060" s="18" t="s">
        <v>2775</v>
      </c>
      <c r="AC1060" s="13" t="s">
        <v>2953</v>
      </c>
      <c r="AD1060" s="13" t="s">
        <v>2954</v>
      </c>
      <c r="AE1060" s="12">
        <v>8.22790593034603E-2</v>
      </c>
      <c r="AF1060" s="12">
        <v>0.15758024213268212</v>
      </c>
      <c r="AG1060" s="12">
        <v>9.7596766979824417E-6</v>
      </c>
      <c r="AH1060" s="12">
        <v>3.6045161743415983E-3</v>
      </c>
    </row>
    <row r="1061" spans="1:34" ht="14.25">
      <c r="A1061" s="14" t="s">
        <v>4531</v>
      </c>
      <c r="B1061" s="24" t="s">
        <v>2768</v>
      </c>
      <c r="C1061" s="14" t="s">
        <v>2774</v>
      </c>
      <c r="D1061" s="14" t="s">
        <v>2911</v>
      </c>
      <c r="E1061" s="14" t="s">
        <v>4532</v>
      </c>
      <c r="F1061" s="13">
        <v>16.690000000000001</v>
      </c>
      <c r="G1061" s="14" t="s">
        <v>3704</v>
      </c>
      <c r="H1061" s="13" t="s">
        <v>2973</v>
      </c>
      <c r="I1061" s="655" t="s">
        <v>4533</v>
      </c>
      <c r="J1061" s="14" t="s">
        <v>4534</v>
      </c>
      <c r="K1061" s="478">
        <v>0.91</v>
      </c>
      <c r="L1061" s="220">
        <v>11.83</v>
      </c>
      <c r="M1061" s="568" t="s">
        <v>4535</v>
      </c>
      <c r="N1061" s="479" t="s">
        <v>2937</v>
      </c>
      <c r="O1061" s="569" t="s">
        <v>2976</v>
      </c>
      <c r="P1061" s="14" t="s">
        <v>2962</v>
      </c>
      <c r="Q1061" s="14" t="s">
        <v>2963</v>
      </c>
      <c r="R1061" s="14">
        <v>6.5</v>
      </c>
      <c r="S1061" s="14">
        <f t="shared" si="1062"/>
        <v>0.76895000000000002</v>
      </c>
      <c r="T1061" s="220">
        <f>SUM(R1056:R1068)</f>
        <v>100</v>
      </c>
      <c r="U1061" s="14">
        <f t="shared" si="1111"/>
        <v>6.5</v>
      </c>
      <c r="V1061" s="220">
        <f t="shared" si="1133"/>
        <v>6.5</v>
      </c>
      <c r="W1061" s="14" t="s">
        <v>425</v>
      </c>
      <c r="X1061">
        <f t="shared" si="1134"/>
        <v>5.915</v>
      </c>
      <c r="Y1061" s="220">
        <f>SUM(X1061,X1071,X1077,X1078,X1079)</f>
        <v>6.6604234108504645</v>
      </c>
      <c r="Z1061" s="220">
        <f>SUM(X1061,X1078,X1071)</f>
        <v>6.4740675581378486</v>
      </c>
      <c r="AA1061" s="792">
        <f t="shared" si="1138"/>
        <v>6.4740675581378486</v>
      </c>
      <c r="AB1061" s="18" t="s">
        <v>425</v>
      </c>
      <c r="AC1061" s="13" t="s">
        <v>2964</v>
      </c>
      <c r="AD1061" s="13" t="s">
        <v>2965</v>
      </c>
      <c r="AE1061" s="12">
        <v>3.8102374934982654E-3</v>
      </c>
      <c r="AF1061" s="12">
        <v>0.20470422547079484</v>
      </c>
      <c r="AG1061" s="12">
        <v>1.210810810810811E-4</v>
      </c>
      <c r="AH1061" s="12">
        <v>1.0002400855855065E-3</v>
      </c>
    </row>
    <row r="1062" spans="1:34" ht="14.25">
      <c r="A1062" s="14" t="s">
        <v>4531</v>
      </c>
      <c r="B1062" s="24" t="s">
        <v>2768</v>
      </c>
      <c r="C1062" s="14" t="s">
        <v>2774</v>
      </c>
      <c r="D1062" s="14" t="s">
        <v>2911</v>
      </c>
      <c r="E1062" s="14" t="s">
        <v>4532</v>
      </c>
      <c r="F1062" s="13">
        <v>16.690000000000001</v>
      </c>
      <c r="G1062" s="14" t="s">
        <v>3704</v>
      </c>
      <c r="H1062" s="13" t="s">
        <v>2973</v>
      </c>
      <c r="I1062" s="655" t="s">
        <v>4533</v>
      </c>
      <c r="J1062" s="14" t="s">
        <v>4534</v>
      </c>
      <c r="K1062" s="478">
        <v>0.91</v>
      </c>
      <c r="L1062" s="220">
        <v>11.83</v>
      </c>
      <c r="M1062" s="568" t="s">
        <v>4535</v>
      </c>
      <c r="N1062" s="479" t="s">
        <v>2937</v>
      </c>
      <c r="O1062" s="569" t="s">
        <v>2976</v>
      </c>
      <c r="P1062" s="14" t="s">
        <v>3021</v>
      </c>
      <c r="Q1062" s="486" t="s">
        <v>3022</v>
      </c>
      <c r="R1062" s="14">
        <v>4</v>
      </c>
      <c r="S1062" s="14">
        <f t="shared" si="1062"/>
        <v>0.47320000000000001</v>
      </c>
      <c r="T1062" s="220">
        <f>SUM(R1056:R1068)</f>
        <v>100</v>
      </c>
      <c r="U1062" s="14">
        <f t="shared" si="1111"/>
        <v>4</v>
      </c>
      <c r="V1062" s="220">
        <f t="shared" si="1133"/>
        <v>4</v>
      </c>
      <c r="W1062" s="14" t="s">
        <v>346</v>
      </c>
      <c r="X1062">
        <f t="shared" si="1134"/>
        <v>3.64</v>
      </c>
      <c r="Y1062" s="220" t="s">
        <v>1666</v>
      </c>
      <c r="Z1062" s="220" t="str">
        <f t="shared" ref="Z1062:AH1062" si="1139">Y1062</f>
        <v>*</v>
      </c>
      <c r="AA1062" s="792" t="str">
        <f t="shared" si="1139"/>
        <v>*</v>
      </c>
      <c r="AB1062" s="466" t="str">
        <f t="shared" si="1139"/>
        <v>*</v>
      </c>
      <c r="AC1062" s="831" t="str">
        <f t="shared" si="1139"/>
        <v>*</v>
      </c>
      <c r="AD1062" s="831" t="str">
        <f t="shared" si="1139"/>
        <v>*</v>
      </c>
      <c r="AE1062" s="454" t="str">
        <f t="shared" si="1139"/>
        <v>*</v>
      </c>
      <c r="AF1062" s="454" t="str">
        <f t="shared" si="1139"/>
        <v>*</v>
      </c>
      <c r="AG1062" s="454" t="str">
        <f t="shared" si="1139"/>
        <v>*</v>
      </c>
      <c r="AH1062" s="454" t="str">
        <f t="shared" si="1139"/>
        <v>*</v>
      </c>
    </row>
    <row r="1063" spans="1:34" ht="14.25">
      <c r="A1063" s="14" t="s">
        <v>4531</v>
      </c>
      <c r="B1063" s="24" t="s">
        <v>2768</v>
      </c>
      <c r="C1063" s="14" t="s">
        <v>2774</v>
      </c>
      <c r="D1063" s="14" t="s">
        <v>2911</v>
      </c>
      <c r="E1063" s="14" t="s">
        <v>4532</v>
      </c>
      <c r="F1063" s="13">
        <v>16.690000000000001</v>
      </c>
      <c r="G1063" s="14" t="s">
        <v>3704</v>
      </c>
      <c r="H1063" s="13" t="s">
        <v>2973</v>
      </c>
      <c r="I1063" s="655" t="s">
        <v>4533</v>
      </c>
      <c r="J1063" s="14" t="s">
        <v>4534</v>
      </c>
      <c r="K1063" s="478">
        <v>0.91</v>
      </c>
      <c r="L1063" s="220">
        <v>11.83</v>
      </c>
      <c r="M1063" s="568" t="s">
        <v>4535</v>
      </c>
      <c r="N1063" s="479" t="s">
        <v>2937</v>
      </c>
      <c r="O1063" s="569" t="s">
        <v>2976</v>
      </c>
      <c r="P1063" s="655" t="s">
        <v>2987</v>
      </c>
      <c r="Q1063" s="486" t="s">
        <v>4539</v>
      </c>
      <c r="R1063" s="14">
        <v>0.5</v>
      </c>
      <c r="S1063" s="14">
        <f t="shared" si="1062"/>
        <v>5.9150000000000001E-2</v>
      </c>
      <c r="T1063" s="220">
        <f>SUM(R1056:R1068)</f>
        <v>100</v>
      </c>
      <c r="U1063" s="14">
        <f t="shared" si="1111"/>
        <v>0.5</v>
      </c>
      <c r="V1063" s="220">
        <f t="shared" si="1133"/>
        <v>0.5</v>
      </c>
      <c r="W1063" s="14" t="s">
        <v>349</v>
      </c>
      <c r="X1063">
        <f t="shared" si="1134"/>
        <v>0.45500000000000002</v>
      </c>
      <c r="Y1063" s="220" t="s">
        <v>1666</v>
      </c>
      <c r="Z1063" s="220" t="str">
        <f t="shared" ref="Z1063:AH1063" si="1140">Y1063</f>
        <v>*</v>
      </c>
      <c r="AA1063" s="792" t="str">
        <f t="shared" si="1140"/>
        <v>*</v>
      </c>
      <c r="AB1063" s="466" t="str">
        <f t="shared" si="1140"/>
        <v>*</v>
      </c>
      <c r="AC1063" s="831" t="str">
        <f t="shared" si="1140"/>
        <v>*</v>
      </c>
      <c r="AD1063" s="831" t="str">
        <f t="shared" si="1140"/>
        <v>*</v>
      </c>
      <c r="AE1063" s="454" t="str">
        <f t="shared" si="1140"/>
        <v>*</v>
      </c>
      <c r="AF1063" s="454" t="str">
        <f t="shared" si="1140"/>
        <v>*</v>
      </c>
      <c r="AG1063" s="454" t="str">
        <f t="shared" si="1140"/>
        <v>*</v>
      </c>
      <c r="AH1063" s="454" t="str">
        <f t="shared" si="1140"/>
        <v>*</v>
      </c>
    </row>
    <row r="1064" spans="1:34" ht="14.25">
      <c r="A1064" s="14" t="s">
        <v>4531</v>
      </c>
      <c r="B1064" s="24" t="s">
        <v>2768</v>
      </c>
      <c r="C1064" s="14" t="s">
        <v>2774</v>
      </c>
      <c r="D1064" s="14" t="s">
        <v>2911</v>
      </c>
      <c r="E1064" s="14" t="s">
        <v>4532</v>
      </c>
      <c r="F1064" s="13">
        <v>16.690000000000001</v>
      </c>
      <c r="G1064" s="14" t="s">
        <v>3704</v>
      </c>
      <c r="H1064" s="13" t="s">
        <v>2973</v>
      </c>
      <c r="I1064" s="655" t="s">
        <v>4533</v>
      </c>
      <c r="J1064" s="14" t="s">
        <v>4534</v>
      </c>
      <c r="K1064" s="478">
        <v>0.91</v>
      </c>
      <c r="L1064" s="220">
        <v>11.83</v>
      </c>
      <c r="M1064" s="568" t="s">
        <v>4535</v>
      </c>
      <c r="N1064" s="479" t="s">
        <v>2937</v>
      </c>
      <c r="O1064" s="569" t="s">
        <v>2976</v>
      </c>
      <c r="P1064" s="14" t="s">
        <v>3853</v>
      </c>
      <c r="Q1064" s="486" t="s">
        <v>4540</v>
      </c>
      <c r="R1064" s="14">
        <v>2.5</v>
      </c>
      <c r="S1064" s="14">
        <f t="shared" si="1062"/>
        <v>0.29575000000000001</v>
      </c>
      <c r="T1064" s="220">
        <f>SUM(R1056:R1068)</f>
        <v>100</v>
      </c>
      <c r="U1064" s="14">
        <f t="shared" si="1111"/>
        <v>2.5</v>
      </c>
      <c r="V1064" s="220">
        <f t="shared" si="1133"/>
        <v>2.5</v>
      </c>
      <c r="W1064" s="14" t="s">
        <v>324</v>
      </c>
      <c r="X1064">
        <f t="shared" si="1134"/>
        <v>2.2749999999999999</v>
      </c>
      <c r="Y1064" s="220">
        <f>SUM(X1064,X1085)</f>
        <v>2.3169766558235168</v>
      </c>
      <c r="Z1064" s="220">
        <f>SUM(X1064,X1085)</f>
        <v>2.3169766558235168</v>
      </c>
      <c r="AA1064" s="792">
        <f>Z1064</f>
        <v>2.3169766558235168</v>
      </c>
      <c r="AB1064" s="466" t="s">
        <v>324</v>
      </c>
      <c r="AC1064" s="930" t="s">
        <v>18</v>
      </c>
      <c r="AD1064" s="930" t="s">
        <v>18</v>
      </c>
      <c r="AE1064" s="12">
        <v>1.0652903141570055E-3</v>
      </c>
      <c r="AF1064" s="12">
        <v>1.7273631840796021E-2</v>
      </c>
      <c r="AG1064" s="12">
        <v>1.3582399999999999E-4</v>
      </c>
      <c r="AH1064" s="12">
        <v>2.14E-3</v>
      </c>
    </row>
    <row r="1065" spans="1:34" ht="14.25">
      <c r="A1065" s="14" t="s">
        <v>4531</v>
      </c>
      <c r="B1065" s="24" t="s">
        <v>2768</v>
      </c>
      <c r="C1065" s="14" t="s">
        <v>2774</v>
      </c>
      <c r="D1065" s="14" t="s">
        <v>2911</v>
      </c>
      <c r="E1065" s="14" t="s">
        <v>4532</v>
      </c>
      <c r="F1065" s="13">
        <v>16.690000000000001</v>
      </c>
      <c r="G1065" s="14" t="s">
        <v>3704</v>
      </c>
      <c r="H1065" s="13" t="s">
        <v>2973</v>
      </c>
      <c r="I1065" s="655" t="s">
        <v>4533</v>
      </c>
      <c r="J1065" s="14" t="s">
        <v>4534</v>
      </c>
      <c r="K1065" s="478">
        <v>0.91</v>
      </c>
      <c r="L1065" s="220">
        <v>11.83</v>
      </c>
      <c r="M1065" s="568" t="s">
        <v>4535</v>
      </c>
      <c r="N1065" s="479" t="s">
        <v>2937</v>
      </c>
      <c r="O1065" s="569" t="s">
        <v>2976</v>
      </c>
      <c r="P1065" s="14" t="s">
        <v>330</v>
      </c>
      <c r="Q1065" s="486" t="s">
        <v>3113</v>
      </c>
      <c r="R1065" s="14">
        <v>1.5</v>
      </c>
      <c r="S1065" s="14">
        <f t="shared" si="1062"/>
        <v>0.17745</v>
      </c>
      <c r="T1065" s="220">
        <f>SUM(R1056:R1068)</f>
        <v>100</v>
      </c>
      <c r="U1065" s="14">
        <f t="shared" si="1111"/>
        <v>1.5</v>
      </c>
      <c r="V1065" s="220">
        <f t="shared" si="1133"/>
        <v>1.5</v>
      </c>
      <c r="W1065" s="14" t="s">
        <v>332</v>
      </c>
      <c r="X1065">
        <f t="shared" si="1134"/>
        <v>1.365</v>
      </c>
      <c r="Y1065" s="499">
        <f>SUM(X1065,X1084)</f>
        <v>1.4094458708719591</v>
      </c>
      <c r="Z1065" s="220">
        <f t="shared" ref="Z1065:AA1065" si="1141">Y1065</f>
        <v>1.4094458708719591</v>
      </c>
      <c r="AA1065" s="792">
        <f t="shared" si="1141"/>
        <v>1.4094458708719591</v>
      </c>
      <c r="AB1065" s="466" t="s">
        <v>332</v>
      </c>
      <c r="AC1065" s="13" t="s">
        <v>18</v>
      </c>
      <c r="AD1065" s="13" t="s">
        <v>3144</v>
      </c>
      <c r="AE1065" s="12">
        <v>2.3E-3</v>
      </c>
      <c r="AF1065" s="12">
        <v>4.7879999999999999E-2</v>
      </c>
      <c r="AG1065" s="12">
        <v>9.9999999999999995E-7</v>
      </c>
      <c r="AH1065" s="12">
        <v>4.4092488403675551E-4</v>
      </c>
    </row>
    <row r="1066" spans="1:34" ht="14.25">
      <c r="A1066" s="14" t="s">
        <v>4531</v>
      </c>
      <c r="B1066" s="24" t="s">
        <v>2768</v>
      </c>
      <c r="C1066" s="14" t="s">
        <v>2774</v>
      </c>
      <c r="D1066" s="14" t="s">
        <v>2911</v>
      </c>
      <c r="E1066" s="14" t="s">
        <v>4532</v>
      </c>
      <c r="F1066" s="13">
        <v>16.690000000000001</v>
      </c>
      <c r="G1066" s="14" t="s">
        <v>3704</v>
      </c>
      <c r="H1066" s="13" t="s">
        <v>2973</v>
      </c>
      <c r="I1066" s="655" t="s">
        <v>4533</v>
      </c>
      <c r="J1066" s="14" t="s">
        <v>4534</v>
      </c>
      <c r="K1066" s="478">
        <v>0.91</v>
      </c>
      <c r="L1066" s="220">
        <v>11.83</v>
      </c>
      <c r="M1066" s="568" t="s">
        <v>4535</v>
      </c>
      <c r="N1066" s="479" t="s">
        <v>2937</v>
      </c>
      <c r="O1066" s="569" t="s">
        <v>2976</v>
      </c>
      <c r="P1066" s="14" t="s">
        <v>83</v>
      </c>
      <c r="Q1066" s="527" t="s">
        <v>3430</v>
      </c>
      <c r="R1066" s="14">
        <v>1</v>
      </c>
      <c r="S1066" s="14">
        <f t="shared" si="1062"/>
        <v>0.1183</v>
      </c>
      <c r="T1066" s="220">
        <f>SUM(R1056:R1068)</f>
        <v>100</v>
      </c>
      <c r="U1066" s="14">
        <f t="shared" si="1111"/>
        <v>1</v>
      </c>
      <c r="V1066" s="220">
        <f t="shared" si="1133"/>
        <v>1</v>
      </c>
      <c r="W1066" s="14" t="s">
        <v>83</v>
      </c>
      <c r="X1066">
        <f t="shared" si="1134"/>
        <v>0.91</v>
      </c>
      <c r="Y1066" s="499">
        <f t="shared" ref="Y1066:AA1066" si="1142">X1066</f>
        <v>0.91</v>
      </c>
      <c r="Z1066" s="220">
        <f t="shared" si="1142"/>
        <v>0.91</v>
      </c>
      <c r="AA1066" s="792">
        <f t="shared" si="1142"/>
        <v>0.91</v>
      </c>
      <c r="AB1066" s="466" t="s">
        <v>83</v>
      </c>
      <c r="AC1066" s="14" t="s">
        <v>83</v>
      </c>
      <c r="AD1066" s="14" t="s">
        <v>2951</v>
      </c>
      <c r="AE1066" s="12">
        <v>0</v>
      </c>
      <c r="AF1066" s="12">
        <v>0</v>
      </c>
      <c r="AG1066" s="12">
        <v>0</v>
      </c>
      <c r="AH1066" s="12">
        <v>0</v>
      </c>
    </row>
    <row r="1067" spans="1:34" ht="14.25">
      <c r="A1067" s="14" t="s">
        <v>4531</v>
      </c>
      <c r="B1067" s="24" t="s">
        <v>2768</v>
      </c>
      <c r="C1067" s="14" t="s">
        <v>2774</v>
      </c>
      <c r="D1067" s="14" t="s">
        <v>2911</v>
      </c>
      <c r="E1067" s="14" t="s">
        <v>4532</v>
      </c>
      <c r="F1067" s="13">
        <v>16.690000000000001</v>
      </c>
      <c r="G1067" s="14" t="s">
        <v>3704</v>
      </c>
      <c r="H1067" s="13" t="s">
        <v>2973</v>
      </c>
      <c r="I1067" s="655" t="s">
        <v>4533</v>
      </c>
      <c r="J1067" s="14" t="s">
        <v>4534</v>
      </c>
      <c r="K1067" s="478">
        <v>0.91</v>
      </c>
      <c r="L1067" s="220">
        <v>11.83</v>
      </c>
      <c r="M1067" s="568" t="s">
        <v>4535</v>
      </c>
      <c r="N1067" s="479" t="s">
        <v>2937</v>
      </c>
      <c r="O1067" s="569" t="s">
        <v>2976</v>
      </c>
      <c r="P1067" s="14" t="s">
        <v>3048</v>
      </c>
      <c r="Q1067" s="14" t="s">
        <v>4541</v>
      </c>
      <c r="R1067" s="14">
        <v>0.25</v>
      </c>
      <c r="S1067" s="14">
        <f t="shared" si="1062"/>
        <v>2.9575000000000001E-2</v>
      </c>
      <c r="T1067" s="220">
        <f>SUM(R1056:R1068)</f>
        <v>100</v>
      </c>
      <c r="U1067" s="14">
        <f t="shared" si="1111"/>
        <v>0.25</v>
      </c>
      <c r="V1067" s="220">
        <f t="shared" si="1133"/>
        <v>0.25</v>
      </c>
      <c r="W1067" s="14" t="s">
        <v>2712</v>
      </c>
      <c r="X1067">
        <f t="shared" si="1134"/>
        <v>0.22750000000000001</v>
      </c>
      <c r="Y1067" s="499">
        <f>SUM(X1067,X1068)</f>
        <v>0.45500000000000002</v>
      </c>
      <c r="Z1067" s="220">
        <f t="shared" ref="Z1067:Z1068" si="1143">X1067</f>
        <v>0.22750000000000001</v>
      </c>
      <c r="AA1067" s="792">
        <f t="shared" ref="AA1067:AA1073" si="1144">Z1067</f>
        <v>0.22750000000000001</v>
      </c>
      <c r="AB1067" s="466" t="s">
        <v>2712</v>
      </c>
      <c r="AC1067" s="13" t="s">
        <v>878</v>
      </c>
      <c r="AD1067" s="13" t="s">
        <v>3050</v>
      </c>
      <c r="AE1067" s="12">
        <v>4.0401172748815169E-2</v>
      </c>
      <c r="AF1067" s="12">
        <v>0.11878669834123222</v>
      </c>
      <c r="AG1067" s="12">
        <v>7.919516026066351E-4</v>
      </c>
      <c r="AH1067" s="12">
        <v>7.4518613744075819E-3</v>
      </c>
    </row>
    <row r="1068" spans="1:34" ht="14.25">
      <c r="A1068" s="14" t="s">
        <v>4531</v>
      </c>
      <c r="B1068" s="24" t="s">
        <v>2768</v>
      </c>
      <c r="C1068" s="14" t="s">
        <v>2774</v>
      </c>
      <c r="D1068" s="14" t="s">
        <v>2911</v>
      </c>
      <c r="E1068" s="14" t="s">
        <v>4532</v>
      </c>
      <c r="F1068" s="13">
        <v>16.690000000000001</v>
      </c>
      <c r="G1068" s="14" t="s">
        <v>3704</v>
      </c>
      <c r="H1068" s="13" t="s">
        <v>2973</v>
      </c>
      <c r="I1068" s="848" t="s">
        <v>4533</v>
      </c>
      <c r="J1068" s="135" t="s">
        <v>4534</v>
      </c>
      <c r="K1068" s="475">
        <v>0.91</v>
      </c>
      <c r="L1068" s="476">
        <v>11.83</v>
      </c>
      <c r="M1068" s="570" t="s">
        <v>4535</v>
      </c>
      <c r="N1068" s="493" t="s">
        <v>2937</v>
      </c>
      <c r="O1068" s="571" t="s">
        <v>2976</v>
      </c>
      <c r="P1068" s="135" t="s">
        <v>2776</v>
      </c>
      <c r="Q1068" s="135" t="s">
        <v>3040</v>
      </c>
      <c r="R1068" s="135">
        <v>0.25</v>
      </c>
      <c r="S1068" s="135">
        <f t="shared" si="1062"/>
        <v>2.9575000000000001E-2</v>
      </c>
      <c r="T1068" s="476">
        <f>SUM(R1056:R1068)</f>
        <v>100</v>
      </c>
      <c r="U1068" s="135">
        <f t="shared" si="1111"/>
        <v>0.25</v>
      </c>
      <c r="V1068" s="220">
        <f t="shared" si="1133"/>
        <v>0.25</v>
      </c>
      <c r="W1068" s="135" t="s">
        <v>2776</v>
      </c>
      <c r="X1068">
        <f t="shared" si="1134"/>
        <v>0.22750000000000001</v>
      </c>
      <c r="Y1068" s="499" t="s">
        <v>1624</v>
      </c>
      <c r="Z1068" s="220">
        <f t="shared" si="1143"/>
        <v>0.22750000000000001</v>
      </c>
      <c r="AA1068" s="792">
        <f t="shared" si="1144"/>
        <v>0.22750000000000001</v>
      </c>
      <c r="AB1068" s="466" t="s">
        <v>2776</v>
      </c>
      <c r="AC1068" s="831" t="s">
        <v>2776</v>
      </c>
      <c r="AD1068" s="831" t="s">
        <v>3011</v>
      </c>
      <c r="AE1068" s="12">
        <v>1.5483515402843602E-2</v>
      </c>
      <c r="AF1068" s="12">
        <v>4.5524313981042654E-2</v>
      </c>
      <c r="AG1068" s="12">
        <v>3.0351086374407588E-4</v>
      </c>
      <c r="AH1068" s="12">
        <v>2.8558827014218014E-3</v>
      </c>
    </row>
    <row r="1069" spans="1:34" ht="14.25">
      <c r="A1069" s="14" t="s">
        <v>4531</v>
      </c>
      <c r="B1069" s="24" t="s">
        <v>2768</v>
      </c>
      <c r="C1069" s="14" t="s">
        <v>2774</v>
      </c>
      <c r="D1069" s="14" t="s">
        <v>2911</v>
      </c>
      <c r="E1069" s="14" t="s">
        <v>4532</v>
      </c>
      <c r="F1069" s="13">
        <v>16.690000000000001</v>
      </c>
      <c r="G1069" s="14" t="s">
        <v>3704</v>
      </c>
      <c r="H1069" s="13" t="s">
        <v>2973</v>
      </c>
      <c r="I1069" s="14" t="s">
        <v>4542</v>
      </c>
      <c r="J1069" s="14" t="s">
        <v>4543</v>
      </c>
      <c r="K1069" s="478">
        <v>0.09</v>
      </c>
      <c r="L1069" s="220">
        <v>4.8600000000000003</v>
      </c>
      <c r="M1069" s="568" t="s">
        <v>4544</v>
      </c>
      <c r="N1069" s="479" t="s">
        <v>2937</v>
      </c>
      <c r="O1069" s="569" t="s">
        <v>2976</v>
      </c>
      <c r="P1069" s="14" t="s">
        <v>2945</v>
      </c>
      <c r="Q1069" s="435" t="s">
        <v>2946</v>
      </c>
      <c r="R1069" s="14">
        <v>35</v>
      </c>
      <c r="S1069" s="14">
        <f t="shared" si="1062"/>
        <v>1.7010000000000003</v>
      </c>
      <c r="T1069" s="220">
        <f>SUM(R1069:R1088)</f>
        <v>98.589400000000012</v>
      </c>
      <c r="U1069">
        <f t="shared" si="1111"/>
        <v>35.500773916871381</v>
      </c>
      <c r="V1069" s="220">
        <f>U1069*100/SUM(U1069:U1073,U1075:U1088)</f>
        <v>36.235860249675412</v>
      </c>
      <c r="W1069" s="14" t="s">
        <v>433</v>
      </c>
      <c r="X1069">
        <f t="shared" si="1134"/>
        <v>3.2612274224707871</v>
      </c>
      <c r="Y1069" s="220" t="s">
        <v>1666</v>
      </c>
      <c r="Z1069" s="220" t="s">
        <v>1666</v>
      </c>
      <c r="AA1069" s="792" t="str">
        <f t="shared" si="1144"/>
        <v>*</v>
      </c>
      <c r="AB1069" s="466" t="str">
        <f t="shared" ref="AB1069:AH1069" si="1145">AA1069</f>
        <v>*</v>
      </c>
      <c r="AC1069" s="831" t="str">
        <f t="shared" si="1145"/>
        <v>*</v>
      </c>
      <c r="AD1069" s="831" t="str">
        <f t="shared" si="1145"/>
        <v>*</v>
      </c>
      <c r="AE1069" s="454" t="str">
        <f t="shared" si="1145"/>
        <v>*</v>
      </c>
      <c r="AF1069" s="454" t="str">
        <f t="shared" si="1145"/>
        <v>*</v>
      </c>
      <c r="AG1069" s="454" t="str">
        <f t="shared" si="1145"/>
        <v>*</v>
      </c>
      <c r="AH1069" s="454" t="str">
        <f t="shared" si="1145"/>
        <v>*</v>
      </c>
    </row>
    <row r="1070" spans="1:34" ht="14.25">
      <c r="A1070" s="14" t="s">
        <v>4531</v>
      </c>
      <c r="B1070" s="24" t="s">
        <v>2768</v>
      </c>
      <c r="C1070" s="14" t="s">
        <v>2774</v>
      </c>
      <c r="D1070" s="14" t="s">
        <v>2911</v>
      </c>
      <c r="E1070" s="14" t="s">
        <v>4532</v>
      </c>
      <c r="F1070" s="13">
        <v>16.690000000000001</v>
      </c>
      <c r="G1070" s="14" t="s">
        <v>3704</v>
      </c>
      <c r="H1070" s="13" t="s">
        <v>2973</v>
      </c>
      <c r="I1070" s="14" t="s">
        <v>4542</v>
      </c>
      <c r="J1070" s="14" t="s">
        <v>4543</v>
      </c>
      <c r="K1070" s="478">
        <v>0.09</v>
      </c>
      <c r="L1070" s="220">
        <v>4.8600000000000003</v>
      </c>
      <c r="M1070" s="568" t="s">
        <v>4544</v>
      </c>
      <c r="N1070" s="479" t="s">
        <v>2937</v>
      </c>
      <c r="O1070" s="569" t="s">
        <v>2976</v>
      </c>
      <c r="P1070" s="655" t="s">
        <v>3005</v>
      </c>
      <c r="Q1070" s="486" t="s">
        <v>3006</v>
      </c>
      <c r="R1070" s="14">
        <v>18</v>
      </c>
      <c r="S1070" s="14">
        <f t="shared" si="1062"/>
        <v>0.87480000000000002</v>
      </c>
      <c r="T1070" s="487">
        <f>SUM(R1069:R1088)</f>
        <v>98.589400000000012</v>
      </c>
      <c r="U1070">
        <f t="shared" si="1111"/>
        <v>18.257540871533855</v>
      </c>
      <c r="V1070" s="220">
        <f>U1070*100/SUM(U1069:U1073,U1075:U1088)</f>
        <v>18.635585271261643</v>
      </c>
      <c r="W1070" s="14" t="s">
        <v>2779</v>
      </c>
      <c r="X1070">
        <f t="shared" si="1134"/>
        <v>1.6772026744135478</v>
      </c>
      <c r="Y1070" s="220" t="s">
        <v>1666</v>
      </c>
      <c r="Z1070" s="220" t="s">
        <v>1666</v>
      </c>
      <c r="AA1070" s="792" t="str">
        <f t="shared" si="1144"/>
        <v>*</v>
      </c>
      <c r="AB1070" s="466" t="str">
        <f t="shared" ref="AB1070:AH1070" si="1146">AA1070</f>
        <v>*</v>
      </c>
      <c r="AC1070" s="831" t="str">
        <f t="shared" si="1146"/>
        <v>*</v>
      </c>
      <c r="AD1070" s="831" t="str">
        <f t="shared" si="1146"/>
        <v>*</v>
      </c>
      <c r="AE1070" s="454" t="str">
        <f t="shared" si="1146"/>
        <v>*</v>
      </c>
      <c r="AF1070" s="454" t="str">
        <f t="shared" si="1146"/>
        <v>*</v>
      </c>
      <c r="AG1070" s="454" t="str">
        <f t="shared" si="1146"/>
        <v>*</v>
      </c>
      <c r="AH1070" s="454" t="str">
        <f t="shared" si="1146"/>
        <v>*</v>
      </c>
    </row>
    <row r="1071" spans="1:34" ht="14.25">
      <c r="A1071" s="14" t="s">
        <v>4531</v>
      </c>
      <c r="B1071" s="24" t="s">
        <v>2768</v>
      </c>
      <c r="C1071" s="14" t="s">
        <v>2774</v>
      </c>
      <c r="D1071" s="14" t="s">
        <v>2911</v>
      </c>
      <c r="E1071" s="14" t="s">
        <v>4532</v>
      </c>
      <c r="F1071" s="13">
        <v>16.690000000000001</v>
      </c>
      <c r="G1071" s="14" t="s">
        <v>3704</v>
      </c>
      <c r="H1071" s="13" t="s">
        <v>2973</v>
      </c>
      <c r="I1071" s="14" t="s">
        <v>4542</v>
      </c>
      <c r="J1071" s="14" t="s">
        <v>4543</v>
      </c>
      <c r="K1071" s="478">
        <v>0.09</v>
      </c>
      <c r="L1071" s="220">
        <v>4.8600000000000003</v>
      </c>
      <c r="M1071" s="568" t="s">
        <v>4544</v>
      </c>
      <c r="N1071" s="479" t="s">
        <v>2937</v>
      </c>
      <c r="O1071" s="569" t="s">
        <v>2976</v>
      </c>
      <c r="P1071" s="14" t="s">
        <v>2962</v>
      </c>
      <c r="Q1071" s="14" t="s">
        <v>4545</v>
      </c>
      <c r="R1071" s="14">
        <v>5</v>
      </c>
      <c r="S1071" s="14">
        <f t="shared" si="1062"/>
        <v>0.24300000000000002</v>
      </c>
      <c r="T1071" s="487">
        <f>SUM(R1069:R1088)</f>
        <v>98.589400000000012</v>
      </c>
      <c r="U1071">
        <f t="shared" si="1111"/>
        <v>5.071539130981626</v>
      </c>
      <c r="V1071" s="220">
        <f>U1071*100/SUM(U1069:U1073,U1075:U1088)</f>
        <v>5.1765514642393446</v>
      </c>
      <c r="W1071" s="14" t="s">
        <v>425</v>
      </c>
      <c r="X1071">
        <f t="shared" si="1134"/>
        <v>0.46588963178154102</v>
      </c>
      <c r="Y1071" s="220" t="s">
        <v>1666</v>
      </c>
      <c r="Z1071" s="220" t="s">
        <v>1666</v>
      </c>
      <c r="AA1071" s="792" t="str">
        <f t="shared" si="1144"/>
        <v>*</v>
      </c>
      <c r="AB1071" s="466" t="str">
        <f t="shared" ref="AB1071:AH1071" si="1147">AA1071</f>
        <v>*</v>
      </c>
      <c r="AC1071" s="831" t="str">
        <f t="shared" si="1147"/>
        <v>*</v>
      </c>
      <c r="AD1071" s="831" t="str">
        <f t="shared" si="1147"/>
        <v>*</v>
      </c>
      <c r="AE1071" s="454" t="str">
        <f t="shared" si="1147"/>
        <v>*</v>
      </c>
      <c r="AF1071" s="454" t="str">
        <f t="shared" si="1147"/>
        <v>*</v>
      </c>
      <c r="AG1071" s="454" t="str">
        <f t="shared" si="1147"/>
        <v>*</v>
      </c>
      <c r="AH1071" s="454" t="str">
        <f t="shared" si="1147"/>
        <v>*</v>
      </c>
    </row>
    <row r="1072" spans="1:34" ht="14.25">
      <c r="A1072" s="14" t="s">
        <v>4531</v>
      </c>
      <c r="B1072" s="24" t="s">
        <v>2768</v>
      </c>
      <c r="C1072" s="14" t="s">
        <v>2774</v>
      </c>
      <c r="D1072" s="14" t="s">
        <v>2911</v>
      </c>
      <c r="E1072" s="14" t="s">
        <v>4532</v>
      </c>
      <c r="F1072" s="13">
        <v>16.690000000000001</v>
      </c>
      <c r="G1072" s="14" t="s">
        <v>3704</v>
      </c>
      <c r="H1072" s="13" t="s">
        <v>2973</v>
      </c>
      <c r="I1072" s="14" t="s">
        <v>4542</v>
      </c>
      <c r="J1072" s="14" t="s">
        <v>4543</v>
      </c>
      <c r="K1072" s="478">
        <v>0.09</v>
      </c>
      <c r="L1072" s="220">
        <v>4.8600000000000003</v>
      </c>
      <c r="M1072" s="568" t="s">
        <v>4544</v>
      </c>
      <c r="N1072" s="479" t="s">
        <v>2937</v>
      </c>
      <c r="O1072" s="569" t="s">
        <v>2976</v>
      </c>
      <c r="P1072" s="14" t="s">
        <v>2945</v>
      </c>
      <c r="Q1072" s="14" t="s">
        <v>4546</v>
      </c>
      <c r="R1072" s="14">
        <v>5</v>
      </c>
      <c r="S1072" s="14">
        <f t="shared" si="1062"/>
        <v>0.24300000000000002</v>
      </c>
      <c r="T1072" s="487">
        <f>SUM(R1069:R1088)</f>
        <v>98.589400000000012</v>
      </c>
      <c r="U1072">
        <f t="shared" si="1111"/>
        <v>5.071539130981626</v>
      </c>
      <c r="V1072" s="220">
        <f>U1072*100/SUM(U1069:U1073,U1075:U1088)</f>
        <v>5.1765514642393446</v>
      </c>
      <c r="W1072" s="14" t="s">
        <v>433</v>
      </c>
      <c r="X1072">
        <f t="shared" si="1134"/>
        <v>0.46588963178154102</v>
      </c>
      <c r="Y1072" s="220" t="s">
        <v>1666</v>
      </c>
      <c r="Z1072" s="220" t="s">
        <v>1666</v>
      </c>
      <c r="AA1072" s="792" t="str">
        <f t="shared" si="1144"/>
        <v>*</v>
      </c>
      <c r="AB1072" s="466" t="str">
        <f t="shared" ref="AB1072:AH1072" si="1148">AA1072</f>
        <v>*</v>
      </c>
      <c r="AC1072" s="831" t="str">
        <f t="shared" si="1148"/>
        <v>*</v>
      </c>
      <c r="AD1072" s="831" t="str">
        <f t="shared" si="1148"/>
        <v>*</v>
      </c>
      <c r="AE1072" s="454" t="str">
        <f t="shared" si="1148"/>
        <v>*</v>
      </c>
      <c r="AF1072" s="454" t="str">
        <f t="shared" si="1148"/>
        <v>*</v>
      </c>
      <c r="AG1072" s="454" t="str">
        <f t="shared" si="1148"/>
        <v>*</v>
      </c>
      <c r="AH1072" s="454" t="str">
        <f t="shared" si="1148"/>
        <v>*</v>
      </c>
    </row>
    <row r="1073" spans="1:34" ht="14.25">
      <c r="A1073" s="14" t="s">
        <v>4531</v>
      </c>
      <c r="B1073" s="24" t="s">
        <v>2768</v>
      </c>
      <c r="C1073" s="14" t="s">
        <v>2774</v>
      </c>
      <c r="D1073" s="14" t="s">
        <v>2911</v>
      </c>
      <c r="E1073" s="14" t="s">
        <v>4532</v>
      </c>
      <c r="F1073" s="13">
        <v>16.690000000000001</v>
      </c>
      <c r="G1073" s="14" t="s">
        <v>3704</v>
      </c>
      <c r="H1073" s="13" t="s">
        <v>2973</v>
      </c>
      <c r="I1073" s="14" t="s">
        <v>4542</v>
      </c>
      <c r="J1073" s="14" t="s">
        <v>4543</v>
      </c>
      <c r="K1073" s="478">
        <v>0.09</v>
      </c>
      <c r="L1073" s="220">
        <v>4.8600000000000003</v>
      </c>
      <c r="M1073" s="568" t="s">
        <v>4544</v>
      </c>
      <c r="N1073" s="479" t="s">
        <v>2937</v>
      </c>
      <c r="O1073" s="569" t="s">
        <v>2976</v>
      </c>
      <c r="P1073" s="14" t="s">
        <v>421</v>
      </c>
      <c r="Q1073" s="14" t="s">
        <v>4547</v>
      </c>
      <c r="R1073" s="14">
        <v>2.2000000000000002</v>
      </c>
      <c r="S1073" s="14">
        <f t="shared" si="1062"/>
        <v>0.10692000000000002</v>
      </c>
      <c r="T1073" s="487">
        <f>SUM(R1069:R1088)</f>
        <v>98.589400000000012</v>
      </c>
      <c r="U1073">
        <f t="shared" si="1111"/>
        <v>2.231477217631916</v>
      </c>
      <c r="V1073" s="220">
        <f>U1073*100/SUM(U1069:U1073,U1075:U1088)</f>
        <v>2.2776826442653122</v>
      </c>
      <c r="W1073" s="14" t="s">
        <v>421</v>
      </c>
      <c r="X1073">
        <f t="shared" si="1134"/>
        <v>0.20499143798387809</v>
      </c>
      <c r="Y1073" s="220" t="s">
        <v>1666</v>
      </c>
      <c r="Z1073" s="220">
        <f>X1073</f>
        <v>0.20499143798387809</v>
      </c>
      <c r="AA1073" s="792">
        <f t="shared" si="1144"/>
        <v>0.20499143798387809</v>
      </c>
      <c r="AB1073" s="18" t="s">
        <v>2777</v>
      </c>
      <c r="AC1073" s="13" t="s">
        <v>2953</v>
      </c>
      <c r="AD1073" s="13" t="s">
        <v>2954</v>
      </c>
      <c r="AE1073" s="12">
        <v>3.372204299368619E-2</v>
      </c>
      <c r="AF1073" s="12">
        <v>6.4584205812988751E-2</v>
      </c>
      <c r="AG1073" s="12">
        <v>3.9999999999999998E-6</v>
      </c>
      <c r="AH1073" s="12">
        <v>1.477309663377164E-3</v>
      </c>
    </row>
    <row r="1074" spans="1:34" ht="14.25">
      <c r="A1074" s="14" t="s">
        <v>4531</v>
      </c>
      <c r="B1074" s="24" t="s">
        <v>2768</v>
      </c>
      <c r="C1074" s="14" t="s">
        <v>2774</v>
      </c>
      <c r="D1074" s="14" t="s">
        <v>2911</v>
      </c>
      <c r="E1074" s="14" t="s">
        <v>4532</v>
      </c>
      <c r="F1074" s="13">
        <v>16.690000000000001</v>
      </c>
      <c r="G1074" s="14" t="s">
        <v>3704</v>
      </c>
      <c r="H1074" s="13" t="s">
        <v>2973</v>
      </c>
      <c r="I1074" s="14" t="s">
        <v>4542</v>
      </c>
      <c r="J1074" s="14" t="s">
        <v>4543</v>
      </c>
      <c r="K1074" s="478">
        <v>0.09</v>
      </c>
      <c r="L1074" s="220">
        <v>4.8600000000000003</v>
      </c>
      <c r="M1074" s="568" t="s">
        <v>4544</v>
      </c>
      <c r="N1074" s="479" t="s">
        <v>2937</v>
      </c>
      <c r="O1074" s="569" t="s">
        <v>2976</v>
      </c>
      <c r="P1074" s="14" t="s">
        <v>2938</v>
      </c>
      <c r="Q1074" s="14" t="s">
        <v>4548</v>
      </c>
      <c r="R1074" s="14">
        <v>2</v>
      </c>
      <c r="S1074" s="14">
        <f t="shared" si="1062"/>
        <v>9.7200000000000009E-2</v>
      </c>
      <c r="T1074" s="487">
        <f>SUM(R1069:R1088)</f>
        <v>98.589400000000012</v>
      </c>
      <c r="U1074">
        <f t="shared" si="1111"/>
        <v>2.0286156523926504</v>
      </c>
      <c r="V1074" s="470">
        <f>U1074</f>
        <v>2.0286156523926504</v>
      </c>
      <c r="W1074" s="515" t="s">
        <v>72</v>
      </c>
      <c r="X1074" s="515">
        <f t="shared" si="1134"/>
        <v>0.18257540871533853</v>
      </c>
      <c r="Y1074" s="516">
        <f t="shared" ref="Y1074:AA1074" si="1149">X1074</f>
        <v>0.18257540871533853</v>
      </c>
      <c r="Z1074" s="481">
        <f t="shared" si="1149"/>
        <v>0.18257540871533853</v>
      </c>
      <c r="AA1074" s="796">
        <f t="shared" si="1149"/>
        <v>0.18257540871533853</v>
      </c>
      <c r="AB1074" s="818" t="s">
        <v>72</v>
      </c>
      <c r="AC1074" s="541" t="s">
        <v>2938</v>
      </c>
      <c r="AD1074" s="541" t="s">
        <v>2940</v>
      </c>
      <c r="AE1074" s="464">
        <v>0</v>
      </c>
      <c r="AF1074" s="464">
        <v>0</v>
      </c>
      <c r="AG1074" s="464">
        <v>0</v>
      </c>
      <c r="AH1074" s="464">
        <v>0</v>
      </c>
    </row>
    <row r="1075" spans="1:34" ht="14.25">
      <c r="A1075" s="14" t="s">
        <v>4531</v>
      </c>
      <c r="B1075" s="24" t="s">
        <v>2768</v>
      </c>
      <c r="C1075" s="14" t="s">
        <v>2774</v>
      </c>
      <c r="D1075" s="14" t="s">
        <v>2911</v>
      </c>
      <c r="E1075" s="14" t="s">
        <v>4532</v>
      </c>
      <c r="F1075" s="13">
        <v>16.690000000000001</v>
      </c>
      <c r="G1075" s="14" t="s">
        <v>3704</v>
      </c>
      <c r="H1075" s="13" t="s">
        <v>2973</v>
      </c>
      <c r="I1075" s="14" t="s">
        <v>4542</v>
      </c>
      <c r="J1075" s="14" t="s">
        <v>4543</v>
      </c>
      <c r="K1075" s="478">
        <v>0.09</v>
      </c>
      <c r="L1075" s="220">
        <v>4.8600000000000003</v>
      </c>
      <c r="M1075" s="568" t="s">
        <v>4544</v>
      </c>
      <c r="N1075" s="479" t="s">
        <v>2937</v>
      </c>
      <c r="O1075" s="569" t="s">
        <v>2976</v>
      </c>
      <c r="P1075" s="14" t="s">
        <v>3862</v>
      </c>
      <c r="Q1075" s="486" t="s">
        <v>3863</v>
      </c>
      <c r="R1075" s="14">
        <v>1</v>
      </c>
      <c r="S1075" s="14">
        <f t="shared" si="1062"/>
        <v>4.8600000000000004E-2</v>
      </c>
      <c r="T1075" s="487">
        <f>SUM(R1069:R1088)</f>
        <v>98.589400000000012</v>
      </c>
      <c r="U1075">
        <f t="shared" si="1111"/>
        <v>1.0143078261963252</v>
      </c>
      <c r="V1075" s="220">
        <f>U1075*100/SUM(U1069:U1073,U1075:U1088)</f>
        <v>1.035310292847869</v>
      </c>
      <c r="W1075" s="14" t="s">
        <v>4161</v>
      </c>
      <c r="X1075">
        <f t="shared" si="1134"/>
        <v>9.3177926356308213E-2</v>
      </c>
      <c r="Y1075" s="499">
        <f t="shared" ref="Y1075:AA1075" si="1150">X1075</f>
        <v>9.3177926356308213E-2</v>
      </c>
      <c r="Z1075" s="220">
        <f t="shared" si="1150"/>
        <v>9.3177926356308213E-2</v>
      </c>
      <c r="AA1075" s="792">
        <f t="shared" si="1150"/>
        <v>9.3177926356308213E-2</v>
      </c>
      <c r="AB1075" s="466" t="s">
        <v>2662</v>
      </c>
      <c r="AC1075" s="13" t="s">
        <v>208</v>
      </c>
      <c r="AD1075" s="13" t="s">
        <v>3864</v>
      </c>
      <c r="AE1075" s="12">
        <v>6.399192301960112E-3</v>
      </c>
      <c r="AF1075" s="12">
        <v>0.12411340117772937</v>
      </c>
      <c r="AG1075" s="12">
        <v>9.8749999999999988E-5</v>
      </c>
      <c r="AH1075" s="12">
        <v>3.8580927353216109E-4</v>
      </c>
    </row>
    <row r="1076" spans="1:34" ht="14.25">
      <c r="A1076" s="14" t="s">
        <v>4531</v>
      </c>
      <c r="B1076" s="24" t="s">
        <v>2768</v>
      </c>
      <c r="C1076" s="14" t="s">
        <v>2774</v>
      </c>
      <c r="D1076" s="14" t="s">
        <v>2911</v>
      </c>
      <c r="E1076" s="14" t="s">
        <v>4532</v>
      </c>
      <c r="F1076" s="13">
        <v>16.690000000000001</v>
      </c>
      <c r="G1076" s="14" t="s">
        <v>3704</v>
      </c>
      <c r="H1076" s="13" t="s">
        <v>2973</v>
      </c>
      <c r="I1076" s="14" t="s">
        <v>4542</v>
      </c>
      <c r="J1076" s="14" t="s">
        <v>4543</v>
      </c>
      <c r="K1076" s="478">
        <v>0.09</v>
      </c>
      <c r="L1076" s="220">
        <v>4.8600000000000003</v>
      </c>
      <c r="M1076" s="568" t="s">
        <v>4544</v>
      </c>
      <c r="N1076" s="479" t="s">
        <v>2937</v>
      </c>
      <c r="O1076" s="569" t="s">
        <v>2976</v>
      </c>
      <c r="P1076" s="655" t="s">
        <v>3005</v>
      </c>
      <c r="Q1076" s="486" t="s">
        <v>4549</v>
      </c>
      <c r="R1076" s="14">
        <v>1</v>
      </c>
      <c r="S1076" s="14">
        <f t="shared" si="1062"/>
        <v>4.8600000000000004E-2</v>
      </c>
      <c r="T1076" s="487">
        <f>SUM(R1069:R1088)</f>
        <v>98.589400000000012</v>
      </c>
      <c r="U1076">
        <f t="shared" si="1111"/>
        <v>1.0143078261963252</v>
      </c>
      <c r="V1076" s="220">
        <f>U1076*100/SUM(U1069:U1073,U1075:U1088)</f>
        <v>1.035310292847869</v>
      </c>
      <c r="W1076" s="14" t="s">
        <v>2779</v>
      </c>
      <c r="X1076">
        <f t="shared" si="1134"/>
        <v>9.3177926356308213E-2</v>
      </c>
      <c r="Y1076" s="220" t="s">
        <v>1666</v>
      </c>
      <c r="Z1076" s="220" t="s">
        <v>1666</v>
      </c>
      <c r="AA1076" s="792" t="str">
        <f t="shared" ref="AA1076:AH1076" si="1151">Z1076</f>
        <v>*</v>
      </c>
      <c r="AB1076" s="466" t="str">
        <f t="shared" si="1151"/>
        <v>*</v>
      </c>
      <c r="AC1076" s="831" t="str">
        <f t="shared" si="1151"/>
        <v>*</v>
      </c>
      <c r="AD1076" s="831" t="str">
        <f t="shared" si="1151"/>
        <v>*</v>
      </c>
      <c r="AE1076" s="454" t="str">
        <f t="shared" si="1151"/>
        <v>*</v>
      </c>
      <c r="AF1076" s="454" t="str">
        <f t="shared" si="1151"/>
        <v>*</v>
      </c>
      <c r="AG1076" s="454" t="str">
        <f t="shared" si="1151"/>
        <v>*</v>
      </c>
      <c r="AH1076" s="454" t="str">
        <f t="shared" si="1151"/>
        <v>*</v>
      </c>
    </row>
    <row r="1077" spans="1:34" ht="14.25">
      <c r="A1077" s="14" t="s">
        <v>4531</v>
      </c>
      <c r="B1077" s="24" t="s">
        <v>2768</v>
      </c>
      <c r="C1077" s="14" t="s">
        <v>2774</v>
      </c>
      <c r="D1077" s="14" t="s">
        <v>2911</v>
      </c>
      <c r="E1077" s="14" t="s">
        <v>4532</v>
      </c>
      <c r="F1077" s="13">
        <v>16.690000000000001</v>
      </c>
      <c r="G1077" s="14" t="s">
        <v>3704</v>
      </c>
      <c r="H1077" s="13" t="s">
        <v>2973</v>
      </c>
      <c r="I1077" s="14" t="s">
        <v>4542</v>
      </c>
      <c r="J1077" s="14" t="s">
        <v>4543</v>
      </c>
      <c r="K1077" s="478">
        <v>0.09</v>
      </c>
      <c r="L1077" s="220">
        <v>4.8600000000000003</v>
      </c>
      <c r="M1077" s="568" t="s">
        <v>4544</v>
      </c>
      <c r="N1077" s="479" t="s">
        <v>2937</v>
      </c>
      <c r="O1077" s="569" t="s">
        <v>2976</v>
      </c>
      <c r="P1077" s="655" t="s">
        <v>2977</v>
      </c>
      <c r="Q1077" s="527" t="s">
        <v>2978</v>
      </c>
      <c r="R1077" s="14">
        <v>1</v>
      </c>
      <c r="S1077" s="14">
        <f t="shared" si="1062"/>
        <v>4.8600000000000004E-2</v>
      </c>
      <c r="T1077" s="487">
        <f>SUM(R1069:R1088)</f>
        <v>98.589400000000012</v>
      </c>
      <c r="U1077">
        <f t="shared" si="1111"/>
        <v>1.0143078261963252</v>
      </c>
      <c r="V1077" s="220">
        <f>U1077*100/SUM(U1069:U1073,U1075:U1088)</f>
        <v>1.035310292847869</v>
      </c>
      <c r="W1077" s="14" t="s">
        <v>227</v>
      </c>
      <c r="X1077">
        <f t="shared" si="1134"/>
        <v>9.3177926356308213E-2</v>
      </c>
      <c r="Y1077" s="220" t="s">
        <v>1666</v>
      </c>
      <c r="Z1077" s="220">
        <f>SUM(X1077,X1079)</f>
        <v>0.18635585271261643</v>
      </c>
      <c r="AA1077" s="792">
        <f t="shared" ref="AA1077:AA1080" si="1152">Z1077</f>
        <v>0.18635585271261643</v>
      </c>
      <c r="AB1077" s="18" t="s">
        <v>2530</v>
      </c>
      <c r="AC1077" s="13" t="s">
        <v>55</v>
      </c>
      <c r="AD1077" s="13" t="s">
        <v>2979</v>
      </c>
      <c r="AE1077" s="12">
        <v>2.5055367220000002E-3</v>
      </c>
      <c r="AF1077" s="12">
        <v>3.8459841414181101E-2</v>
      </c>
      <c r="AG1077" s="12">
        <v>1.1035422343324251E-4</v>
      </c>
      <c r="AH1077" s="12">
        <v>8.109653861711444E-4</v>
      </c>
    </row>
    <row r="1078" spans="1:34" ht="14.25">
      <c r="A1078" s="14" t="s">
        <v>4531</v>
      </c>
      <c r="B1078" s="24" t="s">
        <v>2768</v>
      </c>
      <c r="C1078" s="14" t="s">
        <v>2774</v>
      </c>
      <c r="D1078" s="14" t="s">
        <v>2911</v>
      </c>
      <c r="E1078" s="14" t="s">
        <v>4532</v>
      </c>
      <c r="F1078" s="13">
        <v>16.690000000000001</v>
      </c>
      <c r="G1078" s="14" t="s">
        <v>3704</v>
      </c>
      <c r="H1078" s="13" t="s">
        <v>2973</v>
      </c>
      <c r="I1078" s="14" t="s">
        <v>4542</v>
      </c>
      <c r="J1078" s="14" t="s">
        <v>4543</v>
      </c>
      <c r="K1078" s="478">
        <v>0.09</v>
      </c>
      <c r="L1078" s="220">
        <v>4.8600000000000003</v>
      </c>
      <c r="M1078" s="568" t="s">
        <v>4544</v>
      </c>
      <c r="N1078" s="479" t="s">
        <v>2937</v>
      </c>
      <c r="O1078" s="569" t="s">
        <v>2976</v>
      </c>
      <c r="P1078" s="14" t="s">
        <v>2962</v>
      </c>
      <c r="Q1078" s="435" t="s">
        <v>2963</v>
      </c>
      <c r="R1078" s="14">
        <v>1</v>
      </c>
      <c r="S1078" s="14">
        <f t="shared" si="1062"/>
        <v>4.8600000000000004E-2</v>
      </c>
      <c r="T1078" s="487">
        <f>SUM(R1069:R1088)</f>
        <v>98.589400000000012</v>
      </c>
      <c r="U1078">
        <f t="shared" si="1111"/>
        <v>1.0143078261963252</v>
      </c>
      <c r="V1078" s="220">
        <f>U1078*100/SUM(U1069:U1073,U1075:U1088)</f>
        <v>1.035310292847869</v>
      </c>
      <c r="W1078" s="14" t="s">
        <v>425</v>
      </c>
      <c r="X1078">
        <f t="shared" si="1134"/>
        <v>9.3177926356308213E-2</v>
      </c>
      <c r="Y1078" s="220" t="s">
        <v>1666</v>
      </c>
      <c r="Z1078" s="220" t="s">
        <v>1666</v>
      </c>
      <c r="AA1078" s="792" t="str">
        <f t="shared" si="1152"/>
        <v>*</v>
      </c>
      <c r="AB1078" s="466" t="str">
        <f t="shared" ref="AB1078:AH1078" si="1153">AA1078</f>
        <v>*</v>
      </c>
      <c r="AC1078" s="831" t="str">
        <f t="shared" si="1153"/>
        <v>*</v>
      </c>
      <c r="AD1078" s="831" t="str">
        <f t="shared" si="1153"/>
        <v>*</v>
      </c>
      <c r="AE1078" s="454" t="str">
        <f t="shared" si="1153"/>
        <v>*</v>
      </c>
      <c r="AF1078" s="454" t="str">
        <f t="shared" si="1153"/>
        <v>*</v>
      </c>
      <c r="AG1078" s="454" t="str">
        <f t="shared" si="1153"/>
        <v>*</v>
      </c>
      <c r="AH1078" s="454" t="str">
        <f t="shared" si="1153"/>
        <v>*</v>
      </c>
    </row>
    <row r="1079" spans="1:34" ht="14.25">
      <c r="A1079" s="14" t="s">
        <v>4531</v>
      </c>
      <c r="B1079" s="24" t="s">
        <v>2768</v>
      </c>
      <c r="C1079" s="14" t="s">
        <v>2774</v>
      </c>
      <c r="D1079" s="14" t="s">
        <v>2911</v>
      </c>
      <c r="E1079" s="14" t="s">
        <v>4532</v>
      </c>
      <c r="F1079" s="13">
        <v>16.690000000000001</v>
      </c>
      <c r="G1079" s="14" t="s">
        <v>3704</v>
      </c>
      <c r="H1079" s="13" t="s">
        <v>2973</v>
      </c>
      <c r="I1079" s="14" t="s">
        <v>4542</v>
      </c>
      <c r="J1079" s="14" t="s">
        <v>4543</v>
      </c>
      <c r="K1079" s="478">
        <v>0.09</v>
      </c>
      <c r="L1079" s="220">
        <v>4.8600000000000003</v>
      </c>
      <c r="M1079" s="568" t="s">
        <v>4544</v>
      </c>
      <c r="N1079" s="479" t="s">
        <v>2937</v>
      </c>
      <c r="O1079" s="569" t="s">
        <v>2976</v>
      </c>
      <c r="P1079" s="655" t="s">
        <v>2977</v>
      </c>
      <c r="Q1079" s="486" t="s">
        <v>4550</v>
      </c>
      <c r="R1079" s="14">
        <v>1</v>
      </c>
      <c r="S1079" s="14">
        <f t="shared" si="1062"/>
        <v>4.8600000000000004E-2</v>
      </c>
      <c r="T1079" s="487">
        <f>SUM(R1069:R1088)</f>
        <v>98.589400000000012</v>
      </c>
      <c r="U1079">
        <f t="shared" si="1111"/>
        <v>1.0143078261963252</v>
      </c>
      <c r="V1079" s="220">
        <f>U1079*100/SUM(U1069:U1073,U1075:U1088)</f>
        <v>1.035310292847869</v>
      </c>
      <c r="W1079" s="14" t="s">
        <v>227</v>
      </c>
      <c r="X1079">
        <f t="shared" si="1134"/>
        <v>9.3177926356308213E-2</v>
      </c>
      <c r="Y1079" s="220" t="s">
        <v>1666</v>
      </c>
      <c r="Z1079" s="220" t="s">
        <v>1666</v>
      </c>
      <c r="AA1079" s="792" t="str">
        <f t="shared" si="1152"/>
        <v>*</v>
      </c>
      <c r="AB1079" s="466" t="str">
        <f t="shared" ref="AB1079:AH1079" si="1154">AA1079</f>
        <v>*</v>
      </c>
      <c r="AC1079" s="831" t="str">
        <f t="shared" si="1154"/>
        <v>*</v>
      </c>
      <c r="AD1079" s="831" t="str">
        <f t="shared" si="1154"/>
        <v>*</v>
      </c>
      <c r="AE1079" s="454" t="str">
        <f t="shared" si="1154"/>
        <v>*</v>
      </c>
      <c r="AF1079" s="454" t="str">
        <f t="shared" si="1154"/>
        <v>*</v>
      </c>
      <c r="AG1079" s="454" t="str">
        <f t="shared" si="1154"/>
        <v>*</v>
      </c>
      <c r="AH1079" s="454" t="str">
        <f t="shared" si="1154"/>
        <v>*</v>
      </c>
    </row>
    <row r="1080" spans="1:34" ht="14.25">
      <c r="A1080" s="14" t="s">
        <v>4531</v>
      </c>
      <c r="B1080" s="24" t="s">
        <v>2768</v>
      </c>
      <c r="C1080" s="14" t="s">
        <v>2774</v>
      </c>
      <c r="D1080" s="14" t="s">
        <v>2911</v>
      </c>
      <c r="E1080" s="14" t="s">
        <v>4532</v>
      </c>
      <c r="F1080" s="13">
        <v>16.690000000000001</v>
      </c>
      <c r="G1080" s="14" t="s">
        <v>3704</v>
      </c>
      <c r="H1080" s="13" t="s">
        <v>2973</v>
      </c>
      <c r="I1080" s="14" t="s">
        <v>4542</v>
      </c>
      <c r="J1080" s="14" t="s">
        <v>4543</v>
      </c>
      <c r="K1080" s="478">
        <v>0.09</v>
      </c>
      <c r="L1080" s="220">
        <v>4.8600000000000003</v>
      </c>
      <c r="M1080" s="568" t="s">
        <v>4544</v>
      </c>
      <c r="N1080" s="479" t="s">
        <v>2937</v>
      </c>
      <c r="O1080" s="569" t="s">
        <v>2976</v>
      </c>
      <c r="P1080" s="14" t="s">
        <v>2945</v>
      </c>
      <c r="Q1080" s="14" t="s">
        <v>4551</v>
      </c>
      <c r="R1080" s="14">
        <v>0.5</v>
      </c>
      <c r="S1080" s="14">
        <f t="shared" si="1062"/>
        <v>2.4300000000000002E-2</v>
      </c>
      <c r="T1080" s="487">
        <f>SUM(R1069:R1088)</f>
        <v>98.589400000000012</v>
      </c>
      <c r="U1080">
        <f t="shared" si="1111"/>
        <v>0.5071539130981626</v>
      </c>
      <c r="V1080" s="220">
        <f>U1080*100/SUM(U1069:U1073,U1075:U1088)</f>
        <v>0.51765514642393451</v>
      </c>
      <c r="W1080" s="14" t="s">
        <v>433</v>
      </c>
      <c r="X1080">
        <f t="shared" si="1134"/>
        <v>4.6588963178154107E-2</v>
      </c>
      <c r="Y1080" s="220" t="s">
        <v>1666</v>
      </c>
      <c r="Z1080" s="220" t="s">
        <v>1666</v>
      </c>
      <c r="AA1080" s="792" t="str">
        <f t="shared" si="1152"/>
        <v>*</v>
      </c>
      <c r="AB1080" s="466" t="str">
        <f t="shared" ref="AB1080:AH1080" si="1155">AA1080</f>
        <v>*</v>
      </c>
      <c r="AC1080" s="831" t="str">
        <f t="shared" si="1155"/>
        <v>*</v>
      </c>
      <c r="AD1080" s="831" t="str">
        <f t="shared" si="1155"/>
        <v>*</v>
      </c>
      <c r="AE1080" s="454" t="str">
        <f t="shared" si="1155"/>
        <v>*</v>
      </c>
      <c r="AF1080" s="454" t="str">
        <f t="shared" si="1155"/>
        <v>*</v>
      </c>
      <c r="AG1080" s="454" t="str">
        <f t="shared" si="1155"/>
        <v>*</v>
      </c>
      <c r="AH1080" s="454" t="str">
        <f t="shared" si="1155"/>
        <v>*</v>
      </c>
    </row>
    <row r="1081" spans="1:34" ht="14.25">
      <c r="A1081" s="14" t="s">
        <v>4531</v>
      </c>
      <c r="B1081" s="24" t="s">
        <v>2768</v>
      </c>
      <c r="C1081" s="14" t="s">
        <v>2774</v>
      </c>
      <c r="D1081" s="14" t="s">
        <v>2911</v>
      </c>
      <c r="E1081" s="14" t="s">
        <v>4532</v>
      </c>
      <c r="F1081" s="13">
        <v>16.690000000000001</v>
      </c>
      <c r="G1081" s="14" t="s">
        <v>3704</v>
      </c>
      <c r="H1081" s="13" t="s">
        <v>2973</v>
      </c>
      <c r="I1081" s="14" t="s">
        <v>4542</v>
      </c>
      <c r="J1081" s="14" t="s">
        <v>4543</v>
      </c>
      <c r="K1081" s="478">
        <v>0.09</v>
      </c>
      <c r="L1081" s="220">
        <v>4.8600000000000003</v>
      </c>
      <c r="M1081" s="568" t="s">
        <v>4544</v>
      </c>
      <c r="N1081" s="479" t="s">
        <v>2937</v>
      </c>
      <c r="O1081" s="569" t="s">
        <v>2976</v>
      </c>
      <c r="P1081" s="655" t="s">
        <v>2987</v>
      </c>
      <c r="Q1081" s="491" t="s">
        <v>2981</v>
      </c>
      <c r="R1081" s="14">
        <v>8</v>
      </c>
      <c r="S1081" s="14">
        <f t="shared" si="1062"/>
        <v>0.38880000000000003</v>
      </c>
      <c r="T1081" s="487">
        <f>SUM(R1069:R1088)</f>
        <v>98.589400000000012</v>
      </c>
      <c r="U1081">
        <f t="shared" si="1111"/>
        <v>8.1144626095706016</v>
      </c>
      <c r="V1081" s="220">
        <f>U1081*100/SUM(U1069:U1073,U1075:U1088)</f>
        <v>8.2824823427829521</v>
      </c>
      <c r="W1081" s="14" t="s">
        <v>349</v>
      </c>
      <c r="X1081">
        <f t="shared" si="1134"/>
        <v>0.74542341085046571</v>
      </c>
      <c r="Y1081" s="220" t="s">
        <v>1666</v>
      </c>
      <c r="Z1081" s="220" t="str">
        <f t="shared" ref="Z1081:AH1081" si="1156">Y1081</f>
        <v>*</v>
      </c>
      <c r="AA1081" s="792" t="str">
        <f t="shared" si="1156"/>
        <v>*</v>
      </c>
      <c r="AB1081" s="466" t="str">
        <f t="shared" si="1156"/>
        <v>*</v>
      </c>
      <c r="AC1081" s="831" t="str">
        <f t="shared" si="1156"/>
        <v>*</v>
      </c>
      <c r="AD1081" s="831" t="str">
        <f t="shared" si="1156"/>
        <v>*</v>
      </c>
      <c r="AE1081" s="454" t="str">
        <f t="shared" si="1156"/>
        <v>*</v>
      </c>
      <c r="AF1081" s="454" t="str">
        <f t="shared" si="1156"/>
        <v>*</v>
      </c>
      <c r="AG1081" s="454" t="str">
        <f t="shared" si="1156"/>
        <v>*</v>
      </c>
      <c r="AH1081" s="454" t="str">
        <f t="shared" si="1156"/>
        <v>*</v>
      </c>
    </row>
    <row r="1082" spans="1:34" ht="14.25">
      <c r="A1082" s="14" t="s">
        <v>4531</v>
      </c>
      <c r="B1082" s="24" t="s">
        <v>2768</v>
      </c>
      <c r="C1082" s="14" t="s">
        <v>2774</v>
      </c>
      <c r="D1082" s="14" t="s">
        <v>2911</v>
      </c>
      <c r="E1082" s="14" t="s">
        <v>4532</v>
      </c>
      <c r="F1082" s="13">
        <v>16.690000000000001</v>
      </c>
      <c r="G1082" s="14" t="s">
        <v>3704</v>
      </c>
      <c r="H1082" s="13" t="s">
        <v>2973</v>
      </c>
      <c r="I1082" s="14" t="s">
        <v>4542</v>
      </c>
      <c r="J1082" s="14" t="s">
        <v>4543</v>
      </c>
      <c r="K1082" s="478">
        <v>0.09</v>
      </c>
      <c r="L1082" s="220">
        <v>4.8600000000000003</v>
      </c>
      <c r="M1082" s="568" t="s">
        <v>4544</v>
      </c>
      <c r="N1082" s="479" t="s">
        <v>2937</v>
      </c>
      <c r="O1082" s="569" t="s">
        <v>2976</v>
      </c>
      <c r="P1082" s="489" t="s">
        <v>4121</v>
      </c>
      <c r="Q1082" s="563" t="s">
        <v>4552</v>
      </c>
      <c r="R1082" s="14">
        <f>5.3*0.72</f>
        <v>3.8159999999999998</v>
      </c>
      <c r="S1082" s="14">
        <f t="shared" si="1062"/>
        <v>0.1854576</v>
      </c>
      <c r="T1082" s="487">
        <f>SUM(R1069:R1088)</f>
        <v>98.589400000000012</v>
      </c>
      <c r="U1082">
        <f t="shared" si="1111"/>
        <v>3.8705986647651769</v>
      </c>
      <c r="V1082" s="220">
        <f>U1082*100/SUM(U1069:U1073,U1075:U1088)</f>
        <v>3.9507440775074678</v>
      </c>
      <c r="W1082" s="14" t="s">
        <v>346</v>
      </c>
      <c r="X1082">
        <f t="shared" si="1134"/>
        <v>0.35556696697567208</v>
      </c>
      <c r="Y1082" s="220" t="s">
        <v>1666</v>
      </c>
      <c r="Z1082" s="220" t="str">
        <f t="shared" ref="Z1082:AH1082" si="1157">Y1082</f>
        <v>*</v>
      </c>
      <c r="AA1082" s="792" t="str">
        <f t="shared" si="1157"/>
        <v>*</v>
      </c>
      <c r="AB1082" s="466" t="str">
        <f t="shared" si="1157"/>
        <v>*</v>
      </c>
      <c r="AC1082" s="831" t="str">
        <f t="shared" si="1157"/>
        <v>*</v>
      </c>
      <c r="AD1082" s="831" t="str">
        <f t="shared" si="1157"/>
        <v>*</v>
      </c>
      <c r="AE1082" s="454" t="str">
        <f t="shared" si="1157"/>
        <v>*</v>
      </c>
      <c r="AF1082" s="454" t="str">
        <f t="shared" si="1157"/>
        <v>*</v>
      </c>
      <c r="AG1082" s="454" t="str">
        <f t="shared" si="1157"/>
        <v>*</v>
      </c>
      <c r="AH1082" s="454" t="str">
        <f t="shared" si="1157"/>
        <v>*</v>
      </c>
    </row>
    <row r="1083" spans="1:34" ht="14.25">
      <c r="A1083" s="14" t="s">
        <v>4531</v>
      </c>
      <c r="B1083" s="24" t="s">
        <v>2768</v>
      </c>
      <c r="C1083" s="14" t="s">
        <v>2774</v>
      </c>
      <c r="D1083" s="14" t="s">
        <v>2911</v>
      </c>
      <c r="E1083" s="14" t="s">
        <v>4532</v>
      </c>
      <c r="F1083" s="13">
        <v>16.690000000000001</v>
      </c>
      <c r="G1083" s="14" t="s">
        <v>3704</v>
      </c>
      <c r="H1083" s="13" t="s">
        <v>2973</v>
      </c>
      <c r="I1083" s="14" t="s">
        <v>4542</v>
      </c>
      <c r="J1083" s="14" t="s">
        <v>4543</v>
      </c>
      <c r="K1083" s="478">
        <v>0.09</v>
      </c>
      <c r="L1083" s="220">
        <v>4.8600000000000003</v>
      </c>
      <c r="M1083" s="568" t="s">
        <v>4544</v>
      </c>
      <c r="N1083" s="479" t="s">
        <v>2937</v>
      </c>
      <c r="O1083" s="569" t="s">
        <v>2976</v>
      </c>
      <c r="P1083" s="14" t="s">
        <v>4121</v>
      </c>
      <c r="Q1083" s="486" t="s">
        <v>4553</v>
      </c>
      <c r="R1083" s="14">
        <f>5.3*0.103</f>
        <v>0.54589999999999994</v>
      </c>
      <c r="S1083" s="14">
        <f t="shared" si="1062"/>
        <v>2.6530740000000001E-2</v>
      </c>
      <c r="T1083" s="487">
        <f>SUM(R1069:R1088)</f>
        <v>98.589400000000012</v>
      </c>
      <c r="U1083">
        <f t="shared" si="1111"/>
        <v>0.55371064232057388</v>
      </c>
      <c r="V1083" s="220">
        <f>U1083*100/SUM(U1069:U1073,U1075:U1088)</f>
        <v>0.56517588886565151</v>
      </c>
      <c r="W1083" s="14" t="s">
        <v>349</v>
      </c>
      <c r="X1083">
        <f t="shared" si="1134"/>
        <v>5.0865829997908632E-2</v>
      </c>
      <c r="Y1083" s="220" t="s">
        <v>1666</v>
      </c>
      <c r="Z1083" s="220" t="str">
        <f t="shared" ref="Z1083:AH1083" si="1158">Y1083</f>
        <v>*</v>
      </c>
      <c r="AA1083" s="792" t="str">
        <f t="shared" si="1158"/>
        <v>*</v>
      </c>
      <c r="AB1083" s="466" t="str">
        <f t="shared" si="1158"/>
        <v>*</v>
      </c>
      <c r="AC1083" s="831" t="str">
        <f t="shared" si="1158"/>
        <v>*</v>
      </c>
      <c r="AD1083" s="831" t="str">
        <f t="shared" si="1158"/>
        <v>*</v>
      </c>
      <c r="AE1083" s="454" t="str">
        <f t="shared" si="1158"/>
        <v>*</v>
      </c>
      <c r="AF1083" s="454" t="str">
        <f t="shared" si="1158"/>
        <v>*</v>
      </c>
      <c r="AG1083" s="454" t="str">
        <f t="shared" si="1158"/>
        <v>*</v>
      </c>
      <c r="AH1083" s="454" t="str">
        <f t="shared" si="1158"/>
        <v>*</v>
      </c>
    </row>
    <row r="1084" spans="1:34" ht="14.25">
      <c r="A1084" s="14" t="s">
        <v>4531</v>
      </c>
      <c r="B1084" s="24" t="s">
        <v>2768</v>
      </c>
      <c r="C1084" s="14" t="s">
        <v>2774</v>
      </c>
      <c r="D1084" s="14" t="s">
        <v>2911</v>
      </c>
      <c r="E1084" s="14" t="s">
        <v>4532</v>
      </c>
      <c r="F1084" s="13">
        <v>16.690000000000001</v>
      </c>
      <c r="G1084" s="14" t="s">
        <v>3704</v>
      </c>
      <c r="H1084" s="13" t="s">
        <v>2973</v>
      </c>
      <c r="I1084" s="14" t="s">
        <v>4542</v>
      </c>
      <c r="J1084" s="14" t="s">
        <v>4543</v>
      </c>
      <c r="K1084" s="478">
        <v>0.09</v>
      </c>
      <c r="L1084" s="220">
        <v>4.8600000000000003</v>
      </c>
      <c r="M1084" s="568" t="s">
        <v>4544</v>
      </c>
      <c r="N1084" s="479" t="s">
        <v>2937</v>
      </c>
      <c r="O1084" s="569" t="s">
        <v>2976</v>
      </c>
      <c r="P1084" s="14" t="s">
        <v>4121</v>
      </c>
      <c r="Q1084" s="486" t="s">
        <v>4554</v>
      </c>
      <c r="R1084" s="14">
        <f>5.3*0.09</f>
        <v>0.47699999999999998</v>
      </c>
      <c r="S1084" s="14">
        <f t="shared" si="1062"/>
        <v>2.31822E-2</v>
      </c>
      <c r="T1084" s="487">
        <f>SUM(R1069:R1088)</f>
        <v>98.589400000000012</v>
      </c>
      <c r="U1084">
        <f t="shared" si="1111"/>
        <v>0.48382483309564711</v>
      </c>
      <c r="V1084" s="220">
        <f>U1084*100/SUM(U1069:U1073,U1075:U1088)</f>
        <v>0.49384300968843348</v>
      </c>
      <c r="W1084" s="14" t="s">
        <v>337</v>
      </c>
      <c r="X1084">
        <f t="shared" si="1134"/>
        <v>4.444587087195901E-2</v>
      </c>
      <c r="Y1084" s="220" t="s">
        <v>1624</v>
      </c>
      <c r="Z1084" s="220" t="s">
        <v>1666</v>
      </c>
      <c r="AA1084" s="792" t="str">
        <f t="shared" ref="AA1084:AH1084" si="1159">Z1084</f>
        <v>*</v>
      </c>
      <c r="AB1084" s="466" t="str">
        <f t="shared" si="1159"/>
        <v>*</v>
      </c>
      <c r="AC1084" s="831" t="str">
        <f t="shared" si="1159"/>
        <v>*</v>
      </c>
      <c r="AD1084" s="831" t="str">
        <f t="shared" si="1159"/>
        <v>*</v>
      </c>
      <c r="AE1084" s="454" t="str">
        <f t="shared" si="1159"/>
        <v>*</v>
      </c>
      <c r="AF1084" s="454" t="str">
        <f t="shared" si="1159"/>
        <v>*</v>
      </c>
      <c r="AG1084" s="454" t="str">
        <f t="shared" si="1159"/>
        <v>*</v>
      </c>
      <c r="AH1084" s="454" t="str">
        <f t="shared" si="1159"/>
        <v>*</v>
      </c>
    </row>
    <row r="1085" spans="1:34" ht="14.25">
      <c r="A1085" s="14" t="s">
        <v>4531</v>
      </c>
      <c r="B1085" s="24" t="s">
        <v>2768</v>
      </c>
      <c r="C1085" s="14" t="s">
        <v>2774</v>
      </c>
      <c r="D1085" s="14" t="s">
        <v>2911</v>
      </c>
      <c r="E1085" s="14" t="s">
        <v>4532</v>
      </c>
      <c r="F1085" s="13">
        <v>16.690000000000001</v>
      </c>
      <c r="G1085" s="14" t="s">
        <v>3704</v>
      </c>
      <c r="H1085" s="13" t="s">
        <v>2973</v>
      </c>
      <c r="I1085" s="14" t="s">
        <v>4542</v>
      </c>
      <c r="J1085" s="14" t="s">
        <v>4543</v>
      </c>
      <c r="K1085" s="478">
        <v>0.09</v>
      </c>
      <c r="L1085" s="220">
        <v>4.8600000000000003</v>
      </c>
      <c r="M1085" s="568" t="s">
        <v>4544</v>
      </c>
      <c r="N1085" s="479" t="s">
        <v>2937</v>
      </c>
      <c r="O1085" s="569" t="s">
        <v>2976</v>
      </c>
      <c r="P1085" s="490" t="s">
        <v>4121</v>
      </c>
      <c r="Q1085" s="491" t="s">
        <v>4555</v>
      </c>
      <c r="R1085" s="14">
        <f>5.3*0.085</f>
        <v>0.45050000000000001</v>
      </c>
      <c r="S1085" s="14">
        <f t="shared" si="1062"/>
        <v>2.1894300000000002E-2</v>
      </c>
      <c r="T1085" s="487">
        <f>SUM(R1069:R1088)</f>
        <v>98.589400000000012</v>
      </c>
      <c r="U1085">
        <f t="shared" si="1111"/>
        <v>0.45694567570144456</v>
      </c>
      <c r="V1085" s="220">
        <f>U1085*100/SUM(U1069:U1073,U1075:U1088)</f>
        <v>0.46640728692796501</v>
      </c>
      <c r="W1085" s="14" t="s">
        <v>2521</v>
      </c>
      <c r="X1085">
        <f t="shared" si="1134"/>
        <v>4.1976655823516847E-2</v>
      </c>
      <c r="Y1085" s="220" t="s">
        <v>1624</v>
      </c>
      <c r="Z1085" s="220" t="s">
        <v>1666</v>
      </c>
      <c r="AA1085" s="792" t="str">
        <f t="shared" ref="AA1085:AH1085" si="1160">Z1085</f>
        <v>*</v>
      </c>
      <c r="AB1085" s="466" t="str">
        <f t="shared" si="1160"/>
        <v>*</v>
      </c>
      <c r="AC1085" s="831" t="str">
        <f t="shared" si="1160"/>
        <v>*</v>
      </c>
      <c r="AD1085" s="831" t="str">
        <f t="shared" si="1160"/>
        <v>*</v>
      </c>
      <c r="AE1085" s="454" t="str">
        <f t="shared" si="1160"/>
        <v>*</v>
      </c>
      <c r="AF1085" s="454" t="str">
        <f t="shared" si="1160"/>
        <v>*</v>
      </c>
      <c r="AG1085" s="454" t="str">
        <f t="shared" si="1160"/>
        <v>*</v>
      </c>
      <c r="AH1085" s="454" t="str">
        <f t="shared" si="1160"/>
        <v>*</v>
      </c>
    </row>
    <row r="1086" spans="1:34" ht="14.25">
      <c r="A1086" s="14" t="s">
        <v>4531</v>
      </c>
      <c r="B1086" s="24" t="s">
        <v>2768</v>
      </c>
      <c r="C1086" s="14" t="s">
        <v>2774</v>
      </c>
      <c r="D1086" s="14" t="s">
        <v>2911</v>
      </c>
      <c r="E1086" s="14" t="s">
        <v>4532</v>
      </c>
      <c r="F1086" s="13">
        <v>16.690000000000001</v>
      </c>
      <c r="G1086" s="14" t="s">
        <v>3704</v>
      </c>
      <c r="H1086" s="13" t="s">
        <v>2973</v>
      </c>
      <c r="I1086" s="14" t="s">
        <v>4542</v>
      </c>
      <c r="J1086" s="14" t="s">
        <v>4543</v>
      </c>
      <c r="K1086" s="478">
        <v>0.09</v>
      </c>
      <c r="L1086" s="220">
        <v>4.8600000000000003</v>
      </c>
      <c r="M1086" s="568" t="s">
        <v>4544</v>
      </c>
      <c r="N1086" s="479" t="s">
        <v>2937</v>
      </c>
      <c r="O1086" s="569" t="s">
        <v>2976</v>
      </c>
      <c r="P1086" s="14" t="s">
        <v>3072</v>
      </c>
      <c r="Q1086" s="14" t="s">
        <v>3073</v>
      </c>
      <c r="R1086" s="14">
        <v>0.5</v>
      </c>
      <c r="S1086" s="14">
        <f t="shared" si="1062"/>
        <v>2.4300000000000002E-2</v>
      </c>
      <c r="T1086" s="487">
        <f>SUM(R1069:R1088)</f>
        <v>98.589400000000012</v>
      </c>
      <c r="U1086">
        <f t="shared" si="1111"/>
        <v>0.5071539130981626</v>
      </c>
      <c r="V1086" s="220">
        <f>U1086*100/SUM(U1069:U1073,U1075:U1088)</f>
        <v>0.51765514642393451</v>
      </c>
      <c r="W1086" s="14" t="s">
        <v>343</v>
      </c>
      <c r="X1086">
        <f t="shared" si="1134"/>
        <v>4.6588963178154107E-2</v>
      </c>
      <c r="Y1086" s="220" t="s">
        <v>1666</v>
      </c>
      <c r="Z1086" s="220" t="s">
        <v>1666</v>
      </c>
      <c r="AA1086" s="792" t="str">
        <f t="shared" ref="AA1086:AH1086" si="1161">Z1086</f>
        <v>*</v>
      </c>
      <c r="AB1086" s="466" t="str">
        <f t="shared" si="1161"/>
        <v>*</v>
      </c>
      <c r="AC1086" s="831" t="str">
        <f t="shared" si="1161"/>
        <v>*</v>
      </c>
      <c r="AD1086" s="831" t="str">
        <f t="shared" si="1161"/>
        <v>*</v>
      </c>
      <c r="AE1086" s="454" t="str">
        <f t="shared" si="1161"/>
        <v>*</v>
      </c>
      <c r="AF1086" s="454" t="str">
        <f t="shared" si="1161"/>
        <v>*</v>
      </c>
      <c r="AG1086" s="454" t="str">
        <f t="shared" si="1161"/>
        <v>*</v>
      </c>
      <c r="AH1086" s="454" t="str">
        <f t="shared" si="1161"/>
        <v>*</v>
      </c>
    </row>
    <row r="1087" spans="1:34" ht="14.25">
      <c r="A1087" s="14" t="s">
        <v>4531</v>
      </c>
      <c r="B1087" s="24" t="s">
        <v>2768</v>
      </c>
      <c r="C1087" s="14" t="s">
        <v>2774</v>
      </c>
      <c r="D1087" s="14" t="s">
        <v>2911</v>
      </c>
      <c r="E1087" s="14" t="s">
        <v>4532</v>
      </c>
      <c r="F1087" s="13">
        <v>16.690000000000001</v>
      </c>
      <c r="G1087" s="14" t="s">
        <v>3704</v>
      </c>
      <c r="H1087" s="13" t="s">
        <v>2973</v>
      </c>
      <c r="I1087" s="14" t="s">
        <v>4542</v>
      </c>
      <c r="J1087" s="14" t="s">
        <v>4543</v>
      </c>
      <c r="K1087" s="478">
        <v>0.09</v>
      </c>
      <c r="L1087" s="220">
        <v>4.8600000000000003</v>
      </c>
      <c r="M1087" s="568" t="s">
        <v>4544</v>
      </c>
      <c r="N1087" s="479" t="s">
        <v>2937</v>
      </c>
      <c r="O1087" s="569" t="s">
        <v>2976</v>
      </c>
      <c r="P1087" s="14" t="s">
        <v>139</v>
      </c>
      <c r="Q1087" s="14" t="s">
        <v>3020</v>
      </c>
      <c r="R1087" s="14">
        <v>10.5</v>
      </c>
      <c r="S1087" s="14">
        <f t="shared" si="1062"/>
        <v>0.51029999999999998</v>
      </c>
      <c r="T1087" s="487">
        <f>SUM(R1069:R1088)</f>
        <v>98.589400000000012</v>
      </c>
      <c r="U1087">
        <f t="shared" si="1111"/>
        <v>10.650232175061415</v>
      </c>
      <c r="V1087" s="220">
        <f>U1087*100/SUM(U1069:U1073,U1075:U1088)</f>
        <v>10.870758074902623</v>
      </c>
      <c r="W1087" s="14" t="s">
        <v>139</v>
      </c>
      <c r="X1087">
        <f t="shared" si="1134"/>
        <v>0.97836822674123602</v>
      </c>
      <c r="Y1087" s="499">
        <f t="shared" ref="Y1087:AA1087" si="1162">X1087</f>
        <v>0.97836822674123602</v>
      </c>
      <c r="Z1087" s="220">
        <f t="shared" si="1162"/>
        <v>0.97836822674123602</v>
      </c>
      <c r="AA1087" s="792">
        <f t="shared" si="1162"/>
        <v>0.97836822674123602</v>
      </c>
      <c r="AB1087" s="18" t="s">
        <v>139</v>
      </c>
      <c r="AC1087" s="13" t="s">
        <v>138</v>
      </c>
      <c r="AD1087" s="13" t="s">
        <v>3019</v>
      </c>
      <c r="AE1087" s="12">
        <v>4.0165275294130297E-3</v>
      </c>
      <c r="AF1087" s="12">
        <v>3.2725331200335404E-2</v>
      </c>
      <c r="AG1087" s="12">
        <v>2.4399999999999999E-4</v>
      </c>
      <c r="AH1087" s="12">
        <v>2.0392735E-3</v>
      </c>
    </row>
    <row r="1088" spans="1:34" ht="14.25">
      <c r="A1088" s="617" t="s">
        <v>4531</v>
      </c>
      <c r="B1088" s="794" t="s">
        <v>2768</v>
      </c>
      <c r="C1088" s="617" t="s">
        <v>2774</v>
      </c>
      <c r="D1088" s="617" t="s">
        <v>2911</v>
      </c>
      <c r="E1088" s="617" t="s">
        <v>4532</v>
      </c>
      <c r="F1088" s="799">
        <v>16.690000000000001</v>
      </c>
      <c r="G1088" s="617" t="s">
        <v>3704</v>
      </c>
      <c r="H1088" s="799" t="s">
        <v>2973</v>
      </c>
      <c r="I1088" s="617" t="s">
        <v>4542</v>
      </c>
      <c r="J1088" s="617" t="s">
        <v>4543</v>
      </c>
      <c r="K1088" s="838">
        <v>0.09</v>
      </c>
      <c r="L1088" s="725">
        <v>4.8600000000000003</v>
      </c>
      <c r="M1088" s="911" t="s">
        <v>4544</v>
      </c>
      <c r="N1088" s="841" t="s">
        <v>2937</v>
      </c>
      <c r="O1088" s="912" t="s">
        <v>2976</v>
      </c>
      <c r="P1088" s="617" t="s">
        <v>3021</v>
      </c>
      <c r="Q1088" s="486" t="s">
        <v>3022</v>
      </c>
      <c r="R1088" s="617">
        <v>1.6</v>
      </c>
      <c r="S1088" s="617">
        <f t="shared" si="1062"/>
        <v>7.776000000000001E-2</v>
      </c>
      <c r="T1088" s="868">
        <f>SUM(R1069:R1088)</f>
        <v>98.589400000000012</v>
      </c>
      <c r="U1088" s="617">
        <f t="shared" si="1111"/>
        <v>1.6228925219141204</v>
      </c>
      <c r="V1088" s="725">
        <f>U1088*100/SUM(U1069:U1073,U1075:U1088)</f>
        <v>1.6564964685565902</v>
      </c>
      <c r="W1088" s="617" t="s">
        <v>346</v>
      </c>
      <c r="X1088" s="617">
        <f t="shared" si="1134"/>
        <v>0.1490846821700931</v>
      </c>
      <c r="Y1088" s="725" t="s">
        <v>1666</v>
      </c>
      <c r="Z1088" s="725" t="s">
        <v>1666</v>
      </c>
      <c r="AA1088" s="455" t="str">
        <f t="shared" ref="AA1088:AH1088" si="1163">Z1088</f>
        <v>*</v>
      </c>
      <c r="AB1088" s="819" t="str">
        <f t="shared" si="1163"/>
        <v>*</v>
      </c>
      <c r="AC1088" s="931" t="str">
        <f t="shared" si="1163"/>
        <v>*</v>
      </c>
      <c r="AD1088" s="931" t="str">
        <f t="shared" si="1163"/>
        <v>*</v>
      </c>
      <c r="AE1088" s="808" t="str">
        <f t="shared" si="1163"/>
        <v>*</v>
      </c>
      <c r="AF1088" s="808" t="str">
        <f t="shared" si="1163"/>
        <v>*</v>
      </c>
      <c r="AG1088" s="808" t="str">
        <f t="shared" si="1163"/>
        <v>*</v>
      </c>
      <c r="AH1088" s="808" t="str">
        <f t="shared" si="1163"/>
        <v>*</v>
      </c>
    </row>
    <row r="1089" spans="1:34" ht="14.25">
      <c r="A1089" s="14" t="s">
        <v>4556</v>
      </c>
      <c r="B1089" s="24" t="s">
        <v>2768</v>
      </c>
      <c r="C1089" s="142" t="s">
        <v>2778</v>
      </c>
      <c r="D1089" s="14" t="s">
        <v>2911</v>
      </c>
      <c r="E1089" s="14" t="s">
        <v>4557</v>
      </c>
      <c r="F1089" s="13">
        <v>19.98</v>
      </c>
      <c r="G1089" s="14" t="s">
        <v>3704</v>
      </c>
      <c r="H1089" s="13" t="s">
        <v>2973</v>
      </c>
      <c r="I1089" s="14" t="s">
        <v>4558</v>
      </c>
      <c r="J1089" s="14" t="s">
        <v>4559</v>
      </c>
      <c r="K1089" s="478">
        <v>0.71</v>
      </c>
      <c r="L1089" s="220">
        <v>12.07</v>
      </c>
      <c r="M1089" s="568" t="s">
        <v>4560</v>
      </c>
      <c r="N1089" s="479" t="s">
        <v>2937</v>
      </c>
      <c r="O1089" s="569" t="s">
        <v>4561</v>
      </c>
      <c r="P1089" s="655" t="s">
        <v>3005</v>
      </c>
      <c r="Q1089" s="580" t="s">
        <v>3006</v>
      </c>
      <c r="R1089" s="14">
        <v>30</v>
      </c>
      <c r="S1089" s="14">
        <f t="shared" si="1062"/>
        <v>3.621</v>
      </c>
      <c r="T1089" s="220">
        <f>SUM(R1089:R1115)</f>
        <v>100.35</v>
      </c>
      <c r="U1089" s="14">
        <f t="shared" si="1111"/>
        <v>29.895366218236177</v>
      </c>
      <c r="V1089" s="220"/>
      <c r="W1089" s="14" t="s">
        <v>2779</v>
      </c>
      <c r="X1089">
        <f t="shared" ref="X1089:X1172" si="1164">U1089*K1089</f>
        <v>21.225710014947683</v>
      </c>
      <c r="Y1089" s="220">
        <f>SUM(X1089,X1116,X1136)</f>
        <v>29.465328176981515</v>
      </c>
      <c r="Z1089" s="220">
        <f t="shared" ref="Z1089:AA1089" si="1165">Y1089</f>
        <v>29.465328176981515</v>
      </c>
      <c r="AA1089" s="792">
        <f t="shared" si="1165"/>
        <v>29.465328176981515</v>
      </c>
      <c r="AB1089" s="18" t="s">
        <v>2779</v>
      </c>
      <c r="AC1089" s="13" t="s">
        <v>215</v>
      </c>
      <c r="AD1089" s="13" t="s">
        <v>3007</v>
      </c>
      <c r="AE1089" s="12">
        <v>5.0851930036188197E-3</v>
      </c>
      <c r="AF1089" s="12">
        <v>5.9995417730640897E-2</v>
      </c>
      <c r="AG1089" s="12">
        <v>3.4699999999999998E-4</v>
      </c>
      <c r="AH1089" s="12">
        <v>2.9762429672480995E-4</v>
      </c>
    </row>
    <row r="1090" spans="1:34" ht="14.25">
      <c r="A1090" s="14" t="s">
        <v>4556</v>
      </c>
      <c r="B1090" s="24" t="s">
        <v>2768</v>
      </c>
      <c r="C1090" s="142" t="s">
        <v>2778</v>
      </c>
      <c r="D1090" s="14" t="s">
        <v>2911</v>
      </c>
      <c r="E1090" s="14" t="s">
        <v>4557</v>
      </c>
      <c r="F1090" s="13">
        <v>19.98</v>
      </c>
      <c r="G1090" s="14" t="s">
        <v>3704</v>
      </c>
      <c r="H1090" s="13" t="s">
        <v>2973</v>
      </c>
      <c r="I1090" s="14" t="s">
        <v>4558</v>
      </c>
      <c r="J1090" s="14" t="s">
        <v>4559</v>
      </c>
      <c r="K1090" s="478">
        <v>0.71</v>
      </c>
      <c r="L1090" s="220">
        <v>12.07</v>
      </c>
      <c r="M1090" s="568" t="s">
        <v>4560</v>
      </c>
      <c r="N1090" s="479" t="s">
        <v>2937</v>
      </c>
      <c r="O1090" s="569" t="s">
        <v>4561</v>
      </c>
      <c r="P1090" s="14" t="s">
        <v>2945</v>
      </c>
      <c r="Q1090" s="14" t="s">
        <v>4562</v>
      </c>
      <c r="R1090" s="14">
        <v>24</v>
      </c>
      <c r="S1090" s="14">
        <f t="shared" si="1062"/>
        <v>2.8967999999999998</v>
      </c>
      <c r="T1090" s="220">
        <f>SUM(R1089:R1115)</f>
        <v>100.35</v>
      </c>
      <c r="U1090" s="14">
        <f t="shared" si="1111"/>
        <v>23.916292974588941</v>
      </c>
      <c r="V1090" s="220"/>
      <c r="W1090" s="14" t="s">
        <v>433</v>
      </c>
      <c r="X1090">
        <f t="shared" si="1164"/>
        <v>16.980568011958148</v>
      </c>
      <c r="Y1090" s="220">
        <f>SUM(X1090,X1095,X1108,X1117,X1122,X1138,X1145,X1152,X1156,X1171,X1110,X1129)</f>
        <v>30.106779630995746</v>
      </c>
      <c r="Z1090" s="220">
        <f>SUM(X1090,X1095,X1108,X1117,X1122,X1138,X1145,X1152,X1156,X1171)</f>
        <v>28.944215900520899</v>
      </c>
      <c r="AA1090" s="792">
        <f t="shared" ref="AA1090:AA1091" si="1166">Z1090</f>
        <v>28.944215900520899</v>
      </c>
      <c r="AB1090" s="18" t="s">
        <v>433</v>
      </c>
      <c r="AC1090" s="13" t="s">
        <v>433</v>
      </c>
      <c r="AD1090" s="13" t="s">
        <v>2947</v>
      </c>
      <c r="AE1090" s="12">
        <v>3.0104466724907065E-4</v>
      </c>
      <c r="AF1090" s="12">
        <v>1.2500000000000001E-2</v>
      </c>
      <c r="AG1090" s="12">
        <v>5.1818181818181835E-4</v>
      </c>
      <c r="AH1090" s="12">
        <v>4.0084080366977777E-4</v>
      </c>
    </row>
    <row r="1091" spans="1:34" ht="14.25">
      <c r="A1091" s="14" t="s">
        <v>4556</v>
      </c>
      <c r="B1091" s="24" t="s">
        <v>2768</v>
      </c>
      <c r="C1091" s="142" t="s">
        <v>2778</v>
      </c>
      <c r="D1091" s="14" t="s">
        <v>2911</v>
      </c>
      <c r="E1091" s="14" t="s">
        <v>4557</v>
      </c>
      <c r="F1091" s="13">
        <v>19.98</v>
      </c>
      <c r="G1091" s="14" t="s">
        <v>3704</v>
      </c>
      <c r="H1091" s="13" t="s">
        <v>2973</v>
      </c>
      <c r="I1091" s="14" t="s">
        <v>4558</v>
      </c>
      <c r="J1091" s="14" t="s">
        <v>4559</v>
      </c>
      <c r="K1091" s="478">
        <v>0.71</v>
      </c>
      <c r="L1091" s="220">
        <v>12.07</v>
      </c>
      <c r="M1091" s="568" t="s">
        <v>4560</v>
      </c>
      <c r="N1091" s="479" t="s">
        <v>2937</v>
      </c>
      <c r="O1091" s="569" t="s">
        <v>4561</v>
      </c>
      <c r="P1091" s="14" t="s">
        <v>3023</v>
      </c>
      <c r="Q1091" s="14" t="s">
        <v>4563</v>
      </c>
      <c r="R1091" s="14">
        <v>5</v>
      </c>
      <c r="S1091" s="14">
        <f t="shared" si="1062"/>
        <v>0.60350000000000004</v>
      </c>
      <c r="T1091" s="220">
        <f>SUM(R1089:R1115)</f>
        <v>100.35</v>
      </c>
      <c r="U1091" s="14">
        <f t="shared" si="1111"/>
        <v>4.9825610363726955</v>
      </c>
      <c r="V1091" s="220"/>
      <c r="W1091" s="14" t="s">
        <v>1668</v>
      </c>
      <c r="X1091">
        <f t="shared" si="1164"/>
        <v>3.5376183358246136</v>
      </c>
      <c r="Y1091" s="220">
        <f>SUM(X1091,X1094,X1114,X1119,X1149)</f>
        <v>5.8783036436474703</v>
      </c>
      <c r="Z1091" s="220">
        <f>SUM(X1091,X1114,X1119)</f>
        <v>5.1347799764825481</v>
      </c>
      <c r="AA1091" s="792">
        <f t="shared" si="1166"/>
        <v>5.1347799764825481</v>
      </c>
      <c r="AB1091" s="18" t="s">
        <v>2780</v>
      </c>
      <c r="AC1091" s="13" t="s">
        <v>4508</v>
      </c>
      <c r="AD1091" s="13" t="s">
        <v>4509</v>
      </c>
      <c r="AE1091" s="12">
        <v>3.372204299368619E-2</v>
      </c>
      <c r="AF1091" s="12">
        <v>6.4584205812988751E-2</v>
      </c>
      <c r="AG1091" s="12">
        <v>3.9999999999999998E-6</v>
      </c>
      <c r="AH1091" s="12">
        <v>1.477309663377164E-3</v>
      </c>
    </row>
    <row r="1092" spans="1:34" ht="14.25">
      <c r="A1092" s="14" t="s">
        <v>4556</v>
      </c>
      <c r="B1092" s="24" t="s">
        <v>2768</v>
      </c>
      <c r="C1092" s="142" t="s">
        <v>2778</v>
      </c>
      <c r="D1092" s="14" t="s">
        <v>2911</v>
      </c>
      <c r="E1092" s="14" t="s">
        <v>4557</v>
      </c>
      <c r="F1092" s="13">
        <v>19.98</v>
      </c>
      <c r="G1092" s="14" t="s">
        <v>3704</v>
      </c>
      <c r="H1092" s="13" t="s">
        <v>2973</v>
      </c>
      <c r="I1092" s="14" t="s">
        <v>4558</v>
      </c>
      <c r="J1092" s="14" t="s">
        <v>4559</v>
      </c>
      <c r="K1092" s="478">
        <v>0.71</v>
      </c>
      <c r="L1092" s="220">
        <v>12.07</v>
      </c>
      <c r="M1092" s="568" t="s">
        <v>4560</v>
      </c>
      <c r="N1092" s="479" t="s">
        <v>2937</v>
      </c>
      <c r="O1092" s="569" t="s">
        <v>4561</v>
      </c>
      <c r="P1092" s="14" t="s">
        <v>4226</v>
      </c>
      <c r="Q1092" s="486" t="s">
        <v>4564</v>
      </c>
      <c r="R1092" s="14">
        <v>2</v>
      </c>
      <c r="S1092" s="14">
        <f t="shared" si="1062"/>
        <v>0.2414</v>
      </c>
      <c r="T1092" s="220">
        <f>SUM(R1089:R1115)</f>
        <v>100.35</v>
      </c>
      <c r="U1092" s="14">
        <f t="shared" si="1111"/>
        <v>1.9930244145490783</v>
      </c>
      <c r="V1092" s="220"/>
      <c r="W1092" s="14" t="s">
        <v>423</v>
      </c>
      <c r="X1092">
        <f t="shared" si="1164"/>
        <v>1.4150473343298455</v>
      </c>
      <c r="Y1092" s="220">
        <f>SUM(X1092,X1121,X1150)</f>
        <v>1.8467343459036907</v>
      </c>
      <c r="Z1092" s="220">
        <f t="shared" ref="Z1092:AA1092" si="1167">Y1092</f>
        <v>1.8467343459036907</v>
      </c>
      <c r="AA1092" s="792">
        <f t="shared" si="1167"/>
        <v>1.8467343459036907</v>
      </c>
      <c r="AB1092" s="18" t="s">
        <v>2775</v>
      </c>
      <c r="AC1092" s="13" t="s">
        <v>2953</v>
      </c>
      <c r="AD1092" s="13" t="s">
        <v>2954</v>
      </c>
      <c r="AE1092" s="12">
        <v>8.22790593034603E-2</v>
      </c>
      <c r="AF1092" s="12">
        <v>0.15758024213268212</v>
      </c>
      <c r="AG1092" s="12">
        <v>9.7596766979824417E-6</v>
      </c>
      <c r="AH1092" s="12">
        <v>3.6045161743415983E-3</v>
      </c>
    </row>
    <row r="1093" spans="1:34" ht="14.25">
      <c r="A1093" s="14" t="s">
        <v>4556</v>
      </c>
      <c r="B1093" s="24" t="s">
        <v>2768</v>
      </c>
      <c r="C1093" s="142" t="s">
        <v>2778</v>
      </c>
      <c r="D1093" s="14" t="s">
        <v>2911</v>
      </c>
      <c r="E1093" s="14" t="s">
        <v>4557</v>
      </c>
      <c r="F1093" s="13">
        <v>19.98</v>
      </c>
      <c r="G1093" s="14" t="s">
        <v>3704</v>
      </c>
      <c r="H1093" s="13" t="s">
        <v>2973</v>
      </c>
      <c r="I1093" s="14" t="s">
        <v>4558</v>
      </c>
      <c r="J1093" s="14" t="s">
        <v>4559</v>
      </c>
      <c r="K1093" s="478">
        <v>0.71</v>
      </c>
      <c r="L1093" s="220">
        <v>12.07</v>
      </c>
      <c r="M1093" s="568" t="s">
        <v>4560</v>
      </c>
      <c r="N1093" s="479" t="s">
        <v>2937</v>
      </c>
      <c r="O1093" s="569" t="s">
        <v>4561</v>
      </c>
      <c r="P1093" s="14" t="s">
        <v>3072</v>
      </c>
      <c r="Q1093" s="14" t="s">
        <v>4565</v>
      </c>
      <c r="R1093" s="14">
        <v>1</v>
      </c>
      <c r="S1093" s="14">
        <f t="shared" si="1062"/>
        <v>0.1207</v>
      </c>
      <c r="T1093" s="220">
        <f>SUM(R1089:R1115)</f>
        <v>100.35</v>
      </c>
      <c r="U1093" s="14">
        <f t="shared" si="1111"/>
        <v>0.99651220727453915</v>
      </c>
      <c r="V1093" s="220"/>
      <c r="W1093" s="14" t="s">
        <v>343</v>
      </c>
      <c r="X1093">
        <f t="shared" si="1164"/>
        <v>0.70752366716492276</v>
      </c>
      <c r="Y1093" s="220">
        <f>SUM(X1093,X1096,X1102,X1103,X1113,X1120,X1125,X1126,X1139,X1140,X1143,X1151,X1161,X1166,X1172)</f>
        <v>7.0018995161508837</v>
      </c>
      <c r="Z1093" s="220">
        <f t="shared" ref="Z1093:AA1093" si="1168">Y1093</f>
        <v>7.0018995161508837</v>
      </c>
      <c r="AA1093" s="792">
        <f t="shared" si="1168"/>
        <v>7.0018995161508837</v>
      </c>
      <c r="AB1093" s="18" t="s">
        <v>2694</v>
      </c>
      <c r="AC1093" s="13" t="s">
        <v>2982</v>
      </c>
      <c r="AD1093" s="13" t="s">
        <v>2983</v>
      </c>
      <c r="AE1093" s="12">
        <v>2.9691872042618299E-2</v>
      </c>
      <c r="AF1093" s="12">
        <v>7.5368545517799299E-2</v>
      </c>
      <c r="AG1093" s="12">
        <v>2.9014018691588786E-4</v>
      </c>
      <c r="AH1093" s="12">
        <v>1.4770983615231311E-3</v>
      </c>
    </row>
    <row r="1094" spans="1:34" ht="14.25">
      <c r="A1094" s="14" t="s">
        <v>4556</v>
      </c>
      <c r="B1094" s="24" t="s">
        <v>2768</v>
      </c>
      <c r="C1094" s="142" t="s">
        <v>2778</v>
      </c>
      <c r="D1094" s="14" t="s">
        <v>2911</v>
      </c>
      <c r="E1094" s="14" t="s">
        <v>4557</v>
      </c>
      <c r="F1094" s="13">
        <v>19.98</v>
      </c>
      <c r="G1094" s="14" t="s">
        <v>3704</v>
      </c>
      <c r="H1094" s="13" t="s">
        <v>2973</v>
      </c>
      <c r="I1094" s="14" t="s">
        <v>4558</v>
      </c>
      <c r="J1094" s="14" t="s">
        <v>4559</v>
      </c>
      <c r="K1094" s="478">
        <v>0.71</v>
      </c>
      <c r="L1094" s="220">
        <v>12.07</v>
      </c>
      <c r="M1094" s="568" t="s">
        <v>4560</v>
      </c>
      <c r="N1094" s="479" t="s">
        <v>2937</v>
      </c>
      <c r="O1094" s="569" t="s">
        <v>4561</v>
      </c>
      <c r="P1094" s="14" t="s">
        <v>4566</v>
      </c>
      <c r="Q1094" s="486" t="s">
        <v>4567</v>
      </c>
      <c r="R1094" s="14">
        <v>1</v>
      </c>
      <c r="S1094" s="14">
        <f t="shared" si="1062"/>
        <v>0.1207</v>
      </c>
      <c r="T1094" s="220">
        <f>SUM(R1089:R1115)</f>
        <v>100.35</v>
      </c>
      <c r="U1094" s="14">
        <f t="shared" si="1111"/>
        <v>0.99651220727453915</v>
      </c>
      <c r="V1094" s="220"/>
      <c r="W1094" s="14" t="s">
        <v>1664</v>
      </c>
      <c r="X1094">
        <f t="shared" si="1164"/>
        <v>0.70752366716492276</v>
      </c>
      <c r="Y1094" s="220" t="s">
        <v>1666</v>
      </c>
      <c r="Z1094" s="220">
        <f>SUM(X1094,X1149)</f>
        <v>0.74352366716492269</v>
      </c>
      <c r="AA1094" s="792">
        <f>Z1094</f>
        <v>0.74352366716492269</v>
      </c>
      <c r="AB1094" s="458" t="s">
        <v>2781</v>
      </c>
      <c r="AC1094" s="13" t="s">
        <v>2953</v>
      </c>
      <c r="AD1094" s="13" t="s">
        <v>2954</v>
      </c>
      <c r="AE1094" s="12">
        <v>3.372204299368619E-2</v>
      </c>
      <c r="AF1094" s="12">
        <v>6.4584205812988751E-2</v>
      </c>
      <c r="AG1094" s="12">
        <v>3.9999999999999998E-6</v>
      </c>
      <c r="AH1094" s="12">
        <v>1.477309663377164E-3</v>
      </c>
    </row>
    <row r="1095" spans="1:34" ht="14.25">
      <c r="A1095" s="14" t="s">
        <v>4556</v>
      </c>
      <c r="B1095" s="24" t="s">
        <v>2768</v>
      </c>
      <c r="C1095" s="142" t="s">
        <v>2778</v>
      </c>
      <c r="D1095" s="14" t="s">
        <v>2911</v>
      </c>
      <c r="E1095" s="14" t="s">
        <v>4557</v>
      </c>
      <c r="F1095" s="13">
        <v>19.98</v>
      </c>
      <c r="G1095" s="14" t="s">
        <v>3704</v>
      </c>
      <c r="H1095" s="13" t="s">
        <v>2973</v>
      </c>
      <c r="I1095" s="14" t="s">
        <v>4558</v>
      </c>
      <c r="J1095" s="14" t="s">
        <v>4559</v>
      </c>
      <c r="K1095" s="478">
        <v>0.71</v>
      </c>
      <c r="L1095" s="220">
        <v>12.07</v>
      </c>
      <c r="M1095" s="568" t="s">
        <v>4560</v>
      </c>
      <c r="N1095" s="479" t="s">
        <v>2937</v>
      </c>
      <c r="O1095" s="569" t="s">
        <v>4561</v>
      </c>
      <c r="P1095" s="14" t="s">
        <v>2945</v>
      </c>
      <c r="Q1095" s="14" t="s">
        <v>4562</v>
      </c>
      <c r="R1095" s="14">
        <v>2</v>
      </c>
      <c r="S1095" s="14">
        <f t="shared" si="1062"/>
        <v>0.2414</v>
      </c>
      <c r="T1095" s="220">
        <f>SUM(R1089:R1115)</f>
        <v>100.35</v>
      </c>
      <c r="U1095" s="14">
        <f t="shared" si="1111"/>
        <v>1.9930244145490783</v>
      </c>
      <c r="V1095" s="220"/>
      <c r="W1095" s="14" t="s">
        <v>433</v>
      </c>
      <c r="X1095">
        <f t="shared" si="1164"/>
        <v>1.4150473343298455</v>
      </c>
      <c r="Y1095" s="220" t="s">
        <v>1666</v>
      </c>
      <c r="Z1095" s="220" t="str">
        <f t="shared" ref="Z1095:AH1095" si="1169">Y1095</f>
        <v>*</v>
      </c>
      <c r="AA1095" s="792" t="str">
        <f t="shared" si="1169"/>
        <v>*</v>
      </c>
      <c r="AB1095" s="466" t="str">
        <f t="shared" si="1169"/>
        <v>*</v>
      </c>
      <c r="AC1095" s="831" t="str">
        <f t="shared" si="1169"/>
        <v>*</v>
      </c>
      <c r="AD1095" s="831" t="str">
        <f t="shared" si="1169"/>
        <v>*</v>
      </c>
      <c r="AE1095" s="454" t="str">
        <f t="shared" si="1169"/>
        <v>*</v>
      </c>
      <c r="AF1095" s="454" t="str">
        <f t="shared" si="1169"/>
        <v>*</v>
      </c>
      <c r="AG1095" s="454" t="str">
        <f t="shared" si="1169"/>
        <v>*</v>
      </c>
      <c r="AH1095" s="454" t="str">
        <f t="shared" si="1169"/>
        <v>*</v>
      </c>
    </row>
    <row r="1096" spans="1:34" ht="14.25">
      <c r="A1096" s="14" t="s">
        <v>4556</v>
      </c>
      <c r="B1096" s="24" t="s">
        <v>2768</v>
      </c>
      <c r="C1096" s="142" t="s">
        <v>2778</v>
      </c>
      <c r="D1096" s="14" t="s">
        <v>2911</v>
      </c>
      <c r="E1096" s="14" t="s">
        <v>4557</v>
      </c>
      <c r="F1096" s="13">
        <v>19.98</v>
      </c>
      <c r="G1096" s="14" t="s">
        <v>3704</v>
      </c>
      <c r="H1096" s="13" t="s">
        <v>2973</v>
      </c>
      <c r="I1096" s="14" t="s">
        <v>4558</v>
      </c>
      <c r="J1096" s="14" t="s">
        <v>4559</v>
      </c>
      <c r="K1096" s="478">
        <v>0.71</v>
      </c>
      <c r="L1096" s="220">
        <v>12.07</v>
      </c>
      <c r="M1096" s="568" t="s">
        <v>4560</v>
      </c>
      <c r="N1096" s="479" t="s">
        <v>2937</v>
      </c>
      <c r="O1096" s="569" t="s">
        <v>4561</v>
      </c>
      <c r="P1096" s="14" t="s">
        <v>3021</v>
      </c>
      <c r="Q1096" s="486" t="s">
        <v>3022</v>
      </c>
      <c r="R1096" s="14">
        <v>3</v>
      </c>
      <c r="S1096" s="14">
        <f t="shared" si="1062"/>
        <v>0.36209999999999998</v>
      </c>
      <c r="T1096" s="220">
        <f>SUM(R1089:R1115)</f>
        <v>100.35</v>
      </c>
      <c r="U1096" s="14">
        <f t="shared" si="1111"/>
        <v>2.9895366218236177</v>
      </c>
      <c r="V1096" s="220"/>
      <c r="W1096" s="14" t="s">
        <v>346</v>
      </c>
      <c r="X1096">
        <f t="shared" si="1164"/>
        <v>2.1225710014947685</v>
      </c>
      <c r="Y1096" s="220" t="s">
        <v>1666</v>
      </c>
      <c r="Z1096" s="220" t="str">
        <f t="shared" ref="Z1096:AH1096" si="1170">Y1096</f>
        <v>*</v>
      </c>
      <c r="AA1096" s="792" t="str">
        <f t="shared" si="1170"/>
        <v>*</v>
      </c>
      <c r="AB1096" s="466" t="str">
        <f t="shared" si="1170"/>
        <v>*</v>
      </c>
      <c r="AC1096" s="831" t="str">
        <f t="shared" si="1170"/>
        <v>*</v>
      </c>
      <c r="AD1096" s="831" t="str">
        <f t="shared" si="1170"/>
        <v>*</v>
      </c>
      <c r="AE1096" s="454" t="str">
        <f t="shared" si="1170"/>
        <v>*</v>
      </c>
      <c r="AF1096" s="454" t="str">
        <f t="shared" si="1170"/>
        <v>*</v>
      </c>
      <c r="AG1096" s="454" t="str">
        <f t="shared" si="1170"/>
        <v>*</v>
      </c>
      <c r="AH1096" s="454" t="str">
        <f t="shared" si="1170"/>
        <v>*</v>
      </c>
    </row>
    <row r="1097" spans="1:34" ht="14.25">
      <c r="A1097" s="14" t="s">
        <v>4556</v>
      </c>
      <c r="B1097" s="24" t="s">
        <v>2768</v>
      </c>
      <c r="C1097" s="142" t="s">
        <v>2778</v>
      </c>
      <c r="D1097" s="14" t="s">
        <v>2911</v>
      </c>
      <c r="E1097" s="14" t="s">
        <v>4557</v>
      </c>
      <c r="F1097" s="13">
        <v>19.98</v>
      </c>
      <c r="G1097" s="14" t="s">
        <v>3704</v>
      </c>
      <c r="H1097" s="13" t="s">
        <v>2973</v>
      </c>
      <c r="I1097" s="14" t="s">
        <v>4558</v>
      </c>
      <c r="J1097" s="14" t="s">
        <v>4559</v>
      </c>
      <c r="K1097" s="478">
        <v>0.71</v>
      </c>
      <c r="L1097" s="220">
        <v>12.07</v>
      </c>
      <c r="M1097" s="568" t="s">
        <v>4560</v>
      </c>
      <c r="N1097" s="479" t="s">
        <v>2937</v>
      </c>
      <c r="O1097" s="569" t="s">
        <v>4561</v>
      </c>
      <c r="P1097" s="14" t="s">
        <v>1376</v>
      </c>
      <c r="Q1097" s="486" t="s">
        <v>3114</v>
      </c>
      <c r="R1097" s="14">
        <v>3</v>
      </c>
      <c r="S1097" s="14">
        <f t="shared" si="1062"/>
        <v>0.36209999999999998</v>
      </c>
      <c r="T1097" s="487">
        <f>SUM(R1089:R1115)</f>
        <v>100.35</v>
      </c>
      <c r="U1097" s="14">
        <f t="shared" si="1111"/>
        <v>2.9895366218236177</v>
      </c>
      <c r="V1097" s="220"/>
      <c r="W1097" s="14" t="s">
        <v>340</v>
      </c>
      <c r="X1097">
        <f t="shared" si="1164"/>
        <v>2.1225710014947685</v>
      </c>
      <c r="Y1097" s="220">
        <f>X1097</f>
        <v>2.1225710014947685</v>
      </c>
      <c r="Z1097" s="220">
        <f>X1097</f>
        <v>2.1225710014947685</v>
      </c>
      <c r="AA1097" s="792">
        <f>Z1097</f>
        <v>2.1225710014947685</v>
      </c>
      <c r="AB1097" s="466" t="s">
        <v>340</v>
      </c>
      <c r="AC1097" s="831" t="s">
        <v>3115</v>
      </c>
      <c r="AD1097" s="831" t="s">
        <v>3116</v>
      </c>
      <c r="AE1097" s="12">
        <v>2.1708241661196198E-2</v>
      </c>
      <c r="AF1097" s="12">
        <v>0.36572952458380198</v>
      </c>
      <c r="AG1097" s="12">
        <v>4.6350652173913045E-4</v>
      </c>
      <c r="AH1097" s="12">
        <v>1.6975608035415088E-3</v>
      </c>
    </row>
    <row r="1098" spans="1:34" ht="14.25">
      <c r="A1098" s="14" t="s">
        <v>4556</v>
      </c>
      <c r="B1098" s="24" t="s">
        <v>2768</v>
      </c>
      <c r="C1098" s="142" t="s">
        <v>2778</v>
      </c>
      <c r="D1098" s="14" t="s">
        <v>2911</v>
      </c>
      <c r="E1098" s="14" t="s">
        <v>4557</v>
      </c>
      <c r="F1098" s="13">
        <v>19.98</v>
      </c>
      <c r="G1098" s="14" t="s">
        <v>3704</v>
      </c>
      <c r="H1098" s="13" t="s">
        <v>2973</v>
      </c>
      <c r="I1098" s="14" t="s">
        <v>4558</v>
      </c>
      <c r="J1098" s="14" t="s">
        <v>4559</v>
      </c>
      <c r="K1098" s="478">
        <v>0.71</v>
      </c>
      <c r="L1098" s="220">
        <v>12.07</v>
      </c>
      <c r="M1098" s="568" t="s">
        <v>4560</v>
      </c>
      <c r="N1098" s="479" t="s">
        <v>2937</v>
      </c>
      <c r="O1098" s="569" t="s">
        <v>4561</v>
      </c>
      <c r="P1098" s="14" t="s">
        <v>421</v>
      </c>
      <c r="Q1098" s="435" t="s">
        <v>2952</v>
      </c>
      <c r="R1098" s="14">
        <v>3.1</v>
      </c>
      <c r="S1098" s="14">
        <f t="shared" si="1062"/>
        <v>0.37417000000000006</v>
      </c>
      <c r="T1098" s="487">
        <f>SUM(R1089:R1115)</f>
        <v>100.35</v>
      </c>
      <c r="U1098" s="14">
        <f t="shared" si="1111"/>
        <v>3.0891878425510715</v>
      </c>
      <c r="V1098" s="220"/>
      <c r="W1098" s="14" t="s">
        <v>421</v>
      </c>
      <c r="X1098">
        <f t="shared" si="1164"/>
        <v>2.1933233682112605</v>
      </c>
      <c r="Y1098" s="220">
        <f>SUM(X1098,X1118,X1147)</f>
        <v>2.4721668739981832</v>
      </c>
      <c r="Z1098" s="220">
        <f t="shared" ref="Z1098:AA1098" si="1171">Y1098</f>
        <v>2.4721668739981832</v>
      </c>
      <c r="AA1098" s="792">
        <f t="shared" si="1171"/>
        <v>2.4721668739981832</v>
      </c>
      <c r="AB1098" s="18" t="s">
        <v>2777</v>
      </c>
      <c r="AC1098" s="13" t="s">
        <v>2953</v>
      </c>
      <c r="AD1098" s="13" t="s">
        <v>2954</v>
      </c>
      <c r="AE1098" s="12">
        <v>3.372204299368619E-2</v>
      </c>
      <c r="AF1098" s="12">
        <v>6.4584205812988751E-2</v>
      </c>
      <c r="AG1098" s="12">
        <v>3.9999999999999998E-6</v>
      </c>
      <c r="AH1098" s="12">
        <v>1.477309663377164E-3</v>
      </c>
    </row>
    <row r="1099" spans="1:34" ht="14.25">
      <c r="A1099" s="14" t="s">
        <v>4556</v>
      </c>
      <c r="B1099" s="24" t="s">
        <v>2768</v>
      </c>
      <c r="C1099" s="142" t="s">
        <v>2778</v>
      </c>
      <c r="D1099" s="14" t="s">
        <v>2911</v>
      </c>
      <c r="E1099" s="14" t="s">
        <v>4557</v>
      </c>
      <c r="F1099" s="13">
        <v>19.98</v>
      </c>
      <c r="G1099" s="14" t="s">
        <v>3704</v>
      </c>
      <c r="H1099" s="13" t="s">
        <v>2973</v>
      </c>
      <c r="I1099" s="14" t="s">
        <v>4558</v>
      </c>
      <c r="J1099" s="14" t="s">
        <v>4559</v>
      </c>
      <c r="K1099" s="478">
        <v>0.71</v>
      </c>
      <c r="L1099" s="220">
        <v>12.07</v>
      </c>
      <c r="M1099" s="568" t="s">
        <v>4560</v>
      </c>
      <c r="N1099" s="479" t="s">
        <v>2937</v>
      </c>
      <c r="O1099" s="569" t="s">
        <v>4561</v>
      </c>
      <c r="P1099" s="14" t="s">
        <v>2962</v>
      </c>
      <c r="Q1099" s="435" t="s">
        <v>2963</v>
      </c>
      <c r="R1099" s="14">
        <v>3</v>
      </c>
      <c r="S1099" s="14">
        <f t="shared" si="1062"/>
        <v>0.36209999999999998</v>
      </c>
      <c r="T1099" s="487">
        <f>SUM(R1089:R1115)</f>
        <v>100.35</v>
      </c>
      <c r="U1099" s="14">
        <f t="shared" si="1111"/>
        <v>2.9895366218236177</v>
      </c>
      <c r="V1099" s="220"/>
      <c r="W1099" s="14" t="s">
        <v>425</v>
      </c>
      <c r="X1099">
        <f t="shared" si="1164"/>
        <v>2.1225710014947685</v>
      </c>
      <c r="Y1099" s="220">
        <f>SUM(X1099,X1100,X1137,X1146,X1153,X1157,X1162)</f>
        <v>6.4231420029895343</v>
      </c>
      <c r="Z1099" s="220">
        <f>SUM(X1099,X1137,X1146,X1157)</f>
        <v>4.2285710014947666</v>
      </c>
      <c r="AA1099" s="792">
        <f t="shared" ref="AA1099:AA1101" si="1172">Z1099</f>
        <v>4.2285710014947666</v>
      </c>
      <c r="AB1099" s="18" t="s">
        <v>2525</v>
      </c>
      <c r="AC1099" s="13" t="s">
        <v>2964</v>
      </c>
      <c r="AD1099" s="13" t="s">
        <v>2965</v>
      </c>
      <c r="AE1099" s="12">
        <v>3.8102374934982654E-3</v>
      </c>
      <c r="AF1099" s="12">
        <v>0.20470422547079484</v>
      </c>
      <c r="AG1099" s="12">
        <v>1.210810810810811E-4</v>
      </c>
      <c r="AH1099" s="12">
        <v>1.0002400855855065E-3</v>
      </c>
    </row>
    <row r="1100" spans="1:34" ht="14.25">
      <c r="A1100" s="14" t="s">
        <v>4556</v>
      </c>
      <c r="B1100" s="24" t="s">
        <v>2768</v>
      </c>
      <c r="C1100" s="142" t="s">
        <v>2778</v>
      </c>
      <c r="D1100" s="14" t="s">
        <v>2911</v>
      </c>
      <c r="E1100" s="14" t="s">
        <v>4557</v>
      </c>
      <c r="F1100" s="13">
        <v>19.98</v>
      </c>
      <c r="G1100" s="14" t="s">
        <v>3704</v>
      </c>
      <c r="H1100" s="13" t="s">
        <v>2973</v>
      </c>
      <c r="I1100" s="14" t="s">
        <v>4558</v>
      </c>
      <c r="J1100" s="14" t="s">
        <v>4559</v>
      </c>
      <c r="K1100" s="478">
        <v>0.71</v>
      </c>
      <c r="L1100" s="220">
        <v>12.07</v>
      </c>
      <c r="M1100" s="568" t="s">
        <v>4560</v>
      </c>
      <c r="N1100" s="479" t="s">
        <v>2937</v>
      </c>
      <c r="O1100" s="569" t="s">
        <v>4561</v>
      </c>
      <c r="P1100" s="655" t="s">
        <v>2977</v>
      </c>
      <c r="Q1100" s="527" t="s">
        <v>2978</v>
      </c>
      <c r="R1100" s="14">
        <v>3</v>
      </c>
      <c r="S1100" s="14">
        <f t="shared" si="1062"/>
        <v>0.36209999999999998</v>
      </c>
      <c r="T1100" s="487">
        <f>SUM(R1089:R1115)</f>
        <v>100.35</v>
      </c>
      <c r="U1100" s="14">
        <f t="shared" si="1111"/>
        <v>2.9895366218236177</v>
      </c>
      <c r="V1100" s="220"/>
      <c r="W1100" s="14" t="s">
        <v>227</v>
      </c>
      <c r="X1100">
        <f t="shared" si="1164"/>
        <v>2.1225710014947685</v>
      </c>
      <c r="Y1100" s="220" t="s">
        <v>1666</v>
      </c>
      <c r="Z1100" s="220">
        <f>SUM(X1100,X1153,X1162)</f>
        <v>2.1945710014947686</v>
      </c>
      <c r="AA1100" s="792">
        <f t="shared" si="1172"/>
        <v>2.1945710014947686</v>
      </c>
      <c r="AB1100" s="18" t="s">
        <v>2530</v>
      </c>
      <c r="AC1100" s="13" t="s">
        <v>55</v>
      </c>
      <c r="AD1100" s="13" t="s">
        <v>2979</v>
      </c>
      <c r="AE1100" s="12">
        <v>2.5055367220000002E-3</v>
      </c>
      <c r="AF1100" s="12">
        <v>3.8459841414181101E-2</v>
      </c>
      <c r="AG1100" s="12">
        <v>1.1035422343324251E-4</v>
      </c>
      <c r="AH1100" s="12">
        <v>8.109653861711444E-4</v>
      </c>
    </row>
    <row r="1101" spans="1:34" ht="14.25">
      <c r="A1101" s="14" t="s">
        <v>4556</v>
      </c>
      <c r="B1101" s="24" t="s">
        <v>2768</v>
      </c>
      <c r="C1101" s="142" t="s">
        <v>2778</v>
      </c>
      <c r="D1101" s="14" t="s">
        <v>2911</v>
      </c>
      <c r="E1101" s="14" t="s">
        <v>4557</v>
      </c>
      <c r="F1101" s="13">
        <v>19.98</v>
      </c>
      <c r="G1101" s="14" t="s">
        <v>3704</v>
      </c>
      <c r="H1101" s="13" t="s">
        <v>2973</v>
      </c>
      <c r="I1101" s="14" t="s">
        <v>4558</v>
      </c>
      <c r="J1101" s="14" t="s">
        <v>4559</v>
      </c>
      <c r="K1101" s="478">
        <v>0.71</v>
      </c>
      <c r="L1101" s="220">
        <v>12.07</v>
      </c>
      <c r="M1101" s="568" t="s">
        <v>4560</v>
      </c>
      <c r="N1101" s="479" t="s">
        <v>2937</v>
      </c>
      <c r="O1101" s="569" t="s">
        <v>4561</v>
      </c>
      <c r="P1101" s="14" t="s">
        <v>330</v>
      </c>
      <c r="Q1101" s="486" t="s">
        <v>4568</v>
      </c>
      <c r="R1101" s="14">
        <v>5</v>
      </c>
      <c r="S1101" s="14">
        <f t="shared" si="1062"/>
        <v>0.60350000000000004</v>
      </c>
      <c r="T1101" s="220">
        <f>SUM(R1089:R1115)</f>
        <v>100.35</v>
      </c>
      <c r="U1101" s="14">
        <f t="shared" si="1111"/>
        <v>4.9825610363726955</v>
      </c>
      <c r="V1101" s="220"/>
      <c r="W1101" s="14" t="s">
        <v>332</v>
      </c>
      <c r="X1101">
        <f t="shared" si="1164"/>
        <v>3.5376183358246136</v>
      </c>
      <c r="Y1101" s="220">
        <f>SUM(X1101,X1109,X1123,X1124,X1155,X1167,X1168)</f>
        <v>5.9868831990890721</v>
      </c>
      <c r="Z1101" s="220">
        <f>SUM(X1101,X1109,X1124,X1155,X1167)</f>
        <v>5.7845396933021496</v>
      </c>
      <c r="AA1101" s="792">
        <f t="shared" si="1172"/>
        <v>5.7845396933021496</v>
      </c>
      <c r="AB1101" s="18" t="s">
        <v>2782</v>
      </c>
      <c r="AC1101" s="13"/>
      <c r="AD1101" s="13"/>
      <c r="AE1101" s="12">
        <v>2.3E-3</v>
      </c>
      <c r="AF1101" s="12">
        <v>4.7879999999999999E-2</v>
      </c>
      <c r="AG1101" s="12">
        <v>9.9999999999999995E-7</v>
      </c>
      <c r="AH1101" s="12">
        <v>4.4092488403675551E-4</v>
      </c>
    </row>
    <row r="1102" spans="1:34" ht="14.25">
      <c r="A1102" s="14" t="s">
        <v>4556</v>
      </c>
      <c r="B1102" s="24" t="s">
        <v>2768</v>
      </c>
      <c r="C1102" s="142" t="s">
        <v>2778</v>
      </c>
      <c r="D1102" s="14" t="s">
        <v>2911</v>
      </c>
      <c r="E1102" s="14" t="s">
        <v>4557</v>
      </c>
      <c r="F1102" s="13">
        <v>19.98</v>
      </c>
      <c r="G1102" s="14" t="s">
        <v>3704</v>
      </c>
      <c r="H1102" s="13" t="s">
        <v>2973</v>
      </c>
      <c r="I1102" s="14" t="s">
        <v>4558</v>
      </c>
      <c r="J1102" s="14" t="s">
        <v>4559</v>
      </c>
      <c r="K1102" s="478">
        <v>0.71</v>
      </c>
      <c r="L1102" s="220">
        <v>12.07</v>
      </c>
      <c r="M1102" s="568" t="s">
        <v>4560</v>
      </c>
      <c r="N1102" s="479" t="s">
        <v>2937</v>
      </c>
      <c r="O1102" s="569" t="s">
        <v>4561</v>
      </c>
      <c r="P1102" s="14" t="s">
        <v>3021</v>
      </c>
      <c r="Q1102" s="486" t="s">
        <v>3022</v>
      </c>
      <c r="R1102" s="14">
        <v>1</v>
      </c>
      <c r="S1102" s="14">
        <f t="shared" si="1062"/>
        <v>0.1207</v>
      </c>
      <c r="T1102" s="487">
        <f>SUM(R1089:R1115)</f>
        <v>100.35</v>
      </c>
      <c r="U1102" s="14">
        <f t="shared" si="1111"/>
        <v>0.99651220727453915</v>
      </c>
      <c r="V1102" s="220"/>
      <c r="W1102" s="14" t="s">
        <v>346</v>
      </c>
      <c r="X1102">
        <f t="shared" si="1164"/>
        <v>0.70752366716492276</v>
      </c>
      <c r="Y1102" s="220" t="s">
        <v>1666</v>
      </c>
      <c r="Z1102" s="220" t="str">
        <f t="shared" ref="Z1102:AH1102" si="1173">Y1102</f>
        <v>*</v>
      </c>
      <c r="AA1102" s="792" t="str">
        <f t="shared" si="1173"/>
        <v>*</v>
      </c>
      <c r="AB1102" s="466" t="str">
        <f t="shared" si="1173"/>
        <v>*</v>
      </c>
      <c r="AC1102" s="831" t="str">
        <f t="shared" si="1173"/>
        <v>*</v>
      </c>
      <c r="AD1102" s="831" t="str">
        <f t="shared" si="1173"/>
        <v>*</v>
      </c>
      <c r="AE1102" s="454" t="str">
        <f t="shared" si="1173"/>
        <v>*</v>
      </c>
      <c r="AF1102" s="454" t="str">
        <f t="shared" si="1173"/>
        <v>*</v>
      </c>
      <c r="AG1102" s="454" t="str">
        <f t="shared" si="1173"/>
        <v>*</v>
      </c>
      <c r="AH1102" s="454" t="str">
        <f t="shared" si="1173"/>
        <v>*</v>
      </c>
    </row>
    <row r="1103" spans="1:34" ht="14.25">
      <c r="A1103" s="14" t="s">
        <v>4556</v>
      </c>
      <c r="B1103" s="24" t="s">
        <v>2768</v>
      </c>
      <c r="C1103" s="142" t="s">
        <v>2778</v>
      </c>
      <c r="D1103" s="14" t="s">
        <v>2911</v>
      </c>
      <c r="E1103" s="14" t="s">
        <v>4557</v>
      </c>
      <c r="F1103" s="13">
        <v>19.98</v>
      </c>
      <c r="G1103" s="14" t="s">
        <v>3704</v>
      </c>
      <c r="H1103" s="13" t="s">
        <v>2973</v>
      </c>
      <c r="I1103" s="14" t="s">
        <v>4558</v>
      </c>
      <c r="J1103" s="14" t="s">
        <v>4559</v>
      </c>
      <c r="K1103" s="478">
        <v>0.71</v>
      </c>
      <c r="L1103" s="220">
        <v>12.07</v>
      </c>
      <c r="M1103" s="568" t="s">
        <v>4560</v>
      </c>
      <c r="N1103" s="479" t="s">
        <v>2937</v>
      </c>
      <c r="O1103" s="569" t="s">
        <v>4561</v>
      </c>
      <c r="P1103" s="14" t="s">
        <v>3072</v>
      </c>
      <c r="Q1103" s="14" t="s">
        <v>4569</v>
      </c>
      <c r="R1103" s="14">
        <v>1</v>
      </c>
      <c r="S1103" s="14">
        <f t="shared" si="1062"/>
        <v>0.1207</v>
      </c>
      <c r="T1103" s="487">
        <f>SUM(R1089:R1115)</f>
        <v>100.35</v>
      </c>
      <c r="U1103" s="14">
        <f t="shared" si="1111"/>
        <v>0.99651220727453915</v>
      </c>
      <c r="V1103" s="220"/>
      <c r="W1103" s="14" t="s">
        <v>343</v>
      </c>
      <c r="X1103">
        <f t="shared" si="1164"/>
        <v>0.70752366716492276</v>
      </c>
      <c r="Y1103" s="220" t="s">
        <v>1666</v>
      </c>
      <c r="Z1103" s="220" t="str">
        <f t="shared" ref="Z1103:AH1103" si="1174">Y1103</f>
        <v>*</v>
      </c>
      <c r="AA1103" s="792" t="str">
        <f t="shared" si="1174"/>
        <v>*</v>
      </c>
      <c r="AB1103" s="466" t="str">
        <f t="shared" si="1174"/>
        <v>*</v>
      </c>
      <c r="AC1103" s="831" t="str">
        <f t="shared" si="1174"/>
        <v>*</v>
      </c>
      <c r="AD1103" s="831" t="str">
        <f t="shared" si="1174"/>
        <v>*</v>
      </c>
      <c r="AE1103" s="454" t="str">
        <f t="shared" si="1174"/>
        <v>*</v>
      </c>
      <c r="AF1103" s="454" t="str">
        <f t="shared" si="1174"/>
        <v>*</v>
      </c>
      <c r="AG1103" s="454" t="str">
        <f t="shared" si="1174"/>
        <v>*</v>
      </c>
      <c r="AH1103" s="454" t="str">
        <f t="shared" si="1174"/>
        <v>*</v>
      </c>
    </row>
    <row r="1104" spans="1:34" ht="14.25">
      <c r="A1104" s="14" t="s">
        <v>4556</v>
      </c>
      <c r="B1104" s="24" t="s">
        <v>2768</v>
      </c>
      <c r="C1104" s="142" t="s">
        <v>2778</v>
      </c>
      <c r="D1104" s="14" t="s">
        <v>2911</v>
      </c>
      <c r="E1104" s="14" t="s">
        <v>4557</v>
      </c>
      <c r="F1104" s="13">
        <v>19.98</v>
      </c>
      <c r="G1104" s="14" t="s">
        <v>3704</v>
      </c>
      <c r="H1104" s="13" t="s">
        <v>2973</v>
      </c>
      <c r="I1104" s="14" t="s">
        <v>4558</v>
      </c>
      <c r="J1104" s="14" t="s">
        <v>4559</v>
      </c>
      <c r="K1104" s="478">
        <v>0.71</v>
      </c>
      <c r="L1104" s="220">
        <v>12.07</v>
      </c>
      <c r="M1104" s="568" t="s">
        <v>4560</v>
      </c>
      <c r="N1104" s="479" t="s">
        <v>2937</v>
      </c>
      <c r="O1104" s="569" t="s">
        <v>4561</v>
      </c>
      <c r="P1104" s="14" t="s">
        <v>4365</v>
      </c>
      <c r="Q1104" s="486" t="s">
        <v>4570</v>
      </c>
      <c r="R1104" s="14">
        <v>0.5</v>
      </c>
      <c r="S1104" s="14">
        <f t="shared" si="1062"/>
        <v>6.0350000000000001E-2</v>
      </c>
      <c r="T1104" s="487">
        <f>SUM(R1089:R1115)</f>
        <v>100.35</v>
      </c>
      <c r="U1104" s="14">
        <f t="shared" si="1111"/>
        <v>0.49825610363726958</v>
      </c>
      <c r="V1104" s="220"/>
      <c r="W1104" s="14" t="s">
        <v>4282</v>
      </c>
      <c r="X1104">
        <f t="shared" si="1164"/>
        <v>0.35376183358246138</v>
      </c>
      <c r="Y1104" s="499">
        <f>SUM(X1104,X1115,X1158,X1133,X1154)</f>
        <v>0.64791110902128424</v>
      </c>
      <c r="Z1104" s="220">
        <f>SUM(X1104,X1115)</f>
        <v>0.56601893373193823</v>
      </c>
      <c r="AA1104" s="792">
        <f>Z1104</f>
        <v>0.56601893373193823</v>
      </c>
      <c r="AB1104" s="466" t="s">
        <v>2661</v>
      </c>
      <c r="AC1104" s="831" t="s">
        <v>134</v>
      </c>
      <c r="AD1104" s="831" t="s">
        <v>3053</v>
      </c>
      <c r="AE1104" s="12">
        <v>3.0177940758293843E-3</v>
      </c>
      <c r="AF1104" s="12">
        <v>8.8728561611374421E-3</v>
      </c>
      <c r="AG1104" s="12">
        <v>5.9155383175355464E-5</v>
      </c>
      <c r="AH1104" s="12">
        <v>5.56622037914692E-4</v>
      </c>
    </row>
    <row r="1105" spans="1:34" ht="14.25">
      <c r="A1105" s="14" t="s">
        <v>4556</v>
      </c>
      <c r="B1105" s="24" t="s">
        <v>2768</v>
      </c>
      <c r="C1105" s="142" t="s">
        <v>2778</v>
      </c>
      <c r="D1105" s="14" t="s">
        <v>2911</v>
      </c>
      <c r="E1105" s="14" t="s">
        <v>4557</v>
      </c>
      <c r="F1105" s="13">
        <v>19.98</v>
      </c>
      <c r="G1105" s="14" t="s">
        <v>3704</v>
      </c>
      <c r="H1105" s="13" t="s">
        <v>2973</v>
      </c>
      <c r="I1105" s="14" t="s">
        <v>4558</v>
      </c>
      <c r="J1105" s="14" t="s">
        <v>4559</v>
      </c>
      <c r="K1105" s="478">
        <v>0.71</v>
      </c>
      <c r="L1105" s="220">
        <v>12.07</v>
      </c>
      <c r="M1105" s="568" t="s">
        <v>4560</v>
      </c>
      <c r="N1105" s="479" t="s">
        <v>2937</v>
      </c>
      <c r="O1105" s="569" t="s">
        <v>4561</v>
      </c>
      <c r="P1105" s="14" t="s">
        <v>3223</v>
      </c>
      <c r="Q1105" s="10" t="s">
        <v>3230</v>
      </c>
      <c r="R1105" s="14">
        <v>2</v>
      </c>
      <c r="S1105" s="14">
        <f t="shared" si="1062"/>
        <v>0.2414</v>
      </c>
      <c r="T1105" s="487">
        <f>SUM(R1089:R1115)</f>
        <v>100.35</v>
      </c>
      <c r="U1105" s="14">
        <f t="shared" si="1111"/>
        <v>1.9930244145490783</v>
      </c>
      <c r="V1105" s="220"/>
      <c r="W1105" s="14" t="s">
        <v>4571</v>
      </c>
      <c r="X1105">
        <f t="shared" si="1164"/>
        <v>1.4150473343298455</v>
      </c>
      <c r="Y1105" s="499">
        <f t="shared" ref="Y1105:AA1105" si="1175">X1105</f>
        <v>1.4150473343298455</v>
      </c>
      <c r="Z1105" s="220">
        <f t="shared" si="1175"/>
        <v>1.4150473343298455</v>
      </c>
      <c r="AA1105" s="792">
        <f t="shared" si="1175"/>
        <v>1.4150473343298455</v>
      </c>
      <c r="AB1105" s="466" t="s">
        <v>990</v>
      </c>
      <c r="AC1105" s="13" t="s">
        <v>3223</v>
      </c>
      <c r="AD1105" s="13" t="s">
        <v>3227</v>
      </c>
      <c r="AE1105" s="12">
        <v>4.8065157443333336E-3</v>
      </c>
      <c r="AF1105" s="12">
        <v>2.3753475394999998E-2</v>
      </c>
      <c r="AG1105" s="12">
        <v>4.4716312056737589E-4</v>
      </c>
      <c r="AH1105" s="12">
        <v>1.378834501718213E-3</v>
      </c>
    </row>
    <row r="1106" spans="1:34" ht="14.25">
      <c r="A1106" s="14" t="s">
        <v>4556</v>
      </c>
      <c r="B1106" s="24" t="s">
        <v>2768</v>
      </c>
      <c r="C1106" s="142" t="s">
        <v>2778</v>
      </c>
      <c r="D1106" s="14" t="s">
        <v>2911</v>
      </c>
      <c r="E1106" s="14" t="s">
        <v>4557</v>
      </c>
      <c r="F1106" s="13">
        <v>19.98</v>
      </c>
      <c r="G1106" s="14" t="s">
        <v>3704</v>
      </c>
      <c r="H1106" s="13" t="s">
        <v>2973</v>
      </c>
      <c r="I1106" s="14" t="s">
        <v>4558</v>
      </c>
      <c r="J1106" s="14" t="s">
        <v>4559</v>
      </c>
      <c r="K1106" s="478">
        <v>0.71</v>
      </c>
      <c r="L1106" s="220">
        <v>12.07</v>
      </c>
      <c r="M1106" s="568" t="s">
        <v>4560</v>
      </c>
      <c r="N1106" s="479" t="s">
        <v>2937</v>
      </c>
      <c r="O1106" s="569" t="s">
        <v>4561</v>
      </c>
      <c r="P1106" s="14" t="s">
        <v>3973</v>
      </c>
      <c r="Q1106" s="486" t="s">
        <v>3998</v>
      </c>
      <c r="R1106" s="14">
        <v>2</v>
      </c>
      <c r="S1106" s="14">
        <f t="shared" si="1062"/>
        <v>0.2414</v>
      </c>
      <c r="T1106" s="487">
        <f>SUM(R1089:R1115)</f>
        <v>100.35</v>
      </c>
      <c r="U1106" s="14">
        <f t="shared" si="1111"/>
        <v>1.9930244145490783</v>
      </c>
      <c r="V1106" s="220"/>
      <c r="W1106" s="14" t="s">
        <v>2703</v>
      </c>
      <c r="X1106">
        <f t="shared" si="1164"/>
        <v>1.4150473343298455</v>
      </c>
      <c r="Y1106" s="499">
        <f t="shared" ref="Y1106:AA1106" si="1176">X1106</f>
        <v>1.4150473343298455</v>
      </c>
      <c r="Z1106" s="220">
        <f t="shared" si="1176"/>
        <v>1.4150473343298455</v>
      </c>
      <c r="AA1106" s="792">
        <f t="shared" si="1176"/>
        <v>1.4150473343298455</v>
      </c>
      <c r="AB1106" s="466" t="s">
        <v>2703</v>
      </c>
      <c r="AC1106" s="13" t="s">
        <v>244</v>
      </c>
      <c r="AD1106" s="13" t="s">
        <v>4197</v>
      </c>
      <c r="AE1106" s="12">
        <v>7.6594132480302998E-3</v>
      </c>
      <c r="AF1106" s="12">
        <v>0.25452159072024799</v>
      </c>
      <c r="AG1106" s="12">
        <v>2.4499999999999999E-4</v>
      </c>
      <c r="AH1106" s="12">
        <v>3.0864741882572887E-4</v>
      </c>
    </row>
    <row r="1107" spans="1:34" ht="14.25">
      <c r="A1107" s="14" t="s">
        <v>4556</v>
      </c>
      <c r="B1107" s="24" t="s">
        <v>2768</v>
      </c>
      <c r="C1107" s="142" t="s">
        <v>2778</v>
      </c>
      <c r="D1107" s="14" t="s">
        <v>2911</v>
      </c>
      <c r="E1107" s="14" t="s">
        <v>4557</v>
      </c>
      <c r="F1107" s="13">
        <v>19.98</v>
      </c>
      <c r="G1107" s="14" t="s">
        <v>3704</v>
      </c>
      <c r="H1107" s="13" t="s">
        <v>2973</v>
      </c>
      <c r="I1107" s="14" t="s">
        <v>4558</v>
      </c>
      <c r="J1107" s="14" t="s">
        <v>4559</v>
      </c>
      <c r="K1107" s="478">
        <v>0.71</v>
      </c>
      <c r="L1107" s="220">
        <v>12.07</v>
      </c>
      <c r="M1107" s="568" t="s">
        <v>4560</v>
      </c>
      <c r="N1107" s="479" t="s">
        <v>2937</v>
      </c>
      <c r="O1107" s="569" t="s">
        <v>4561</v>
      </c>
      <c r="P1107" s="14" t="s">
        <v>139</v>
      </c>
      <c r="Q1107" s="14" t="s">
        <v>3020</v>
      </c>
      <c r="R1107" s="14">
        <v>1.6</v>
      </c>
      <c r="S1107" s="14">
        <f t="shared" si="1062"/>
        <v>0.19312000000000001</v>
      </c>
      <c r="T1107" s="487">
        <f>SUM(R1089:R1115)</f>
        <v>100.35</v>
      </c>
      <c r="U1107" s="14">
        <f t="shared" si="1111"/>
        <v>1.5944195316392626</v>
      </c>
      <c r="V1107" s="220"/>
      <c r="W1107" s="14" t="s">
        <v>139</v>
      </c>
      <c r="X1107">
        <f t="shared" si="1164"/>
        <v>1.1320378674638765</v>
      </c>
      <c r="Y1107" s="220">
        <f>SUM(X1107,X1130,X1132,X1144,X1159,X1160)</f>
        <v>2.3321370859820285</v>
      </c>
      <c r="Z1107" s="220">
        <f>SUM(X1107,X1130,X1132,X1144,X1159:X1160)</f>
        <v>2.3321370859820285</v>
      </c>
      <c r="AA1107" s="792">
        <f>Z1107</f>
        <v>2.3321370859820285</v>
      </c>
      <c r="AB1107" s="466" t="s">
        <v>139</v>
      </c>
      <c r="AC1107" s="831" t="s">
        <v>138</v>
      </c>
      <c r="AD1107" s="831" t="s">
        <v>3019</v>
      </c>
      <c r="AE1107" s="12">
        <v>4.0165275294130297E-3</v>
      </c>
      <c r="AF1107" s="12">
        <v>3.2725331200335404E-2</v>
      </c>
      <c r="AG1107" s="12">
        <v>2.4399999999999999E-4</v>
      </c>
      <c r="AH1107" s="12">
        <v>2.0392735E-3</v>
      </c>
    </row>
    <row r="1108" spans="1:34" ht="14.25">
      <c r="A1108" s="14" t="s">
        <v>4556</v>
      </c>
      <c r="B1108" s="24" t="s">
        <v>2768</v>
      </c>
      <c r="C1108" s="142" t="s">
        <v>2778</v>
      </c>
      <c r="D1108" s="14" t="s">
        <v>2911</v>
      </c>
      <c r="E1108" s="14" t="s">
        <v>4557</v>
      </c>
      <c r="F1108" s="13">
        <v>19.98</v>
      </c>
      <c r="G1108" s="14" t="s">
        <v>3704</v>
      </c>
      <c r="H1108" s="13" t="s">
        <v>2973</v>
      </c>
      <c r="I1108" s="14" t="s">
        <v>4558</v>
      </c>
      <c r="J1108" s="14" t="s">
        <v>4559</v>
      </c>
      <c r="K1108" s="478">
        <v>0.71</v>
      </c>
      <c r="L1108" s="220">
        <v>12.07</v>
      </c>
      <c r="M1108" s="568" t="s">
        <v>4560</v>
      </c>
      <c r="N1108" s="479" t="s">
        <v>2937</v>
      </c>
      <c r="O1108" s="569" t="s">
        <v>4561</v>
      </c>
      <c r="P1108" s="14" t="s">
        <v>2945</v>
      </c>
      <c r="Q1108" s="435" t="s">
        <v>2946</v>
      </c>
      <c r="R1108" s="14">
        <v>2</v>
      </c>
      <c r="S1108" s="14">
        <f t="shared" si="1062"/>
        <v>0.2414</v>
      </c>
      <c r="T1108" s="487">
        <f>SUM(R1089:R1115)</f>
        <v>100.35</v>
      </c>
      <c r="U1108" s="14">
        <f t="shared" si="1111"/>
        <v>1.9930244145490783</v>
      </c>
      <c r="V1108" s="220"/>
      <c r="W1108" s="14" t="s">
        <v>433</v>
      </c>
      <c r="X1108">
        <f t="shared" si="1164"/>
        <v>1.4150473343298455</v>
      </c>
      <c r="Y1108" s="220" t="s">
        <v>1666</v>
      </c>
      <c r="Z1108" s="220" t="str">
        <f t="shared" ref="Z1108:AH1108" si="1177">Y1108</f>
        <v>*</v>
      </c>
      <c r="AA1108" s="792" t="str">
        <f t="shared" si="1177"/>
        <v>*</v>
      </c>
      <c r="AB1108" s="466" t="str">
        <f t="shared" si="1177"/>
        <v>*</v>
      </c>
      <c r="AC1108" s="831" t="str">
        <f t="shared" si="1177"/>
        <v>*</v>
      </c>
      <c r="AD1108" s="831" t="str">
        <f t="shared" si="1177"/>
        <v>*</v>
      </c>
      <c r="AE1108" s="454" t="str">
        <f t="shared" si="1177"/>
        <v>*</v>
      </c>
      <c r="AF1108" s="454" t="str">
        <f t="shared" si="1177"/>
        <v>*</v>
      </c>
      <c r="AG1108" s="454" t="str">
        <f t="shared" si="1177"/>
        <v>*</v>
      </c>
      <c r="AH1108" s="454" t="str">
        <f t="shared" si="1177"/>
        <v>*</v>
      </c>
    </row>
    <row r="1109" spans="1:34" ht="14.25">
      <c r="A1109" s="14" t="s">
        <v>4556</v>
      </c>
      <c r="B1109" s="24" t="s">
        <v>2768</v>
      </c>
      <c r="C1109" s="142" t="s">
        <v>2778</v>
      </c>
      <c r="D1109" s="14" t="s">
        <v>2911</v>
      </c>
      <c r="E1109" s="14" t="s">
        <v>4557</v>
      </c>
      <c r="F1109" s="13">
        <v>19.98</v>
      </c>
      <c r="G1109" s="14" t="s">
        <v>3704</v>
      </c>
      <c r="H1109" s="13" t="s">
        <v>2973</v>
      </c>
      <c r="I1109" s="14" t="s">
        <v>4558</v>
      </c>
      <c r="J1109" s="14" t="s">
        <v>4559</v>
      </c>
      <c r="K1109" s="478">
        <v>0.71</v>
      </c>
      <c r="L1109" s="220">
        <v>12.07</v>
      </c>
      <c r="M1109" s="568" t="s">
        <v>4560</v>
      </c>
      <c r="N1109" s="479" t="s">
        <v>2937</v>
      </c>
      <c r="O1109" s="569" t="s">
        <v>4561</v>
      </c>
      <c r="P1109" s="14" t="s">
        <v>330</v>
      </c>
      <c r="Q1109" s="486" t="s">
        <v>3113</v>
      </c>
      <c r="R1109" s="14">
        <v>2</v>
      </c>
      <c r="S1109" s="14">
        <f t="shared" si="1062"/>
        <v>0.2414</v>
      </c>
      <c r="T1109" s="487">
        <f>SUM(R1089:R1115)</f>
        <v>100.35</v>
      </c>
      <c r="U1109" s="14">
        <f t="shared" si="1111"/>
        <v>1.9930244145490783</v>
      </c>
      <c r="V1109" s="220"/>
      <c r="W1109" s="14" t="s">
        <v>332</v>
      </c>
      <c r="X1109">
        <f t="shared" si="1164"/>
        <v>1.4150473343298455</v>
      </c>
      <c r="Y1109" s="220" t="s">
        <v>1666</v>
      </c>
      <c r="Z1109" s="220" t="str">
        <f t="shared" ref="Z1109:AH1109" si="1178">Y1109</f>
        <v>*</v>
      </c>
      <c r="AA1109" s="792" t="str">
        <f t="shared" si="1178"/>
        <v>*</v>
      </c>
      <c r="AB1109" s="466" t="str">
        <f t="shared" si="1178"/>
        <v>*</v>
      </c>
      <c r="AC1109" s="831" t="str">
        <f t="shared" si="1178"/>
        <v>*</v>
      </c>
      <c r="AD1109" s="831" t="str">
        <f t="shared" si="1178"/>
        <v>*</v>
      </c>
      <c r="AE1109" s="454" t="str">
        <f t="shared" si="1178"/>
        <v>*</v>
      </c>
      <c r="AF1109" s="454" t="str">
        <f t="shared" si="1178"/>
        <v>*</v>
      </c>
      <c r="AG1109" s="454" t="str">
        <f t="shared" si="1178"/>
        <v>*</v>
      </c>
      <c r="AH1109" s="454" t="str">
        <f t="shared" si="1178"/>
        <v>*</v>
      </c>
    </row>
    <row r="1110" spans="1:34" ht="14.25">
      <c r="A1110" s="14" t="s">
        <v>4556</v>
      </c>
      <c r="B1110" s="24" t="s">
        <v>2768</v>
      </c>
      <c r="C1110" s="142" t="s">
        <v>2778</v>
      </c>
      <c r="D1110" s="14" t="s">
        <v>2911</v>
      </c>
      <c r="E1110" s="14" t="s">
        <v>4557</v>
      </c>
      <c r="F1110" s="13">
        <v>19.98</v>
      </c>
      <c r="G1110" s="14" t="s">
        <v>3704</v>
      </c>
      <c r="H1110" s="13" t="s">
        <v>2973</v>
      </c>
      <c r="I1110" s="14" t="s">
        <v>4558</v>
      </c>
      <c r="J1110" s="14" t="s">
        <v>4559</v>
      </c>
      <c r="K1110" s="478">
        <v>0.71</v>
      </c>
      <c r="L1110" s="220">
        <v>12.07</v>
      </c>
      <c r="M1110" s="568" t="s">
        <v>4560</v>
      </c>
      <c r="N1110" s="479" t="s">
        <v>2937</v>
      </c>
      <c r="O1110" s="569" t="s">
        <v>4561</v>
      </c>
      <c r="P1110" s="14" t="s">
        <v>432</v>
      </c>
      <c r="Q1110" s="486" t="s">
        <v>3028</v>
      </c>
      <c r="R1110" s="14">
        <v>1</v>
      </c>
      <c r="S1110" s="14">
        <f t="shared" si="1062"/>
        <v>0.1207</v>
      </c>
      <c r="T1110" s="487">
        <f>SUM(R1089:R1115)</f>
        <v>100.35</v>
      </c>
      <c r="U1110" s="14">
        <f t="shared" si="1111"/>
        <v>0.99651220727453915</v>
      </c>
      <c r="V1110" s="220"/>
      <c r="W1110" s="14" t="s">
        <v>432</v>
      </c>
      <c r="X1110">
        <f t="shared" si="1164"/>
        <v>0.70752366716492276</v>
      </c>
      <c r="Y1110" s="220" t="s">
        <v>1666</v>
      </c>
      <c r="Z1110" s="220">
        <f>SUM(X1110,X1129)</f>
        <v>1.1625637304748446</v>
      </c>
      <c r="AA1110" s="792">
        <f>Z1110</f>
        <v>1.1625637304748446</v>
      </c>
      <c r="AB1110" s="18" t="s">
        <v>2529</v>
      </c>
      <c r="AC1110" s="14" t="s">
        <v>3029</v>
      </c>
      <c r="AD1110" s="14" t="s">
        <v>3030</v>
      </c>
      <c r="AE1110" s="12">
        <v>2.2558902713754649E-4</v>
      </c>
      <c r="AF1110" s="12">
        <v>9.3669250645994837E-3</v>
      </c>
      <c r="AG1110" s="12">
        <v>3.8830162085976054E-4</v>
      </c>
      <c r="AH1110" s="12">
        <v>3.0037166166469137E-4</v>
      </c>
    </row>
    <row r="1111" spans="1:34" ht="14.25">
      <c r="A1111" s="14" t="s">
        <v>4556</v>
      </c>
      <c r="B1111" s="24" t="s">
        <v>2768</v>
      </c>
      <c r="C1111" s="142" t="s">
        <v>2778</v>
      </c>
      <c r="D1111" s="14" t="s">
        <v>2911</v>
      </c>
      <c r="E1111" s="14" t="s">
        <v>4557</v>
      </c>
      <c r="F1111" s="13">
        <v>19.98</v>
      </c>
      <c r="G1111" s="14" t="s">
        <v>3704</v>
      </c>
      <c r="H1111" s="13" t="s">
        <v>2973</v>
      </c>
      <c r="I1111" s="14" t="s">
        <v>4558</v>
      </c>
      <c r="J1111" s="14" t="s">
        <v>4559</v>
      </c>
      <c r="K1111" s="478">
        <v>0.71</v>
      </c>
      <c r="L1111" s="220">
        <v>12.07</v>
      </c>
      <c r="M1111" s="568" t="s">
        <v>4560</v>
      </c>
      <c r="N1111" s="479" t="s">
        <v>2937</v>
      </c>
      <c r="O1111" s="569" t="s">
        <v>4561</v>
      </c>
      <c r="P1111" s="14" t="s">
        <v>4237</v>
      </c>
      <c r="Q1111" s="486" t="s">
        <v>4572</v>
      </c>
      <c r="R1111" s="14">
        <v>0.75</v>
      </c>
      <c r="S1111" s="14">
        <f t="shared" si="1062"/>
        <v>9.0524999999999994E-2</v>
      </c>
      <c r="T1111" s="487">
        <f>SUM(R1089:R1115)</f>
        <v>100.35</v>
      </c>
      <c r="U1111" s="14">
        <f t="shared" si="1111"/>
        <v>0.74738415545590442</v>
      </c>
      <c r="V1111" s="220"/>
      <c r="W1111" s="14" t="s">
        <v>4239</v>
      </c>
      <c r="X1111">
        <f t="shared" si="1164"/>
        <v>0.53064275037369213</v>
      </c>
      <c r="Y1111" s="499">
        <f>SUM(X1111,X1134,X1135,X1164,X1165)</f>
        <v>0.56105649060516893</v>
      </c>
      <c r="Z1111" s="220">
        <f t="shared" ref="Z1111:AA1111" si="1179">Y1111</f>
        <v>0.56105649060516893</v>
      </c>
      <c r="AA1111" s="792">
        <f t="shared" si="1179"/>
        <v>0.56105649060516893</v>
      </c>
      <c r="AB1111" s="467" t="s">
        <v>2783</v>
      </c>
      <c r="AC1111" s="932" t="s">
        <v>3174</v>
      </c>
      <c r="AD1111" s="932" t="s">
        <v>3174</v>
      </c>
      <c r="AE1111" s="461">
        <v>2.2073766211046637E-2</v>
      </c>
      <c r="AF1111" s="461">
        <v>8.7246004352723297E-2</v>
      </c>
      <c r="AG1111" s="461">
        <v>5.8202330775582959E-4</v>
      </c>
      <c r="AH1111" s="461">
        <v>2.670351142205461E-3</v>
      </c>
    </row>
    <row r="1112" spans="1:34" ht="14.25">
      <c r="A1112" s="14" t="s">
        <v>4556</v>
      </c>
      <c r="B1112" s="24" t="s">
        <v>2768</v>
      </c>
      <c r="C1112" s="142" t="s">
        <v>2778</v>
      </c>
      <c r="D1112" s="14" t="s">
        <v>2911</v>
      </c>
      <c r="E1112" s="14" t="s">
        <v>4557</v>
      </c>
      <c r="F1112" s="13">
        <v>19.98</v>
      </c>
      <c r="G1112" s="14" t="s">
        <v>3704</v>
      </c>
      <c r="H1112" s="13" t="s">
        <v>2973</v>
      </c>
      <c r="I1112" s="14" t="s">
        <v>4558</v>
      </c>
      <c r="J1112" s="14" t="s">
        <v>4559</v>
      </c>
      <c r="K1112" s="478">
        <v>0.71</v>
      </c>
      <c r="L1112" s="220">
        <v>12.07</v>
      </c>
      <c r="M1112" s="568" t="s">
        <v>4560</v>
      </c>
      <c r="N1112" s="479" t="s">
        <v>2937</v>
      </c>
      <c r="O1112" s="569" t="s">
        <v>4561</v>
      </c>
      <c r="P1112" s="14" t="s">
        <v>83</v>
      </c>
      <c r="Q1112" s="527" t="s">
        <v>3430</v>
      </c>
      <c r="R1112" s="14">
        <v>0.4</v>
      </c>
      <c r="S1112" s="14">
        <f t="shared" si="1062"/>
        <v>4.8280000000000003E-2</v>
      </c>
      <c r="T1112" s="487">
        <f>SUM(R1089:R1115)</f>
        <v>100.35</v>
      </c>
      <c r="U1112" s="14">
        <f t="shared" si="1111"/>
        <v>0.39860488290981566</v>
      </c>
      <c r="V1112" s="220"/>
      <c r="W1112" s="14" t="s">
        <v>83</v>
      </c>
      <c r="X1112">
        <f t="shared" si="1164"/>
        <v>0.28300946686596912</v>
      </c>
      <c r="Y1112" s="499">
        <f>SUM(X1112,X1131,X1163)</f>
        <v>0.51685297265289165</v>
      </c>
      <c r="Z1112" s="220">
        <f t="shared" ref="Z1112:AA1112" si="1180">Y1112</f>
        <v>0.51685297265289165</v>
      </c>
      <c r="AA1112" s="792">
        <f t="shared" si="1180"/>
        <v>0.51685297265289165</v>
      </c>
      <c r="AB1112" s="466" t="s">
        <v>83</v>
      </c>
      <c r="AC1112" s="14" t="s">
        <v>83</v>
      </c>
      <c r="AD1112" s="14" t="s">
        <v>2951</v>
      </c>
      <c r="AE1112" s="12">
        <v>0</v>
      </c>
      <c r="AF1112" s="12">
        <v>0</v>
      </c>
      <c r="AG1112" s="12">
        <v>0</v>
      </c>
      <c r="AH1112" s="12">
        <v>0</v>
      </c>
    </row>
    <row r="1113" spans="1:34" ht="14.25">
      <c r="A1113" s="14" t="s">
        <v>4556</v>
      </c>
      <c r="B1113" s="24" t="s">
        <v>2768</v>
      </c>
      <c r="C1113" s="142" t="s">
        <v>2778</v>
      </c>
      <c r="D1113" s="14" t="s">
        <v>2911</v>
      </c>
      <c r="E1113" s="14" t="s">
        <v>4557</v>
      </c>
      <c r="F1113" s="13">
        <v>19.98</v>
      </c>
      <c r="G1113" s="14" t="s">
        <v>3704</v>
      </c>
      <c r="H1113" s="13" t="s">
        <v>2973</v>
      </c>
      <c r="I1113" s="14" t="s">
        <v>4558</v>
      </c>
      <c r="J1113" s="14" t="s">
        <v>4559</v>
      </c>
      <c r="K1113" s="478">
        <v>0.71</v>
      </c>
      <c r="L1113" s="220">
        <v>12.07</v>
      </c>
      <c r="M1113" s="568" t="s">
        <v>4560</v>
      </c>
      <c r="N1113" s="479" t="s">
        <v>2937</v>
      </c>
      <c r="O1113" s="569" t="s">
        <v>4561</v>
      </c>
      <c r="P1113" s="14" t="s">
        <v>3072</v>
      </c>
      <c r="Q1113" s="14" t="s">
        <v>3073</v>
      </c>
      <c r="R1113" s="14">
        <v>0.4</v>
      </c>
      <c r="S1113" s="14">
        <f t="shared" si="1062"/>
        <v>4.8280000000000003E-2</v>
      </c>
      <c r="T1113" s="487">
        <f>SUM(R1089:R1115)</f>
        <v>100.35</v>
      </c>
      <c r="U1113" s="14">
        <f t="shared" si="1111"/>
        <v>0.39860488290981566</v>
      </c>
      <c r="V1113" s="220"/>
      <c r="W1113" s="14" t="s">
        <v>343</v>
      </c>
      <c r="X1113">
        <f t="shared" si="1164"/>
        <v>0.28300946686596912</v>
      </c>
      <c r="Y1113" s="220" t="s">
        <v>1666</v>
      </c>
      <c r="Z1113" s="220" t="str">
        <f t="shared" ref="Z1113:AH1113" si="1181">Y1113</f>
        <v>*</v>
      </c>
      <c r="AA1113" s="792" t="str">
        <f t="shared" si="1181"/>
        <v>*</v>
      </c>
      <c r="AB1113" s="466" t="str">
        <f t="shared" si="1181"/>
        <v>*</v>
      </c>
      <c r="AC1113" s="831" t="str">
        <f t="shared" si="1181"/>
        <v>*</v>
      </c>
      <c r="AD1113" s="831" t="str">
        <f t="shared" si="1181"/>
        <v>*</v>
      </c>
      <c r="AE1113" s="454" t="str">
        <f t="shared" si="1181"/>
        <v>*</v>
      </c>
      <c r="AF1113" s="454" t="str">
        <f t="shared" si="1181"/>
        <v>*</v>
      </c>
      <c r="AG1113" s="454" t="str">
        <f t="shared" si="1181"/>
        <v>*</v>
      </c>
      <c r="AH1113" s="454" t="str">
        <f t="shared" si="1181"/>
        <v>*</v>
      </c>
    </row>
    <row r="1114" spans="1:34" ht="14.25">
      <c r="A1114" s="14" t="s">
        <v>4556</v>
      </c>
      <c r="B1114" s="24" t="s">
        <v>2768</v>
      </c>
      <c r="C1114" s="142" t="s">
        <v>2778</v>
      </c>
      <c r="D1114" s="14" t="s">
        <v>2911</v>
      </c>
      <c r="E1114" s="14" t="s">
        <v>4557</v>
      </c>
      <c r="F1114" s="13">
        <v>19.98</v>
      </c>
      <c r="G1114" s="14" t="s">
        <v>3704</v>
      </c>
      <c r="H1114" s="13" t="s">
        <v>2973</v>
      </c>
      <c r="I1114" s="14" t="s">
        <v>4558</v>
      </c>
      <c r="J1114" s="14" t="s">
        <v>4559</v>
      </c>
      <c r="K1114" s="478">
        <v>0.71</v>
      </c>
      <c r="L1114" s="220">
        <v>12.07</v>
      </c>
      <c r="M1114" s="568" t="s">
        <v>4560</v>
      </c>
      <c r="N1114" s="479" t="s">
        <v>2937</v>
      </c>
      <c r="O1114" s="569" t="s">
        <v>4561</v>
      </c>
      <c r="P1114" s="14" t="s">
        <v>3023</v>
      </c>
      <c r="Q1114" s="435" t="s">
        <v>4506</v>
      </c>
      <c r="R1114" s="14">
        <v>0.3</v>
      </c>
      <c r="S1114" s="14">
        <f t="shared" si="1062"/>
        <v>3.6209999999999999E-2</v>
      </c>
      <c r="T1114" s="487">
        <f>SUM(R1089:R1115)</f>
        <v>100.35</v>
      </c>
      <c r="U1114" s="14">
        <f t="shared" si="1111"/>
        <v>0.29895366218236175</v>
      </c>
      <c r="V1114" s="220"/>
      <c r="W1114" s="14" t="s">
        <v>1668</v>
      </c>
      <c r="X1114">
        <f t="shared" si="1164"/>
        <v>0.21225710014947682</v>
      </c>
      <c r="Y1114" s="220" t="s">
        <v>1666</v>
      </c>
      <c r="Z1114" s="220" t="str">
        <f t="shared" ref="Z1114:AH1114" si="1182">Y1114</f>
        <v>*</v>
      </c>
      <c r="AA1114" s="792" t="str">
        <f t="shared" si="1182"/>
        <v>*</v>
      </c>
      <c r="AB1114" s="466" t="str">
        <f t="shared" si="1182"/>
        <v>*</v>
      </c>
      <c r="AC1114" s="831" t="str">
        <f t="shared" si="1182"/>
        <v>*</v>
      </c>
      <c r="AD1114" s="831" t="str">
        <f t="shared" si="1182"/>
        <v>*</v>
      </c>
      <c r="AE1114" s="454" t="str">
        <f t="shared" si="1182"/>
        <v>*</v>
      </c>
      <c r="AF1114" s="454" t="str">
        <f t="shared" si="1182"/>
        <v>*</v>
      </c>
      <c r="AG1114" s="454" t="str">
        <f t="shared" si="1182"/>
        <v>*</v>
      </c>
      <c r="AH1114" s="454" t="str">
        <f t="shared" si="1182"/>
        <v>*</v>
      </c>
    </row>
    <row r="1115" spans="1:34" ht="14.25">
      <c r="A1115" s="14" t="s">
        <v>4556</v>
      </c>
      <c r="B1115" s="24" t="s">
        <v>2768</v>
      </c>
      <c r="C1115" s="142" t="s">
        <v>2778</v>
      </c>
      <c r="D1115" s="14" t="s">
        <v>2911</v>
      </c>
      <c r="E1115" s="14" t="s">
        <v>4557</v>
      </c>
      <c r="F1115" s="13">
        <v>19.98</v>
      </c>
      <c r="G1115" s="14" t="s">
        <v>3704</v>
      </c>
      <c r="H1115" s="13" t="s">
        <v>2973</v>
      </c>
      <c r="I1115" s="135" t="s">
        <v>4558</v>
      </c>
      <c r="J1115" s="135" t="s">
        <v>4559</v>
      </c>
      <c r="K1115" s="475">
        <v>0.71</v>
      </c>
      <c r="L1115" s="476">
        <v>12.07</v>
      </c>
      <c r="M1115" s="570" t="s">
        <v>4560</v>
      </c>
      <c r="N1115" s="493" t="s">
        <v>2937</v>
      </c>
      <c r="O1115" s="571" t="s">
        <v>4561</v>
      </c>
      <c r="P1115" s="135" t="s">
        <v>3051</v>
      </c>
      <c r="Q1115" s="495" t="s">
        <v>3084</v>
      </c>
      <c r="R1115" s="135">
        <v>0.3</v>
      </c>
      <c r="S1115" s="135">
        <f t="shared" si="1062"/>
        <v>3.6209999999999999E-2</v>
      </c>
      <c r="T1115" s="872">
        <f>SUM(R1089:R1115)</f>
        <v>100.35</v>
      </c>
      <c r="U1115" s="135">
        <f t="shared" si="1111"/>
        <v>0.29895366218236175</v>
      </c>
      <c r="V1115" s="476"/>
      <c r="W1115" s="135" t="s">
        <v>4282</v>
      </c>
      <c r="X1115">
        <f t="shared" si="1164"/>
        <v>0.21225710014947682</v>
      </c>
      <c r="Y1115" s="220" t="s">
        <v>1624</v>
      </c>
      <c r="Z1115" s="220" t="s">
        <v>1666</v>
      </c>
      <c r="AA1115" s="792" t="str">
        <f t="shared" ref="AA1115:AH1115" si="1183">Z1115</f>
        <v>*</v>
      </c>
      <c r="AB1115" s="466" t="str">
        <f t="shared" si="1183"/>
        <v>*</v>
      </c>
      <c r="AC1115" s="831" t="str">
        <f t="shared" si="1183"/>
        <v>*</v>
      </c>
      <c r="AD1115" s="831" t="str">
        <f t="shared" si="1183"/>
        <v>*</v>
      </c>
      <c r="AE1115" s="454" t="str">
        <f t="shared" si="1183"/>
        <v>*</v>
      </c>
      <c r="AF1115" s="454" t="str">
        <f t="shared" si="1183"/>
        <v>*</v>
      </c>
      <c r="AG1115" s="454" t="str">
        <f t="shared" si="1183"/>
        <v>*</v>
      </c>
      <c r="AH1115" s="454" t="str">
        <f t="shared" si="1183"/>
        <v>*</v>
      </c>
    </row>
    <row r="1116" spans="1:34" ht="14.25">
      <c r="A1116" s="14" t="s">
        <v>4556</v>
      </c>
      <c r="B1116" s="24" t="s">
        <v>2768</v>
      </c>
      <c r="C1116" s="142" t="s">
        <v>2778</v>
      </c>
      <c r="D1116" s="14" t="s">
        <v>2911</v>
      </c>
      <c r="E1116" s="14" t="s">
        <v>4557</v>
      </c>
      <c r="F1116" s="13">
        <v>19.98</v>
      </c>
      <c r="G1116" s="14" t="s">
        <v>3704</v>
      </c>
      <c r="H1116" s="13" t="s">
        <v>2973</v>
      </c>
      <c r="I1116" s="14" t="s">
        <v>4573</v>
      </c>
      <c r="J1116" s="14" t="s">
        <v>4574</v>
      </c>
      <c r="K1116" s="478">
        <v>0.2</v>
      </c>
      <c r="L1116" s="220">
        <v>2.6</v>
      </c>
      <c r="M1116" s="568" t="s">
        <v>4575</v>
      </c>
      <c r="N1116" s="479" t="s">
        <v>2937</v>
      </c>
      <c r="O1116" s="569" t="s">
        <v>2976</v>
      </c>
      <c r="P1116" s="655" t="s">
        <v>3005</v>
      </c>
      <c r="Q1116" s="486" t="s">
        <v>3006</v>
      </c>
      <c r="R1116" s="14">
        <v>28</v>
      </c>
      <c r="S1116" s="14">
        <f t="shared" si="1062"/>
        <v>0.72800000000000009</v>
      </c>
      <c r="T1116" s="487">
        <f>SUM(R1116:R1135)</f>
        <v>101.08999999999999</v>
      </c>
      <c r="U1116">
        <f t="shared" si="1111"/>
        <v>27.698090810169159</v>
      </c>
      <c r="V1116" s="220"/>
      <c r="W1116" s="14" t="s">
        <v>2526</v>
      </c>
      <c r="X1116">
        <f t="shared" si="1164"/>
        <v>5.5396181620338325</v>
      </c>
      <c r="Y1116" s="220" t="s">
        <v>1666</v>
      </c>
      <c r="Z1116" s="220" t="str">
        <f t="shared" ref="Z1116:AH1116" si="1184">Y1116</f>
        <v>*</v>
      </c>
      <c r="AA1116" s="792" t="str">
        <f t="shared" si="1184"/>
        <v>*</v>
      </c>
      <c r="AB1116" s="466" t="str">
        <f t="shared" si="1184"/>
        <v>*</v>
      </c>
      <c r="AC1116" s="831" t="str">
        <f t="shared" si="1184"/>
        <v>*</v>
      </c>
      <c r="AD1116" s="831" t="str">
        <f t="shared" si="1184"/>
        <v>*</v>
      </c>
      <c r="AE1116" s="454" t="str">
        <f t="shared" si="1184"/>
        <v>*</v>
      </c>
      <c r="AF1116" s="454" t="str">
        <f t="shared" si="1184"/>
        <v>*</v>
      </c>
      <c r="AG1116" s="454" t="str">
        <f t="shared" si="1184"/>
        <v>*</v>
      </c>
      <c r="AH1116" s="454" t="str">
        <f t="shared" si="1184"/>
        <v>*</v>
      </c>
    </row>
    <row r="1117" spans="1:34" ht="14.25">
      <c r="A1117" s="14" t="s">
        <v>4556</v>
      </c>
      <c r="B1117" s="24" t="s">
        <v>2768</v>
      </c>
      <c r="C1117" s="142" t="s">
        <v>2778</v>
      </c>
      <c r="D1117" s="14" t="s">
        <v>2911</v>
      </c>
      <c r="E1117" s="14" t="s">
        <v>4557</v>
      </c>
      <c r="F1117" s="13">
        <v>19.98</v>
      </c>
      <c r="G1117" s="14" t="s">
        <v>3704</v>
      </c>
      <c r="H1117" s="13" t="s">
        <v>2973</v>
      </c>
      <c r="I1117" s="14" t="s">
        <v>4573</v>
      </c>
      <c r="J1117" s="14" t="s">
        <v>4574</v>
      </c>
      <c r="K1117" s="478">
        <v>0.2</v>
      </c>
      <c r="L1117" s="220">
        <v>2.6</v>
      </c>
      <c r="M1117" s="568" t="s">
        <v>4575</v>
      </c>
      <c r="N1117" s="479" t="s">
        <v>2937</v>
      </c>
      <c r="O1117" s="569" t="s">
        <v>2976</v>
      </c>
      <c r="P1117" s="14" t="s">
        <v>2945</v>
      </c>
      <c r="Q1117" s="14" t="s">
        <v>4562</v>
      </c>
      <c r="R1117" s="14">
        <v>26</v>
      </c>
      <c r="S1117" s="14">
        <f t="shared" si="1062"/>
        <v>0.67600000000000005</v>
      </c>
      <c r="T1117" s="487">
        <f>SUM(R1116:R1135)</f>
        <v>101.08999999999999</v>
      </c>
      <c r="U1117">
        <f t="shared" si="1111"/>
        <v>25.719655752299932</v>
      </c>
      <c r="V1117" s="220"/>
      <c r="W1117" s="14" t="s">
        <v>433</v>
      </c>
      <c r="X1117">
        <f t="shared" si="1164"/>
        <v>5.1439311504599869</v>
      </c>
      <c r="Y1117" s="220" t="s">
        <v>1666</v>
      </c>
      <c r="Z1117" s="220" t="str">
        <f t="shared" ref="Z1117:AH1117" si="1185">Y1117</f>
        <v>*</v>
      </c>
      <c r="AA1117" s="792" t="str">
        <f t="shared" si="1185"/>
        <v>*</v>
      </c>
      <c r="AB1117" s="466" t="str">
        <f t="shared" si="1185"/>
        <v>*</v>
      </c>
      <c r="AC1117" s="831" t="str">
        <f t="shared" si="1185"/>
        <v>*</v>
      </c>
      <c r="AD1117" s="831" t="str">
        <f t="shared" si="1185"/>
        <v>*</v>
      </c>
      <c r="AE1117" s="454" t="str">
        <f t="shared" si="1185"/>
        <v>*</v>
      </c>
      <c r="AF1117" s="454" t="str">
        <f t="shared" si="1185"/>
        <v>*</v>
      </c>
      <c r="AG1117" s="454" t="str">
        <f t="shared" si="1185"/>
        <v>*</v>
      </c>
      <c r="AH1117" s="454" t="str">
        <f t="shared" si="1185"/>
        <v>*</v>
      </c>
    </row>
    <row r="1118" spans="1:34" ht="14.25">
      <c r="A1118" s="14" t="s">
        <v>4556</v>
      </c>
      <c r="B1118" s="24" t="s">
        <v>2768</v>
      </c>
      <c r="C1118" s="142" t="s">
        <v>2778</v>
      </c>
      <c r="D1118" s="14" t="s">
        <v>2911</v>
      </c>
      <c r="E1118" s="14" t="s">
        <v>4557</v>
      </c>
      <c r="F1118" s="13">
        <v>19.98</v>
      </c>
      <c r="G1118" s="14" t="s">
        <v>3704</v>
      </c>
      <c r="H1118" s="13" t="s">
        <v>2973</v>
      </c>
      <c r="I1118" s="14" t="s">
        <v>4573</v>
      </c>
      <c r="J1118" s="14" t="s">
        <v>4574</v>
      </c>
      <c r="K1118" s="478">
        <v>0.2</v>
      </c>
      <c r="L1118" s="220">
        <v>2.6</v>
      </c>
      <c r="M1118" s="568" t="s">
        <v>4575</v>
      </c>
      <c r="N1118" s="479" t="s">
        <v>2937</v>
      </c>
      <c r="O1118" s="569" t="s">
        <v>2976</v>
      </c>
      <c r="P1118" s="14" t="s">
        <v>421</v>
      </c>
      <c r="Q1118" s="14" t="s">
        <v>4576</v>
      </c>
      <c r="R1118" s="14">
        <v>1</v>
      </c>
      <c r="S1118" s="14">
        <f t="shared" si="1062"/>
        <v>2.6000000000000002E-2</v>
      </c>
      <c r="T1118" s="487">
        <f>SUM(R1116:R1135)</f>
        <v>101.08999999999999</v>
      </c>
      <c r="U1118">
        <f t="shared" si="1111"/>
        <v>0.98921752893461279</v>
      </c>
      <c r="V1118" s="220"/>
      <c r="W1118" s="14" t="s">
        <v>421</v>
      </c>
      <c r="X1118">
        <f t="shared" si="1164"/>
        <v>0.19784350578692256</v>
      </c>
      <c r="Y1118" s="220" t="s">
        <v>1666</v>
      </c>
      <c r="Z1118" s="220" t="str">
        <f t="shared" ref="Z1118:AH1118" si="1186">Y1118</f>
        <v>*</v>
      </c>
      <c r="AA1118" s="792" t="str">
        <f t="shared" si="1186"/>
        <v>*</v>
      </c>
      <c r="AB1118" s="466" t="str">
        <f t="shared" si="1186"/>
        <v>*</v>
      </c>
      <c r="AC1118" s="831" t="str">
        <f t="shared" si="1186"/>
        <v>*</v>
      </c>
      <c r="AD1118" s="831" t="str">
        <f t="shared" si="1186"/>
        <v>*</v>
      </c>
      <c r="AE1118" s="454" t="str">
        <f t="shared" si="1186"/>
        <v>*</v>
      </c>
      <c r="AF1118" s="454" t="str">
        <f t="shared" si="1186"/>
        <v>*</v>
      </c>
      <c r="AG1118" s="454" t="str">
        <f t="shared" si="1186"/>
        <v>*</v>
      </c>
      <c r="AH1118" s="454" t="str">
        <f t="shared" si="1186"/>
        <v>*</v>
      </c>
    </row>
    <row r="1119" spans="1:34" ht="14.25">
      <c r="A1119" s="14" t="s">
        <v>4556</v>
      </c>
      <c r="B1119" s="24" t="s">
        <v>2768</v>
      </c>
      <c r="C1119" s="142" t="s">
        <v>2778</v>
      </c>
      <c r="D1119" s="14" t="s">
        <v>2911</v>
      </c>
      <c r="E1119" s="14" t="s">
        <v>4557</v>
      </c>
      <c r="F1119" s="13">
        <v>19.98</v>
      </c>
      <c r="G1119" s="14" t="s">
        <v>3704</v>
      </c>
      <c r="H1119" s="13" t="s">
        <v>2973</v>
      </c>
      <c r="I1119" s="14" t="s">
        <v>4573</v>
      </c>
      <c r="J1119" s="14" t="s">
        <v>4574</v>
      </c>
      <c r="K1119" s="478">
        <v>0.2</v>
      </c>
      <c r="L1119" s="220">
        <v>2.6</v>
      </c>
      <c r="M1119" s="568" t="s">
        <v>4575</v>
      </c>
      <c r="N1119" s="479" t="s">
        <v>2937</v>
      </c>
      <c r="O1119" s="569" t="s">
        <v>2976</v>
      </c>
      <c r="P1119" s="14" t="s">
        <v>3023</v>
      </c>
      <c r="Q1119" s="14" t="s">
        <v>4563</v>
      </c>
      <c r="R1119" s="14">
        <v>7</v>
      </c>
      <c r="S1119" s="14">
        <f t="shared" si="1062"/>
        <v>0.18200000000000002</v>
      </c>
      <c r="T1119" s="487">
        <f>SUM(R1116:R1135)</f>
        <v>101.08999999999999</v>
      </c>
      <c r="U1119">
        <f t="shared" si="1111"/>
        <v>6.9245227025422897</v>
      </c>
      <c r="V1119" s="220"/>
      <c r="W1119" s="14" t="s">
        <v>1668</v>
      </c>
      <c r="X1119">
        <f t="shared" si="1164"/>
        <v>1.3849045405084581</v>
      </c>
      <c r="Y1119" s="220" t="s">
        <v>1666</v>
      </c>
      <c r="Z1119" s="220" t="str">
        <f t="shared" ref="Z1119:AH1119" si="1187">Y1119</f>
        <v>*</v>
      </c>
      <c r="AA1119" s="792" t="str">
        <f t="shared" si="1187"/>
        <v>*</v>
      </c>
      <c r="AB1119" s="466" t="str">
        <f t="shared" si="1187"/>
        <v>*</v>
      </c>
      <c r="AC1119" s="831" t="str">
        <f t="shared" si="1187"/>
        <v>*</v>
      </c>
      <c r="AD1119" s="831" t="str">
        <f t="shared" si="1187"/>
        <v>*</v>
      </c>
      <c r="AE1119" s="454" t="str">
        <f t="shared" si="1187"/>
        <v>*</v>
      </c>
      <c r="AF1119" s="454" t="str">
        <f t="shared" si="1187"/>
        <v>*</v>
      </c>
      <c r="AG1119" s="454" t="str">
        <f t="shared" si="1187"/>
        <v>*</v>
      </c>
      <c r="AH1119" s="454" t="str">
        <f t="shared" si="1187"/>
        <v>*</v>
      </c>
    </row>
    <row r="1120" spans="1:34" ht="14.25">
      <c r="A1120" s="14" t="s">
        <v>4556</v>
      </c>
      <c r="B1120" s="24" t="s">
        <v>2768</v>
      </c>
      <c r="C1120" s="142" t="s">
        <v>2778</v>
      </c>
      <c r="D1120" s="14" t="s">
        <v>2911</v>
      </c>
      <c r="E1120" s="14" t="s">
        <v>4557</v>
      </c>
      <c r="F1120" s="13">
        <v>19.98</v>
      </c>
      <c r="G1120" s="14" t="s">
        <v>3704</v>
      </c>
      <c r="H1120" s="13" t="s">
        <v>2973</v>
      </c>
      <c r="I1120" s="14" t="s">
        <v>4573</v>
      </c>
      <c r="J1120" s="14" t="s">
        <v>4574</v>
      </c>
      <c r="K1120" s="478">
        <v>0.2</v>
      </c>
      <c r="L1120" s="220">
        <v>2.6</v>
      </c>
      <c r="M1120" s="568" t="s">
        <v>4575</v>
      </c>
      <c r="N1120" s="479" t="s">
        <v>2937</v>
      </c>
      <c r="O1120" s="569" t="s">
        <v>2976</v>
      </c>
      <c r="P1120" s="14" t="s">
        <v>3072</v>
      </c>
      <c r="Q1120" s="14" t="s">
        <v>4565</v>
      </c>
      <c r="R1120" s="14">
        <v>1</v>
      </c>
      <c r="S1120" s="14">
        <f t="shared" si="1062"/>
        <v>2.6000000000000002E-2</v>
      </c>
      <c r="T1120" s="487">
        <f>SUM(R1116:R1135)</f>
        <v>101.08999999999999</v>
      </c>
      <c r="U1120">
        <f t="shared" si="1111"/>
        <v>0.98921752893461279</v>
      </c>
      <c r="V1120" s="220"/>
      <c r="W1120" s="14" t="s">
        <v>343</v>
      </c>
      <c r="X1120">
        <f t="shared" si="1164"/>
        <v>0.19784350578692256</v>
      </c>
      <c r="Y1120" s="220" t="s">
        <v>1666</v>
      </c>
      <c r="Z1120" s="220" t="str">
        <f t="shared" ref="Z1120:AH1120" si="1188">Y1120</f>
        <v>*</v>
      </c>
      <c r="AA1120" s="792" t="str">
        <f t="shared" si="1188"/>
        <v>*</v>
      </c>
      <c r="AB1120" s="466" t="str">
        <f t="shared" si="1188"/>
        <v>*</v>
      </c>
      <c r="AC1120" s="831" t="str">
        <f t="shared" si="1188"/>
        <v>*</v>
      </c>
      <c r="AD1120" s="831" t="str">
        <f t="shared" si="1188"/>
        <v>*</v>
      </c>
      <c r="AE1120" s="454" t="str">
        <f t="shared" si="1188"/>
        <v>*</v>
      </c>
      <c r="AF1120" s="454" t="str">
        <f t="shared" si="1188"/>
        <v>*</v>
      </c>
      <c r="AG1120" s="454" t="str">
        <f t="shared" si="1188"/>
        <v>*</v>
      </c>
      <c r="AH1120" s="454" t="str">
        <f t="shared" si="1188"/>
        <v>*</v>
      </c>
    </row>
    <row r="1121" spans="1:34" ht="14.25">
      <c r="A1121" s="14" t="s">
        <v>4556</v>
      </c>
      <c r="B1121" s="24" t="s">
        <v>2768</v>
      </c>
      <c r="C1121" s="142" t="s">
        <v>2778</v>
      </c>
      <c r="D1121" s="14" t="s">
        <v>2911</v>
      </c>
      <c r="E1121" s="14" t="s">
        <v>4557</v>
      </c>
      <c r="F1121" s="13">
        <v>19.98</v>
      </c>
      <c r="G1121" s="14" t="s">
        <v>3704</v>
      </c>
      <c r="H1121" s="13" t="s">
        <v>2973</v>
      </c>
      <c r="I1121" s="14" t="s">
        <v>4573</v>
      </c>
      <c r="J1121" s="14" t="s">
        <v>4574</v>
      </c>
      <c r="K1121" s="478">
        <v>0.2</v>
      </c>
      <c r="L1121" s="220">
        <v>2.6</v>
      </c>
      <c r="M1121" s="568" t="s">
        <v>4575</v>
      </c>
      <c r="N1121" s="479" t="s">
        <v>2937</v>
      </c>
      <c r="O1121" s="569" t="s">
        <v>2976</v>
      </c>
      <c r="P1121" s="14" t="s">
        <v>4226</v>
      </c>
      <c r="Q1121" s="486" t="s">
        <v>4564</v>
      </c>
      <c r="R1121" s="14">
        <v>2</v>
      </c>
      <c r="S1121" s="14">
        <f t="shared" si="1062"/>
        <v>5.2000000000000005E-2</v>
      </c>
      <c r="T1121" s="487">
        <f>SUM(R1116:R1135)</f>
        <v>101.08999999999999</v>
      </c>
      <c r="U1121">
        <f t="shared" si="1111"/>
        <v>1.9784350578692256</v>
      </c>
      <c r="V1121" s="220"/>
      <c r="W1121" s="14" t="s">
        <v>423</v>
      </c>
      <c r="X1121">
        <f t="shared" si="1164"/>
        <v>0.39568701157384512</v>
      </c>
      <c r="Y1121" s="220" t="s">
        <v>1666</v>
      </c>
      <c r="Z1121" s="220" t="str">
        <f t="shared" ref="Z1121:AH1121" si="1189">Y1121</f>
        <v>*</v>
      </c>
      <c r="AA1121" s="792" t="str">
        <f t="shared" si="1189"/>
        <v>*</v>
      </c>
      <c r="AB1121" s="466" t="str">
        <f t="shared" si="1189"/>
        <v>*</v>
      </c>
      <c r="AC1121" s="831" t="str">
        <f t="shared" si="1189"/>
        <v>*</v>
      </c>
      <c r="AD1121" s="831" t="str">
        <f t="shared" si="1189"/>
        <v>*</v>
      </c>
      <c r="AE1121" s="454" t="str">
        <f t="shared" si="1189"/>
        <v>*</v>
      </c>
      <c r="AF1121" s="454" t="str">
        <f t="shared" si="1189"/>
        <v>*</v>
      </c>
      <c r="AG1121" s="454" t="str">
        <f t="shared" si="1189"/>
        <v>*</v>
      </c>
      <c r="AH1121" s="454" t="str">
        <f t="shared" si="1189"/>
        <v>*</v>
      </c>
    </row>
    <row r="1122" spans="1:34" ht="14.25">
      <c r="A1122" s="14" t="s">
        <v>4556</v>
      </c>
      <c r="B1122" s="24" t="s">
        <v>2768</v>
      </c>
      <c r="C1122" s="142" t="s">
        <v>2778</v>
      </c>
      <c r="D1122" s="14" t="s">
        <v>2911</v>
      </c>
      <c r="E1122" s="14" t="s">
        <v>4557</v>
      </c>
      <c r="F1122" s="13">
        <v>19.98</v>
      </c>
      <c r="G1122" s="14" t="s">
        <v>3704</v>
      </c>
      <c r="H1122" s="13" t="s">
        <v>2973</v>
      </c>
      <c r="I1122" s="14" t="s">
        <v>4573</v>
      </c>
      <c r="J1122" s="14" t="s">
        <v>4574</v>
      </c>
      <c r="K1122" s="478">
        <v>0.2</v>
      </c>
      <c r="L1122" s="220">
        <v>2.6</v>
      </c>
      <c r="M1122" s="568" t="s">
        <v>4575</v>
      </c>
      <c r="N1122" s="479" t="s">
        <v>2937</v>
      </c>
      <c r="O1122" s="569" t="s">
        <v>2976</v>
      </c>
      <c r="P1122" s="14" t="s">
        <v>2945</v>
      </c>
      <c r="Q1122" s="14" t="s">
        <v>4577</v>
      </c>
      <c r="R1122" s="14">
        <v>12</v>
      </c>
      <c r="S1122" s="14">
        <f t="shared" si="1062"/>
        <v>0.312</v>
      </c>
      <c r="T1122" s="487">
        <f>SUM(R1116:R1135)</f>
        <v>101.08999999999999</v>
      </c>
      <c r="U1122">
        <f t="shared" si="1111"/>
        <v>11.870610347215354</v>
      </c>
      <c r="V1122" s="220"/>
      <c r="W1122" s="14" t="s">
        <v>433</v>
      </c>
      <c r="X1122">
        <f t="shared" si="1164"/>
        <v>2.3741220694430711</v>
      </c>
      <c r="Y1122" s="220" t="s">
        <v>1666</v>
      </c>
      <c r="Z1122" s="220" t="str">
        <f t="shared" ref="Z1122:AH1122" si="1190">Y1122</f>
        <v>*</v>
      </c>
      <c r="AA1122" s="792" t="str">
        <f t="shared" si="1190"/>
        <v>*</v>
      </c>
      <c r="AB1122" s="466" t="str">
        <f t="shared" si="1190"/>
        <v>*</v>
      </c>
      <c r="AC1122" s="831" t="str">
        <f t="shared" si="1190"/>
        <v>*</v>
      </c>
      <c r="AD1122" s="831" t="str">
        <f t="shared" si="1190"/>
        <v>*</v>
      </c>
      <c r="AE1122" s="454" t="str">
        <f t="shared" si="1190"/>
        <v>*</v>
      </c>
      <c r="AF1122" s="454" t="str">
        <f t="shared" si="1190"/>
        <v>*</v>
      </c>
      <c r="AG1122" s="454" t="str">
        <f t="shared" si="1190"/>
        <v>*</v>
      </c>
      <c r="AH1122" s="454" t="str">
        <f t="shared" si="1190"/>
        <v>*</v>
      </c>
    </row>
    <row r="1123" spans="1:34" ht="14.25">
      <c r="A1123" s="14" t="s">
        <v>4556</v>
      </c>
      <c r="B1123" s="24" t="s">
        <v>2768</v>
      </c>
      <c r="C1123" s="142" t="s">
        <v>2778</v>
      </c>
      <c r="D1123" s="14" t="s">
        <v>2911</v>
      </c>
      <c r="E1123" s="14" t="s">
        <v>4557</v>
      </c>
      <c r="F1123" s="13">
        <v>19.98</v>
      </c>
      <c r="G1123" s="14" t="s">
        <v>3704</v>
      </c>
      <c r="H1123" s="13" t="s">
        <v>2973</v>
      </c>
      <c r="I1123" s="14" t="s">
        <v>4573</v>
      </c>
      <c r="J1123" s="14" t="s">
        <v>4574</v>
      </c>
      <c r="K1123" s="478">
        <v>0.2</v>
      </c>
      <c r="L1123" s="220">
        <v>2.6</v>
      </c>
      <c r="M1123" s="568" t="s">
        <v>4575</v>
      </c>
      <c r="N1123" s="479" t="s">
        <v>2937</v>
      </c>
      <c r="O1123" s="569" t="s">
        <v>2976</v>
      </c>
      <c r="P1123" s="655" t="s">
        <v>2985</v>
      </c>
      <c r="Q1123" s="486" t="s">
        <v>4578</v>
      </c>
      <c r="R1123" s="14">
        <v>1</v>
      </c>
      <c r="S1123" s="14">
        <f t="shared" si="1062"/>
        <v>2.6000000000000002E-2</v>
      </c>
      <c r="T1123" s="487">
        <f>SUM(R1116:R1135)</f>
        <v>101.08999999999999</v>
      </c>
      <c r="U1123">
        <f t="shared" si="1111"/>
        <v>0.98921752893461279</v>
      </c>
      <c r="V1123" s="220"/>
      <c r="W1123" s="14" t="s">
        <v>2522</v>
      </c>
      <c r="X1123">
        <f t="shared" si="1164"/>
        <v>0.19784350578692256</v>
      </c>
      <c r="Y1123" s="220" t="s">
        <v>1666</v>
      </c>
      <c r="Z1123" s="220">
        <f>SUM(X1123,X1168)</f>
        <v>0.20234350578692256</v>
      </c>
      <c r="AA1123" s="792">
        <f>Z1123</f>
        <v>0.20234350578692256</v>
      </c>
      <c r="AB1123" s="458" t="s">
        <v>2784</v>
      </c>
      <c r="AC1123" s="13" t="s">
        <v>4579</v>
      </c>
      <c r="AD1123" s="13" t="s">
        <v>18</v>
      </c>
      <c r="AE1123" s="12">
        <v>1.7000000000000001E-2</v>
      </c>
      <c r="AF1123" s="12">
        <v>3.15E-2</v>
      </c>
      <c r="AG1123" s="12">
        <v>9.9999999999999995E-7</v>
      </c>
      <c r="AH1123" s="12">
        <v>9.0389601227534877E-4</v>
      </c>
    </row>
    <row r="1124" spans="1:34" ht="14.25">
      <c r="A1124" s="14" t="s">
        <v>4556</v>
      </c>
      <c r="B1124" s="24" t="s">
        <v>2768</v>
      </c>
      <c r="C1124" s="142" t="s">
        <v>2778</v>
      </c>
      <c r="D1124" s="14" t="s">
        <v>2911</v>
      </c>
      <c r="E1124" s="14" t="s">
        <v>4557</v>
      </c>
      <c r="F1124" s="13">
        <v>19.98</v>
      </c>
      <c r="G1124" s="14" t="s">
        <v>3704</v>
      </c>
      <c r="H1124" s="13" t="s">
        <v>2973</v>
      </c>
      <c r="I1124" s="14" t="s">
        <v>4573</v>
      </c>
      <c r="J1124" s="14" t="s">
        <v>4574</v>
      </c>
      <c r="K1124" s="478">
        <v>0.2</v>
      </c>
      <c r="L1124" s="220">
        <v>2.6</v>
      </c>
      <c r="M1124" s="568" t="s">
        <v>4575</v>
      </c>
      <c r="N1124" s="479" t="s">
        <v>2937</v>
      </c>
      <c r="O1124" s="569" t="s">
        <v>2976</v>
      </c>
      <c r="P1124" s="14" t="s">
        <v>330</v>
      </c>
      <c r="Q1124" s="486" t="s">
        <v>4580</v>
      </c>
      <c r="R1124" s="14">
        <v>4</v>
      </c>
      <c r="S1124" s="14">
        <f t="shared" si="1062"/>
        <v>0.10400000000000001</v>
      </c>
      <c r="T1124" s="487">
        <f>SUM(R1116:R1135)</f>
        <v>101.08999999999999</v>
      </c>
      <c r="U1124">
        <f t="shared" si="1111"/>
        <v>3.9568701157384512</v>
      </c>
      <c r="V1124" s="220"/>
      <c r="W1124" s="14" t="s">
        <v>332</v>
      </c>
      <c r="X1124">
        <f t="shared" si="1164"/>
        <v>0.79137402314769023</v>
      </c>
      <c r="Y1124" s="220" t="s">
        <v>1666</v>
      </c>
      <c r="Z1124" s="220" t="str">
        <f t="shared" ref="Z1124:AH1124" si="1191">Y1124</f>
        <v>*</v>
      </c>
      <c r="AA1124" s="792" t="str">
        <f t="shared" si="1191"/>
        <v>*</v>
      </c>
      <c r="AB1124" s="466" t="str">
        <f t="shared" si="1191"/>
        <v>*</v>
      </c>
      <c r="AC1124" s="831" t="str">
        <f t="shared" si="1191"/>
        <v>*</v>
      </c>
      <c r="AD1124" s="831" t="str">
        <f t="shared" si="1191"/>
        <v>*</v>
      </c>
      <c r="AE1124" s="454" t="str">
        <f t="shared" si="1191"/>
        <v>*</v>
      </c>
      <c r="AF1124" s="454" t="str">
        <f t="shared" si="1191"/>
        <v>*</v>
      </c>
      <c r="AG1124" s="454" t="str">
        <f t="shared" si="1191"/>
        <v>*</v>
      </c>
      <c r="AH1124" s="454" t="str">
        <f t="shared" si="1191"/>
        <v>*</v>
      </c>
    </row>
    <row r="1125" spans="1:34" ht="14.25">
      <c r="A1125" s="14" t="s">
        <v>4556</v>
      </c>
      <c r="B1125" s="24" t="s">
        <v>2768</v>
      </c>
      <c r="C1125" s="142" t="s">
        <v>2778</v>
      </c>
      <c r="D1125" s="14" t="s">
        <v>2911</v>
      </c>
      <c r="E1125" s="14" t="s">
        <v>4557</v>
      </c>
      <c r="F1125" s="13">
        <v>19.98</v>
      </c>
      <c r="G1125" s="14" t="s">
        <v>3704</v>
      </c>
      <c r="H1125" s="13" t="s">
        <v>2973</v>
      </c>
      <c r="I1125" s="14" t="s">
        <v>4573</v>
      </c>
      <c r="J1125" s="14" t="s">
        <v>4574</v>
      </c>
      <c r="K1125" s="478">
        <v>0.2</v>
      </c>
      <c r="L1125" s="220">
        <v>2.6</v>
      </c>
      <c r="M1125" s="568" t="s">
        <v>4575</v>
      </c>
      <c r="N1125" s="479" t="s">
        <v>2937</v>
      </c>
      <c r="O1125" s="569" t="s">
        <v>2976</v>
      </c>
      <c r="P1125" s="14" t="s">
        <v>3021</v>
      </c>
      <c r="Q1125" s="491" t="s">
        <v>3022</v>
      </c>
      <c r="R1125" s="14">
        <v>4</v>
      </c>
      <c r="S1125" s="14">
        <f t="shared" si="1062"/>
        <v>0.10400000000000001</v>
      </c>
      <c r="T1125" s="487">
        <f>SUM(R1116:R1135)</f>
        <v>101.08999999999999</v>
      </c>
      <c r="U1125">
        <f t="shared" si="1111"/>
        <v>3.9568701157384512</v>
      </c>
      <c r="V1125" s="220"/>
      <c r="W1125" s="14" t="s">
        <v>346</v>
      </c>
      <c r="X1125">
        <f t="shared" si="1164"/>
        <v>0.79137402314769023</v>
      </c>
      <c r="Y1125" s="220" t="s">
        <v>1666</v>
      </c>
      <c r="Z1125" s="220" t="str">
        <f t="shared" ref="Z1125:AH1125" si="1192">Y1125</f>
        <v>*</v>
      </c>
      <c r="AA1125" s="792" t="str">
        <f t="shared" si="1192"/>
        <v>*</v>
      </c>
      <c r="AB1125" s="466" t="str">
        <f t="shared" si="1192"/>
        <v>*</v>
      </c>
      <c r="AC1125" s="831" t="str">
        <f t="shared" si="1192"/>
        <v>*</v>
      </c>
      <c r="AD1125" s="831" t="str">
        <f t="shared" si="1192"/>
        <v>*</v>
      </c>
      <c r="AE1125" s="454" t="str">
        <f t="shared" si="1192"/>
        <v>*</v>
      </c>
      <c r="AF1125" s="454" t="str">
        <f t="shared" si="1192"/>
        <v>*</v>
      </c>
      <c r="AG1125" s="454" t="str">
        <f t="shared" si="1192"/>
        <v>*</v>
      </c>
      <c r="AH1125" s="454" t="str">
        <f t="shared" si="1192"/>
        <v>*</v>
      </c>
    </row>
    <row r="1126" spans="1:34" ht="14.25">
      <c r="A1126" s="14" t="s">
        <v>4556</v>
      </c>
      <c r="B1126" s="24" t="s">
        <v>2768</v>
      </c>
      <c r="C1126" s="142" t="s">
        <v>2778</v>
      </c>
      <c r="D1126" s="14" t="s">
        <v>2911</v>
      </c>
      <c r="E1126" s="14" t="s">
        <v>4557</v>
      </c>
      <c r="F1126" s="13">
        <v>19.98</v>
      </c>
      <c r="G1126" s="14" t="s">
        <v>3704</v>
      </c>
      <c r="H1126" s="13" t="s">
        <v>2973</v>
      </c>
      <c r="I1126" s="14" t="s">
        <v>4573</v>
      </c>
      <c r="J1126" s="14" t="s">
        <v>4574</v>
      </c>
      <c r="K1126" s="478">
        <v>0.2</v>
      </c>
      <c r="L1126" s="220">
        <v>2.6</v>
      </c>
      <c r="M1126" s="568" t="s">
        <v>4575</v>
      </c>
      <c r="N1126" s="479" t="s">
        <v>2937</v>
      </c>
      <c r="O1126" s="569" t="s">
        <v>2976</v>
      </c>
      <c r="P1126" s="489" t="s">
        <v>2980</v>
      </c>
      <c r="Q1126" s="486" t="s">
        <v>4127</v>
      </c>
      <c r="R1126" s="14">
        <f t="shared" ref="R1126:R1127" si="1193">6/2</f>
        <v>3</v>
      </c>
      <c r="S1126" s="14">
        <f t="shared" si="1062"/>
        <v>7.8E-2</v>
      </c>
      <c r="T1126" s="487">
        <f>SUM(R1116:R1135)</f>
        <v>101.08999999999999</v>
      </c>
      <c r="U1126">
        <f t="shared" si="1111"/>
        <v>2.9676525868038386</v>
      </c>
      <c r="V1126" s="220"/>
      <c r="W1126" s="14" t="s">
        <v>349</v>
      </c>
      <c r="X1126">
        <f t="shared" si="1164"/>
        <v>0.59353051736076778</v>
      </c>
      <c r="Y1126" s="220" t="s">
        <v>1666</v>
      </c>
      <c r="Z1126" s="220" t="str">
        <f t="shared" ref="Z1126:AH1126" si="1194">Y1126</f>
        <v>*</v>
      </c>
      <c r="AA1126" s="792" t="str">
        <f t="shared" si="1194"/>
        <v>*</v>
      </c>
      <c r="AB1126" s="466" t="str">
        <f t="shared" si="1194"/>
        <v>*</v>
      </c>
      <c r="AC1126" s="831" t="str">
        <f t="shared" si="1194"/>
        <v>*</v>
      </c>
      <c r="AD1126" s="831" t="str">
        <f t="shared" si="1194"/>
        <v>*</v>
      </c>
      <c r="AE1126" s="454" t="str">
        <f t="shared" si="1194"/>
        <v>*</v>
      </c>
      <c r="AF1126" s="454" t="str">
        <f t="shared" si="1194"/>
        <v>*</v>
      </c>
      <c r="AG1126" s="454" t="str">
        <f t="shared" si="1194"/>
        <v>*</v>
      </c>
      <c r="AH1126" s="454" t="str">
        <f t="shared" si="1194"/>
        <v>*</v>
      </c>
    </row>
    <row r="1127" spans="1:34" ht="14.25">
      <c r="A1127" s="14" t="s">
        <v>4556</v>
      </c>
      <c r="B1127" s="24" t="s">
        <v>2768</v>
      </c>
      <c r="C1127" s="142" t="s">
        <v>2778</v>
      </c>
      <c r="D1127" s="14" t="s">
        <v>2911</v>
      </c>
      <c r="E1127" s="14" t="s">
        <v>4557</v>
      </c>
      <c r="F1127" s="13">
        <v>19.98</v>
      </c>
      <c r="G1127" s="14" t="s">
        <v>3704</v>
      </c>
      <c r="H1127" s="13" t="s">
        <v>2973</v>
      </c>
      <c r="I1127" s="14" t="s">
        <v>4573</v>
      </c>
      <c r="J1127" s="14" t="s">
        <v>4574</v>
      </c>
      <c r="K1127" s="478">
        <v>0.2</v>
      </c>
      <c r="L1127" s="220">
        <v>2.6</v>
      </c>
      <c r="M1127" s="568" t="s">
        <v>4575</v>
      </c>
      <c r="N1127" s="479" t="s">
        <v>2937</v>
      </c>
      <c r="O1127" s="569" t="s">
        <v>2976</v>
      </c>
      <c r="P1127" s="490" t="s">
        <v>2980</v>
      </c>
      <c r="Q1127" s="491" t="s">
        <v>4366</v>
      </c>
      <c r="R1127" s="14">
        <f t="shared" si="1193"/>
        <v>3</v>
      </c>
      <c r="S1127" s="14">
        <f>(0.01*R1126)*L1126</f>
        <v>7.8E-2</v>
      </c>
      <c r="T1127" s="487">
        <f>SUM(R1116:R1135)</f>
        <v>101.08999999999999</v>
      </c>
      <c r="U1127">
        <f t="shared" si="1111"/>
        <v>2.9676525868038386</v>
      </c>
      <c r="V1127" s="220"/>
      <c r="W1127" s="14" t="s">
        <v>2521</v>
      </c>
      <c r="X1127">
        <f t="shared" si="1164"/>
        <v>0.59353051736076778</v>
      </c>
      <c r="Y1127" s="220">
        <f>SUM(X1127,X1128,X1141,X1142)</f>
        <v>1.7181392818280736</v>
      </c>
      <c r="Z1127" s="220">
        <f>SUM(X1127:X1128,X1141:X1142)</f>
        <v>1.7181392818280736</v>
      </c>
      <c r="AA1127" s="792">
        <f>Z1127</f>
        <v>1.7181392818280736</v>
      </c>
      <c r="AB1127" s="466" t="s">
        <v>2785</v>
      </c>
      <c r="AC1127" s="13" t="s">
        <v>4579</v>
      </c>
      <c r="AD1127" s="831" t="s">
        <v>18</v>
      </c>
      <c r="AE1127" s="12">
        <v>1.0652903141570055E-3</v>
      </c>
      <c r="AF1127" s="12">
        <v>1.7273631840796021E-2</v>
      </c>
      <c r="AG1127" s="12">
        <v>1.3582399999999999E-4</v>
      </c>
      <c r="AH1127" s="12">
        <v>2.14E-3</v>
      </c>
    </row>
    <row r="1128" spans="1:34" ht="14.25">
      <c r="A1128" s="14" t="s">
        <v>4556</v>
      </c>
      <c r="B1128" s="24" t="s">
        <v>2768</v>
      </c>
      <c r="C1128" s="142" t="s">
        <v>2778</v>
      </c>
      <c r="D1128" s="14" t="s">
        <v>2911</v>
      </c>
      <c r="E1128" s="14" t="s">
        <v>4557</v>
      </c>
      <c r="F1128" s="13">
        <v>19.98</v>
      </c>
      <c r="G1128" s="14" t="s">
        <v>3704</v>
      </c>
      <c r="H1128" s="13" t="s">
        <v>2973</v>
      </c>
      <c r="I1128" s="14" t="s">
        <v>4573</v>
      </c>
      <c r="J1128" s="14" t="s">
        <v>4574</v>
      </c>
      <c r="K1128" s="478">
        <v>0.2</v>
      </c>
      <c r="L1128" s="220">
        <v>2.6</v>
      </c>
      <c r="M1128" s="568" t="s">
        <v>4575</v>
      </c>
      <c r="N1128" s="479" t="s">
        <v>2937</v>
      </c>
      <c r="O1128" s="569" t="s">
        <v>2976</v>
      </c>
      <c r="P1128" s="14" t="s">
        <v>3853</v>
      </c>
      <c r="Q1128" s="491" t="s">
        <v>4336</v>
      </c>
      <c r="R1128" s="14">
        <v>2.5</v>
      </c>
      <c r="S1128" s="14">
        <f t="shared" ref="S1128:S1382" si="1195">(0.01*R1128)*L1128</f>
        <v>6.5000000000000002E-2</v>
      </c>
      <c r="T1128" s="487">
        <f>SUM(R1116:R1135)</f>
        <v>101.08999999999999</v>
      </c>
      <c r="U1128">
        <f t="shared" si="1111"/>
        <v>2.4730438223365319</v>
      </c>
      <c r="V1128" s="220"/>
      <c r="W1128" s="14" t="s">
        <v>324</v>
      </c>
      <c r="X1128">
        <f t="shared" si="1164"/>
        <v>0.49460876446730639</v>
      </c>
      <c r="Y1128" s="220" t="s">
        <v>1666</v>
      </c>
      <c r="Z1128" s="220" t="str">
        <f t="shared" ref="Z1128:AH1128" si="1196">Y1128</f>
        <v>*</v>
      </c>
      <c r="AA1128" s="792" t="str">
        <f t="shared" si="1196"/>
        <v>*</v>
      </c>
      <c r="AB1128" s="466" t="str">
        <f t="shared" si="1196"/>
        <v>*</v>
      </c>
      <c r="AC1128" s="831" t="str">
        <f t="shared" si="1196"/>
        <v>*</v>
      </c>
      <c r="AD1128" s="831" t="str">
        <f t="shared" si="1196"/>
        <v>*</v>
      </c>
      <c r="AE1128" s="454" t="str">
        <f t="shared" si="1196"/>
        <v>*</v>
      </c>
      <c r="AF1128" s="454" t="str">
        <f t="shared" si="1196"/>
        <v>*</v>
      </c>
      <c r="AG1128" s="454" t="str">
        <f t="shared" si="1196"/>
        <v>*</v>
      </c>
      <c r="AH1128" s="454" t="str">
        <f t="shared" si="1196"/>
        <v>*</v>
      </c>
    </row>
    <row r="1129" spans="1:34" ht="14.25">
      <c r="A1129" s="14" t="s">
        <v>4556</v>
      </c>
      <c r="B1129" s="24" t="s">
        <v>2768</v>
      </c>
      <c r="C1129" s="142" t="s">
        <v>2778</v>
      </c>
      <c r="D1129" s="14" t="s">
        <v>2911</v>
      </c>
      <c r="E1129" s="14" t="s">
        <v>4557</v>
      </c>
      <c r="F1129" s="13">
        <v>19.98</v>
      </c>
      <c r="G1129" s="14" t="s">
        <v>3704</v>
      </c>
      <c r="H1129" s="13" t="s">
        <v>2973</v>
      </c>
      <c r="I1129" s="14" t="s">
        <v>4573</v>
      </c>
      <c r="J1129" s="14" t="s">
        <v>4574</v>
      </c>
      <c r="K1129" s="478">
        <v>0.2</v>
      </c>
      <c r="L1129" s="220">
        <v>2.6</v>
      </c>
      <c r="M1129" s="568" t="s">
        <v>4575</v>
      </c>
      <c r="N1129" s="479" t="s">
        <v>2937</v>
      </c>
      <c r="O1129" s="569" t="s">
        <v>2976</v>
      </c>
      <c r="P1129" s="14" t="s">
        <v>432</v>
      </c>
      <c r="Q1129" s="486" t="s">
        <v>3028</v>
      </c>
      <c r="R1129" s="14">
        <v>2.2999999999999998</v>
      </c>
      <c r="S1129" s="14">
        <f t="shared" si="1195"/>
        <v>5.9799999999999999E-2</v>
      </c>
      <c r="T1129" s="487">
        <f>SUM(R1116:R1135)</f>
        <v>101.08999999999999</v>
      </c>
      <c r="U1129">
        <f t="shared" si="1111"/>
        <v>2.2752003165496091</v>
      </c>
      <c r="V1129" s="220"/>
      <c r="W1129" s="14" t="s">
        <v>432</v>
      </c>
      <c r="X1129">
        <f t="shared" si="1164"/>
        <v>0.45504006330992186</v>
      </c>
      <c r="Y1129" s="220" t="s">
        <v>1666</v>
      </c>
      <c r="Z1129" s="220" t="str">
        <f t="shared" ref="Z1129:AH1129" si="1197">Y1129</f>
        <v>*</v>
      </c>
      <c r="AA1129" s="792" t="str">
        <f t="shared" si="1197"/>
        <v>*</v>
      </c>
      <c r="AB1129" s="466" t="str">
        <f t="shared" si="1197"/>
        <v>*</v>
      </c>
      <c r="AC1129" s="831" t="str">
        <f t="shared" si="1197"/>
        <v>*</v>
      </c>
      <c r="AD1129" s="831" t="str">
        <f t="shared" si="1197"/>
        <v>*</v>
      </c>
      <c r="AE1129" s="454" t="str">
        <f t="shared" si="1197"/>
        <v>*</v>
      </c>
      <c r="AF1129" s="454" t="str">
        <f t="shared" si="1197"/>
        <v>*</v>
      </c>
      <c r="AG1129" s="454" t="str">
        <f t="shared" si="1197"/>
        <v>*</v>
      </c>
      <c r="AH1129" s="454" t="str">
        <f t="shared" si="1197"/>
        <v>*</v>
      </c>
    </row>
    <row r="1130" spans="1:34" ht="14.25">
      <c r="A1130" s="14" t="s">
        <v>4556</v>
      </c>
      <c r="B1130" s="24" t="s">
        <v>2768</v>
      </c>
      <c r="C1130" s="142" t="s">
        <v>2778</v>
      </c>
      <c r="D1130" s="14" t="s">
        <v>2911</v>
      </c>
      <c r="E1130" s="14" t="s">
        <v>4557</v>
      </c>
      <c r="F1130" s="13">
        <v>19.98</v>
      </c>
      <c r="G1130" s="14" t="s">
        <v>3704</v>
      </c>
      <c r="H1130" s="13" t="s">
        <v>2973</v>
      </c>
      <c r="I1130" s="14" t="s">
        <v>4573</v>
      </c>
      <c r="J1130" s="14" t="s">
        <v>4574</v>
      </c>
      <c r="K1130" s="478">
        <v>0.2</v>
      </c>
      <c r="L1130" s="220">
        <v>2.6</v>
      </c>
      <c r="M1130" s="568" t="s">
        <v>4575</v>
      </c>
      <c r="N1130" s="479" t="s">
        <v>2937</v>
      </c>
      <c r="O1130" s="569" t="s">
        <v>2976</v>
      </c>
      <c r="P1130" s="14" t="s">
        <v>139</v>
      </c>
      <c r="Q1130" s="14" t="s">
        <v>3020</v>
      </c>
      <c r="R1130" s="14">
        <v>2.2000000000000002</v>
      </c>
      <c r="S1130" s="14">
        <f t="shared" si="1195"/>
        <v>5.7200000000000008E-2</v>
      </c>
      <c r="T1130" s="487">
        <f>SUM(R1116:R1135)</f>
        <v>101.08999999999999</v>
      </c>
      <c r="U1130">
        <f t="shared" si="1111"/>
        <v>2.1762785636561484</v>
      </c>
      <c r="V1130" s="220"/>
      <c r="W1130" s="14" t="s">
        <v>139</v>
      </c>
      <c r="X1130">
        <f t="shared" si="1164"/>
        <v>0.4352557127312297</v>
      </c>
      <c r="Y1130" s="220" t="s">
        <v>1666</v>
      </c>
      <c r="Z1130" s="220" t="str">
        <f t="shared" ref="Z1130:AH1130" si="1198">Y1130</f>
        <v>*</v>
      </c>
      <c r="AA1130" s="792" t="str">
        <f t="shared" si="1198"/>
        <v>*</v>
      </c>
      <c r="AB1130" s="466" t="str">
        <f t="shared" si="1198"/>
        <v>*</v>
      </c>
      <c r="AC1130" s="831" t="str">
        <f t="shared" si="1198"/>
        <v>*</v>
      </c>
      <c r="AD1130" s="831" t="str">
        <f t="shared" si="1198"/>
        <v>*</v>
      </c>
      <c r="AE1130" s="454" t="str">
        <f t="shared" si="1198"/>
        <v>*</v>
      </c>
      <c r="AF1130" s="454" t="str">
        <f t="shared" si="1198"/>
        <v>*</v>
      </c>
      <c r="AG1130" s="454" t="str">
        <f t="shared" si="1198"/>
        <v>*</v>
      </c>
      <c r="AH1130" s="454" t="str">
        <f t="shared" si="1198"/>
        <v>*</v>
      </c>
    </row>
    <row r="1131" spans="1:34" ht="14.25">
      <c r="A1131" s="14" t="s">
        <v>4556</v>
      </c>
      <c r="B1131" s="24" t="s">
        <v>2768</v>
      </c>
      <c r="C1131" s="142" t="s">
        <v>2778</v>
      </c>
      <c r="D1131" s="14" t="s">
        <v>2911</v>
      </c>
      <c r="E1131" s="14" t="s">
        <v>4557</v>
      </c>
      <c r="F1131" s="13">
        <v>19.98</v>
      </c>
      <c r="G1131" s="14" t="s">
        <v>3704</v>
      </c>
      <c r="H1131" s="13" t="s">
        <v>2973</v>
      </c>
      <c r="I1131" s="14" t="s">
        <v>4573</v>
      </c>
      <c r="J1131" s="14" t="s">
        <v>4574</v>
      </c>
      <c r="K1131" s="478">
        <v>0.2</v>
      </c>
      <c r="L1131" s="220">
        <v>2.6</v>
      </c>
      <c r="M1131" s="568" t="s">
        <v>4575</v>
      </c>
      <c r="N1131" s="479" t="s">
        <v>2937</v>
      </c>
      <c r="O1131" s="569" t="s">
        <v>2976</v>
      </c>
      <c r="P1131" s="14" t="s">
        <v>83</v>
      </c>
      <c r="Q1131" s="527" t="s">
        <v>3430</v>
      </c>
      <c r="R1131" s="14">
        <v>1</v>
      </c>
      <c r="S1131" s="14">
        <f t="shared" si="1195"/>
        <v>2.6000000000000002E-2</v>
      </c>
      <c r="T1131" s="487">
        <f>SUM(R1116:R1135)</f>
        <v>101.08999999999999</v>
      </c>
      <c r="U1131">
        <f t="shared" si="1111"/>
        <v>0.98921752893461279</v>
      </c>
      <c r="V1131" s="220"/>
      <c r="W1131" s="14" t="s">
        <v>83</v>
      </c>
      <c r="X1131">
        <f t="shared" si="1164"/>
        <v>0.19784350578692256</v>
      </c>
      <c r="Y1131" s="220" t="s">
        <v>1624</v>
      </c>
      <c r="Z1131" s="220" t="s">
        <v>1666</v>
      </c>
      <c r="AA1131" s="792" t="str">
        <f t="shared" ref="AA1131:AH1131" si="1199">Z1131</f>
        <v>*</v>
      </c>
      <c r="AB1131" s="466" t="str">
        <f t="shared" si="1199"/>
        <v>*</v>
      </c>
      <c r="AC1131" s="831" t="str">
        <f t="shared" si="1199"/>
        <v>*</v>
      </c>
      <c r="AD1131" s="831" t="str">
        <f t="shared" si="1199"/>
        <v>*</v>
      </c>
      <c r="AE1131" s="454" t="str">
        <f t="shared" si="1199"/>
        <v>*</v>
      </c>
      <c r="AF1131" s="454" t="str">
        <f t="shared" si="1199"/>
        <v>*</v>
      </c>
      <c r="AG1131" s="454" t="str">
        <f t="shared" si="1199"/>
        <v>*</v>
      </c>
      <c r="AH1131" s="454" t="str">
        <f t="shared" si="1199"/>
        <v>*</v>
      </c>
    </row>
    <row r="1132" spans="1:34" ht="14.25">
      <c r="A1132" s="14" t="s">
        <v>4556</v>
      </c>
      <c r="B1132" s="24" t="s">
        <v>2768</v>
      </c>
      <c r="C1132" s="142" t="s">
        <v>2778</v>
      </c>
      <c r="D1132" s="14" t="s">
        <v>2911</v>
      </c>
      <c r="E1132" s="14" t="s">
        <v>4557</v>
      </c>
      <c r="F1132" s="13">
        <v>19.98</v>
      </c>
      <c r="G1132" s="14" t="s">
        <v>3704</v>
      </c>
      <c r="H1132" s="13" t="s">
        <v>2973</v>
      </c>
      <c r="I1132" s="14" t="s">
        <v>4573</v>
      </c>
      <c r="J1132" s="14" t="s">
        <v>4574</v>
      </c>
      <c r="K1132" s="478">
        <v>0.2</v>
      </c>
      <c r="L1132" s="220">
        <v>2.6</v>
      </c>
      <c r="M1132" s="568" t="s">
        <v>4575</v>
      </c>
      <c r="N1132" s="479" t="s">
        <v>2937</v>
      </c>
      <c r="O1132" s="569" t="s">
        <v>2976</v>
      </c>
      <c r="P1132" s="14" t="s">
        <v>139</v>
      </c>
      <c r="Q1132" s="14" t="s">
        <v>3020</v>
      </c>
      <c r="R1132" s="14">
        <v>1</v>
      </c>
      <c r="S1132" s="14">
        <f t="shared" si="1195"/>
        <v>2.6000000000000002E-2</v>
      </c>
      <c r="T1132" s="487">
        <f>SUM(R1116:R1135)</f>
        <v>101.08999999999999</v>
      </c>
      <c r="U1132">
        <f t="shared" si="1111"/>
        <v>0.98921752893461279</v>
      </c>
      <c r="V1132" s="220"/>
      <c r="W1132" s="14" t="s">
        <v>139</v>
      </c>
      <c r="X1132">
        <f t="shared" si="1164"/>
        <v>0.19784350578692256</v>
      </c>
      <c r="Y1132" s="220" t="s">
        <v>1666</v>
      </c>
      <c r="Z1132" s="220" t="str">
        <f t="shared" ref="Z1132:AH1132" si="1200">Y1132</f>
        <v>*</v>
      </c>
      <c r="AA1132" s="792" t="str">
        <f t="shared" si="1200"/>
        <v>*</v>
      </c>
      <c r="AB1132" s="466" t="str">
        <f t="shared" si="1200"/>
        <v>*</v>
      </c>
      <c r="AC1132" s="831" t="str">
        <f t="shared" si="1200"/>
        <v>*</v>
      </c>
      <c r="AD1132" s="831" t="str">
        <f t="shared" si="1200"/>
        <v>*</v>
      </c>
      <c r="AE1132" s="454" t="str">
        <f t="shared" si="1200"/>
        <v>*</v>
      </c>
      <c r="AF1132" s="454" t="str">
        <f t="shared" si="1200"/>
        <v>*</v>
      </c>
      <c r="AG1132" s="454" t="str">
        <f t="shared" si="1200"/>
        <v>*</v>
      </c>
      <c r="AH1132" s="454" t="str">
        <f t="shared" si="1200"/>
        <v>*</v>
      </c>
    </row>
    <row r="1133" spans="1:34" ht="14.25">
      <c r="A1133" s="14" t="s">
        <v>4556</v>
      </c>
      <c r="B1133" s="24" t="s">
        <v>2768</v>
      </c>
      <c r="C1133" s="142" t="s">
        <v>2778</v>
      </c>
      <c r="D1133" s="14" t="s">
        <v>2911</v>
      </c>
      <c r="E1133" s="14" t="s">
        <v>4557</v>
      </c>
      <c r="F1133" s="13">
        <v>19.98</v>
      </c>
      <c r="G1133" s="14" t="s">
        <v>3704</v>
      </c>
      <c r="H1133" s="13" t="s">
        <v>2973</v>
      </c>
      <c r="I1133" s="14" t="s">
        <v>4573</v>
      </c>
      <c r="J1133" s="14" t="s">
        <v>4574</v>
      </c>
      <c r="K1133" s="478">
        <v>0.2</v>
      </c>
      <c r="L1133" s="220">
        <v>2.6</v>
      </c>
      <c r="M1133" s="568" t="s">
        <v>4575</v>
      </c>
      <c r="N1133" s="479" t="s">
        <v>2937</v>
      </c>
      <c r="O1133" s="569" t="s">
        <v>2976</v>
      </c>
      <c r="P1133" s="14" t="s">
        <v>2912</v>
      </c>
      <c r="Q1133" s="14" t="s">
        <v>4268</v>
      </c>
      <c r="R1133" s="14">
        <v>0.05</v>
      </c>
      <c r="S1133" s="14">
        <f t="shared" si="1195"/>
        <v>1.3000000000000002E-3</v>
      </c>
      <c r="T1133" s="487">
        <f>SUM(R1116:R1135)</f>
        <v>101.08999999999999</v>
      </c>
      <c r="U1133">
        <f t="shared" si="1111"/>
        <v>4.9460876446730639E-2</v>
      </c>
      <c r="V1133" s="220"/>
      <c r="W1133" s="14" t="s">
        <v>124</v>
      </c>
      <c r="X1133">
        <f t="shared" si="1164"/>
        <v>9.8921752893461282E-3</v>
      </c>
      <c r="Y1133" s="220" t="s">
        <v>1624</v>
      </c>
      <c r="Z1133" s="220">
        <f>X1133</f>
        <v>9.8921752893461282E-3</v>
      </c>
      <c r="AA1133" s="792">
        <f>Z1133</f>
        <v>9.8921752893461282E-3</v>
      </c>
      <c r="AB1133" s="466" t="s">
        <v>124</v>
      </c>
      <c r="AC1133" s="13" t="s">
        <v>877</v>
      </c>
      <c r="AD1133" s="13" t="s">
        <v>2916</v>
      </c>
      <c r="AE1133" s="12">
        <v>3.9416473933649287E-3</v>
      </c>
      <c r="AF1133" s="12">
        <v>1.1589150710900475E-2</v>
      </c>
      <c r="AG1133" s="12">
        <v>7.7264934597156404E-5</v>
      </c>
      <c r="AH1133" s="12">
        <v>7.2702369668246447E-4</v>
      </c>
    </row>
    <row r="1134" spans="1:34" ht="14.25">
      <c r="A1134" s="14" t="s">
        <v>4556</v>
      </c>
      <c r="B1134" s="24" t="s">
        <v>2768</v>
      </c>
      <c r="C1134" s="142" t="s">
        <v>2778</v>
      </c>
      <c r="D1134" s="14" t="s">
        <v>2911</v>
      </c>
      <c r="E1134" s="14" t="s">
        <v>4557</v>
      </c>
      <c r="F1134" s="13">
        <v>19.98</v>
      </c>
      <c r="G1134" s="14" t="s">
        <v>3704</v>
      </c>
      <c r="H1134" s="13" t="s">
        <v>2973</v>
      </c>
      <c r="I1134" s="14" t="s">
        <v>4573</v>
      </c>
      <c r="J1134" s="14" t="s">
        <v>4574</v>
      </c>
      <c r="K1134" s="478">
        <v>0.2</v>
      </c>
      <c r="L1134" s="220">
        <v>2.6</v>
      </c>
      <c r="M1134" s="568" t="s">
        <v>4575</v>
      </c>
      <c r="N1134" s="479" t="s">
        <v>2937</v>
      </c>
      <c r="O1134" s="569" t="s">
        <v>2976</v>
      </c>
      <c r="P1134" s="14" t="s">
        <v>4237</v>
      </c>
      <c r="Q1134" s="486" t="s">
        <v>4581</v>
      </c>
      <c r="R1134" s="14">
        <v>0.02</v>
      </c>
      <c r="S1134" s="14">
        <f t="shared" si="1195"/>
        <v>5.2000000000000006E-4</v>
      </c>
      <c r="T1134" s="487">
        <f>SUM(R1116:R1135)</f>
        <v>101.08999999999999</v>
      </c>
      <c r="U1134">
        <f t="shared" si="1111"/>
        <v>1.9784350578692256E-2</v>
      </c>
      <c r="V1134" s="220"/>
      <c r="W1134" s="14" t="s">
        <v>4239</v>
      </c>
      <c r="X1134">
        <f t="shared" si="1164"/>
        <v>3.9568701157384513E-3</v>
      </c>
      <c r="Y1134" s="220" t="s">
        <v>1624</v>
      </c>
      <c r="Z1134" s="220" t="str">
        <f t="shared" ref="Z1134:AH1134" si="1201">Y1134</f>
        <v>-</v>
      </c>
      <c r="AA1134" s="792" t="str">
        <f t="shared" si="1201"/>
        <v>-</v>
      </c>
      <c r="AB1134" s="466" t="str">
        <f t="shared" si="1201"/>
        <v>-</v>
      </c>
      <c r="AC1134" s="831" t="str">
        <f t="shared" si="1201"/>
        <v>-</v>
      </c>
      <c r="AD1134" s="831" t="str">
        <f t="shared" si="1201"/>
        <v>-</v>
      </c>
      <c r="AE1134" s="454" t="str">
        <f t="shared" si="1201"/>
        <v>-</v>
      </c>
      <c r="AF1134" s="454" t="str">
        <f t="shared" si="1201"/>
        <v>-</v>
      </c>
      <c r="AG1134" s="454" t="str">
        <f t="shared" si="1201"/>
        <v>-</v>
      </c>
      <c r="AH1134" s="454" t="str">
        <f t="shared" si="1201"/>
        <v>-</v>
      </c>
    </row>
    <row r="1135" spans="1:34" ht="14.25">
      <c r="A1135" s="14" t="s">
        <v>4556</v>
      </c>
      <c r="B1135" s="24" t="s">
        <v>2768</v>
      </c>
      <c r="C1135" s="142" t="s">
        <v>2778</v>
      </c>
      <c r="D1135" s="14" t="s">
        <v>2911</v>
      </c>
      <c r="E1135" s="14" t="s">
        <v>4557</v>
      </c>
      <c r="F1135" s="13">
        <v>19.98</v>
      </c>
      <c r="G1135" s="14" t="s">
        <v>3704</v>
      </c>
      <c r="H1135" s="13" t="s">
        <v>2973</v>
      </c>
      <c r="I1135" s="135" t="s">
        <v>4573</v>
      </c>
      <c r="J1135" s="135" t="s">
        <v>4574</v>
      </c>
      <c r="K1135" s="475">
        <v>0.2</v>
      </c>
      <c r="L1135" s="476">
        <v>2.6</v>
      </c>
      <c r="M1135" s="570" t="s">
        <v>4575</v>
      </c>
      <c r="N1135" s="493" t="s">
        <v>2937</v>
      </c>
      <c r="O1135" s="571" t="s">
        <v>2976</v>
      </c>
      <c r="P1135" s="135" t="s">
        <v>4240</v>
      </c>
      <c r="Q1135" s="495" t="s">
        <v>4582</v>
      </c>
      <c r="R1135" s="135">
        <v>0.02</v>
      </c>
      <c r="S1135" s="135">
        <f t="shared" si="1195"/>
        <v>5.2000000000000006E-4</v>
      </c>
      <c r="T1135" s="872">
        <f>SUM(R1116:R1135)</f>
        <v>101.08999999999999</v>
      </c>
      <c r="U1135" s="135">
        <f t="shared" si="1111"/>
        <v>1.9784350578692256E-2</v>
      </c>
      <c r="V1135" s="476"/>
      <c r="W1135" s="135" t="s">
        <v>4242</v>
      </c>
      <c r="X1135">
        <f t="shared" si="1164"/>
        <v>3.9568701157384513E-3</v>
      </c>
      <c r="Y1135" s="220" t="s">
        <v>1624</v>
      </c>
      <c r="Z1135" s="220" t="str">
        <f t="shared" ref="Z1135:AH1135" si="1202">Y1135</f>
        <v>-</v>
      </c>
      <c r="AA1135" s="792" t="str">
        <f t="shared" si="1202"/>
        <v>-</v>
      </c>
      <c r="AB1135" s="466" t="str">
        <f t="shared" si="1202"/>
        <v>-</v>
      </c>
      <c r="AC1135" s="831" t="str">
        <f t="shared" si="1202"/>
        <v>-</v>
      </c>
      <c r="AD1135" s="831" t="str">
        <f t="shared" si="1202"/>
        <v>-</v>
      </c>
      <c r="AE1135" s="454" t="str">
        <f t="shared" si="1202"/>
        <v>-</v>
      </c>
      <c r="AF1135" s="454" t="str">
        <f t="shared" si="1202"/>
        <v>-</v>
      </c>
      <c r="AG1135" s="454" t="str">
        <f t="shared" si="1202"/>
        <v>-</v>
      </c>
      <c r="AH1135" s="454" t="str">
        <f t="shared" si="1202"/>
        <v>-</v>
      </c>
    </row>
    <row r="1136" spans="1:34" ht="14.25">
      <c r="A1136" s="14" t="s">
        <v>4556</v>
      </c>
      <c r="B1136" s="24" t="s">
        <v>2768</v>
      </c>
      <c r="C1136" s="142" t="s">
        <v>2778</v>
      </c>
      <c r="D1136" s="14" t="s">
        <v>2911</v>
      </c>
      <c r="E1136" s="14" t="s">
        <v>4557</v>
      </c>
      <c r="F1136" s="13">
        <v>19.98</v>
      </c>
      <c r="G1136" s="14" t="s">
        <v>3704</v>
      </c>
      <c r="H1136" s="13" t="s">
        <v>2973</v>
      </c>
      <c r="I1136" s="14" t="s">
        <v>4583</v>
      </c>
      <c r="J1136" s="14" t="s">
        <v>4584</v>
      </c>
      <c r="K1136" s="478">
        <v>0.09</v>
      </c>
      <c r="L1136" s="220">
        <v>5.31</v>
      </c>
      <c r="M1136" s="568" t="s">
        <v>4585</v>
      </c>
      <c r="N1136" s="479" t="s">
        <v>2937</v>
      </c>
      <c r="O1136" s="569" t="s">
        <v>2976</v>
      </c>
      <c r="P1136" s="655" t="s">
        <v>3005</v>
      </c>
      <c r="Q1136" s="486" t="s">
        <v>3006</v>
      </c>
      <c r="R1136" s="14">
        <v>30</v>
      </c>
      <c r="S1136" s="14">
        <f t="shared" si="1195"/>
        <v>1.5929999999999997</v>
      </c>
      <c r="T1136" s="220">
        <f>SUM(R1136:R1172)</f>
        <v>100.00000000000007</v>
      </c>
      <c r="U1136">
        <f t="shared" si="1111"/>
        <v>29.999999999999979</v>
      </c>
      <c r="V1136" s="220"/>
      <c r="W1136" s="14" t="s">
        <v>2779</v>
      </c>
      <c r="X1136">
        <f t="shared" si="1164"/>
        <v>2.699999999999998</v>
      </c>
      <c r="Y1136" s="220" t="s">
        <v>1666</v>
      </c>
      <c r="Z1136" s="220" t="str">
        <f t="shared" ref="Z1136:AH1136" si="1203">Y1136</f>
        <v>*</v>
      </c>
      <c r="AA1136" s="792" t="str">
        <f t="shared" si="1203"/>
        <v>*</v>
      </c>
      <c r="AB1136" s="466" t="str">
        <f t="shared" si="1203"/>
        <v>*</v>
      </c>
      <c r="AC1136" s="831" t="str">
        <f t="shared" si="1203"/>
        <v>*</v>
      </c>
      <c r="AD1136" s="831" t="str">
        <f t="shared" si="1203"/>
        <v>*</v>
      </c>
      <c r="AE1136" s="454" t="str">
        <f t="shared" si="1203"/>
        <v>*</v>
      </c>
      <c r="AF1136" s="454" t="str">
        <f t="shared" si="1203"/>
        <v>*</v>
      </c>
      <c r="AG1136" s="454" t="str">
        <f t="shared" si="1203"/>
        <v>*</v>
      </c>
      <c r="AH1136" s="454" t="str">
        <f t="shared" si="1203"/>
        <v>*</v>
      </c>
    </row>
    <row r="1137" spans="1:34" ht="14.25">
      <c r="A1137" s="14" t="s">
        <v>4556</v>
      </c>
      <c r="B1137" s="24" t="s">
        <v>2768</v>
      </c>
      <c r="C1137" s="142" t="s">
        <v>2778</v>
      </c>
      <c r="D1137" s="14" t="s">
        <v>2911</v>
      </c>
      <c r="E1137" s="14" t="s">
        <v>4557</v>
      </c>
      <c r="F1137" s="13">
        <v>19.98</v>
      </c>
      <c r="G1137" s="14" t="s">
        <v>3704</v>
      </c>
      <c r="H1137" s="13" t="s">
        <v>2973</v>
      </c>
      <c r="I1137" s="14" t="s">
        <v>4583</v>
      </c>
      <c r="J1137" s="14" t="s">
        <v>4584</v>
      </c>
      <c r="K1137" s="478">
        <v>0.09</v>
      </c>
      <c r="L1137" s="220">
        <v>5.31</v>
      </c>
      <c r="M1137" s="568" t="s">
        <v>4585</v>
      </c>
      <c r="N1137" s="479" t="s">
        <v>2937</v>
      </c>
      <c r="O1137" s="569" t="s">
        <v>2976</v>
      </c>
      <c r="P1137" s="14" t="s">
        <v>2962</v>
      </c>
      <c r="Q1137" s="435" t="s">
        <v>2963</v>
      </c>
      <c r="R1137" s="14">
        <v>21</v>
      </c>
      <c r="S1137" s="14">
        <f t="shared" si="1195"/>
        <v>1.1151</v>
      </c>
      <c r="T1137" s="487">
        <f>SUM(R1136:R1172)</f>
        <v>100.00000000000007</v>
      </c>
      <c r="U1137">
        <f t="shared" si="1111"/>
        <v>20.999999999999986</v>
      </c>
      <c r="V1137" s="220"/>
      <c r="W1137" s="14" t="s">
        <v>425</v>
      </c>
      <c r="X1137">
        <f t="shared" si="1164"/>
        <v>1.8899999999999986</v>
      </c>
      <c r="Y1137" s="220" t="s">
        <v>1666</v>
      </c>
      <c r="Z1137" s="220" t="str">
        <f t="shared" ref="Z1137:AH1137" si="1204">Y1137</f>
        <v>*</v>
      </c>
      <c r="AA1137" s="792" t="str">
        <f t="shared" si="1204"/>
        <v>*</v>
      </c>
      <c r="AB1137" s="466" t="str">
        <f t="shared" si="1204"/>
        <v>*</v>
      </c>
      <c r="AC1137" s="831" t="str">
        <f t="shared" si="1204"/>
        <v>*</v>
      </c>
      <c r="AD1137" s="831" t="str">
        <f t="shared" si="1204"/>
        <v>*</v>
      </c>
      <c r="AE1137" s="454" t="str">
        <f t="shared" si="1204"/>
        <v>*</v>
      </c>
      <c r="AF1137" s="454" t="str">
        <f t="shared" si="1204"/>
        <v>*</v>
      </c>
      <c r="AG1137" s="454" t="str">
        <f t="shared" si="1204"/>
        <v>*</v>
      </c>
      <c r="AH1137" s="454" t="str">
        <f t="shared" si="1204"/>
        <v>*</v>
      </c>
    </row>
    <row r="1138" spans="1:34" ht="14.25">
      <c r="A1138" s="14" t="s">
        <v>4556</v>
      </c>
      <c r="B1138" s="24" t="s">
        <v>2768</v>
      </c>
      <c r="C1138" s="142" t="s">
        <v>2778</v>
      </c>
      <c r="D1138" s="14" t="s">
        <v>2911</v>
      </c>
      <c r="E1138" s="14" t="s">
        <v>4557</v>
      </c>
      <c r="F1138" s="13">
        <v>19.98</v>
      </c>
      <c r="G1138" s="14" t="s">
        <v>3704</v>
      </c>
      <c r="H1138" s="13" t="s">
        <v>2973</v>
      </c>
      <c r="I1138" s="14" t="s">
        <v>4583</v>
      </c>
      <c r="J1138" s="14" t="s">
        <v>4584</v>
      </c>
      <c r="K1138" s="478">
        <v>0.09</v>
      </c>
      <c r="L1138" s="220">
        <v>5.31</v>
      </c>
      <c r="M1138" s="568" t="s">
        <v>4585</v>
      </c>
      <c r="N1138" s="479" t="s">
        <v>2937</v>
      </c>
      <c r="O1138" s="569" t="s">
        <v>2976</v>
      </c>
      <c r="P1138" s="14" t="s">
        <v>2945</v>
      </c>
      <c r="Q1138" s="435" t="s">
        <v>2946</v>
      </c>
      <c r="R1138" s="14">
        <v>14</v>
      </c>
      <c r="S1138" s="14">
        <f t="shared" si="1195"/>
        <v>0.74340000000000006</v>
      </c>
      <c r="T1138" s="487">
        <f>SUM(R1136:R1172)</f>
        <v>100.00000000000007</v>
      </c>
      <c r="U1138">
        <f t="shared" si="1111"/>
        <v>13.999999999999989</v>
      </c>
      <c r="V1138" s="220"/>
      <c r="W1138" s="14" t="s">
        <v>433</v>
      </c>
      <c r="X1138">
        <f t="shared" si="1164"/>
        <v>1.2599999999999989</v>
      </c>
      <c r="Y1138" s="220" t="s">
        <v>1666</v>
      </c>
      <c r="Z1138" s="220" t="str">
        <f t="shared" ref="Z1138:AH1138" si="1205">Y1138</f>
        <v>*</v>
      </c>
      <c r="AA1138" s="792" t="str">
        <f t="shared" si="1205"/>
        <v>*</v>
      </c>
      <c r="AB1138" s="466" t="str">
        <f t="shared" si="1205"/>
        <v>*</v>
      </c>
      <c r="AC1138" s="831" t="str">
        <f t="shared" si="1205"/>
        <v>*</v>
      </c>
      <c r="AD1138" s="831" t="str">
        <f t="shared" si="1205"/>
        <v>*</v>
      </c>
      <c r="AE1138" s="454" t="str">
        <f t="shared" si="1205"/>
        <v>*</v>
      </c>
      <c r="AF1138" s="454" t="str">
        <f t="shared" si="1205"/>
        <v>*</v>
      </c>
      <c r="AG1138" s="454" t="str">
        <f t="shared" si="1205"/>
        <v>*</v>
      </c>
      <c r="AH1138" s="454" t="str">
        <f t="shared" si="1205"/>
        <v>*</v>
      </c>
    </row>
    <row r="1139" spans="1:34" ht="14.25">
      <c r="A1139" s="14" t="s">
        <v>4556</v>
      </c>
      <c r="B1139" s="24" t="s">
        <v>2768</v>
      </c>
      <c r="C1139" s="142" t="s">
        <v>2778</v>
      </c>
      <c r="D1139" s="14" t="s">
        <v>2911</v>
      </c>
      <c r="E1139" s="14" t="s">
        <v>4557</v>
      </c>
      <c r="F1139" s="13">
        <v>19.98</v>
      </c>
      <c r="G1139" s="14" t="s">
        <v>3704</v>
      </c>
      <c r="H1139" s="13" t="s">
        <v>2973</v>
      </c>
      <c r="I1139" s="14" t="s">
        <v>4583</v>
      </c>
      <c r="J1139" s="14" t="s">
        <v>4584</v>
      </c>
      <c r="K1139" s="478">
        <v>0.09</v>
      </c>
      <c r="L1139" s="220">
        <v>5.31</v>
      </c>
      <c r="M1139" s="568" t="s">
        <v>4585</v>
      </c>
      <c r="N1139" s="479" t="s">
        <v>2937</v>
      </c>
      <c r="O1139" s="569" t="s">
        <v>2976</v>
      </c>
      <c r="P1139" s="655" t="s">
        <v>2987</v>
      </c>
      <c r="Q1139" s="491" t="s">
        <v>2981</v>
      </c>
      <c r="R1139" s="14">
        <v>2</v>
      </c>
      <c r="S1139" s="14">
        <f t="shared" si="1195"/>
        <v>0.10619999999999999</v>
      </c>
      <c r="T1139" s="487">
        <f>SUM(R1136:R1172)</f>
        <v>100.00000000000007</v>
      </c>
      <c r="U1139">
        <f t="shared" si="1111"/>
        <v>1.9999999999999987</v>
      </c>
      <c r="V1139" s="220"/>
      <c r="W1139" s="14" t="s">
        <v>349</v>
      </c>
      <c r="X1139">
        <f t="shared" si="1164"/>
        <v>0.17999999999999988</v>
      </c>
      <c r="Y1139" s="220" t="s">
        <v>1666</v>
      </c>
      <c r="Z1139" s="220" t="str">
        <f t="shared" ref="Z1139:AH1139" si="1206">Y1139</f>
        <v>*</v>
      </c>
      <c r="AA1139" s="792" t="str">
        <f t="shared" si="1206"/>
        <v>*</v>
      </c>
      <c r="AB1139" s="466" t="str">
        <f t="shared" si="1206"/>
        <v>*</v>
      </c>
      <c r="AC1139" s="831" t="str">
        <f t="shared" si="1206"/>
        <v>*</v>
      </c>
      <c r="AD1139" s="831" t="str">
        <f t="shared" si="1206"/>
        <v>*</v>
      </c>
      <c r="AE1139" s="454" t="str">
        <f t="shared" si="1206"/>
        <v>*</v>
      </c>
      <c r="AF1139" s="454" t="str">
        <f t="shared" si="1206"/>
        <v>*</v>
      </c>
      <c r="AG1139" s="454" t="str">
        <f t="shared" si="1206"/>
        <v>*</v>
      </c>
      <c r="AH1139" s="454" t="str">
        <f t="shared" si="1206"/>
        <v>*</v>
      </c>
    </row>
    <row r="1140" spans="1:34" ht="14.25">
      <c r="A1140" s="14" t="s">
        <v>4556</v>
      </c>
      <c r="B1140" s="24" t="s">
        <v>2768</v>
      </c>
      <c r="C1140" s="142" t="s">
        <v>2778</v>
      </c>
      <c r="D1140" s="14" t="s">
        <v>2911</v>
      </c>
      <c r="E1140" s="14" t="s">
        <v>4557</v>
      </c>
      <c r="F1140" s="13">
        <v>19.98</v>
      </c>
      <c r="G1140" s="14" t="s">
        <v>3704</v>
      </c>
      <c r="H1140" s="13" t="s">
        <v>2973</v>
      </c>
      <c r="I1140" s="14" t="s">
        <v>4583</v>
      </c>
      <c r="J1140" s="14" t="s">
        <v>4584</v>
      </c>
      <c r="K1140" s="478">
        <v>0.09</v>
      </c>
      <c r="L1140" s="220">
        <v>5.31</v>
      </c>
      <c r="M1140" s="568" t="s">
        <v>4585</v>
      </c>
      <c r="N1140" s="479" t="s">
        <v>2937</v>
      </c>
      <c r="O1140" s="569" t="s">
        <v>2976</v>
      </c>
      <c r="P1140" s="489" t="s">
        <v>2980</v>
      </c>
      <c r="Q1140" s="563" t="s">
        <v>4586</v>
      </c>
      <c r="R1140" s="14">
        <f t="shared" ref="R1140:R1141" si="1207">2/2</f>
        <v>1</v>
      </c>
      <c r="S1140" s="14">
        <f t="shared" si="1195"/>
        <v>5.3099999999999994E-2</v>
      </c>
      <c r="T1140" s="487">
        <f>SUM(R1136:R1172)</f>
        <v>100.00000000000007</v>
      </c>
      <c r="U1140">
        <f t="shared" si="1111"/>
        <v>0.99999999999999933</v>
      </c>
      <c r="V1140" s="220"/>
      <c r="W1140" s="14" t="s">
        <v>349</v>
      </c>
      <c r="X1140">
        <f t="shared" si="1164"/>
        <v>8.9999999999999941E-2</v>
      </c>
      <c r="Y1140" s="220" t="s">
        <v>1666</v>
      </c>
      <c r="Z1140" s="220" t="str">
        <f t="shared" ref="Z1140:AH1140" si="1208">Y1140</f>
        <v>*</v>
      </c>
      <c r="AA1140" s="792" t="str">
        <f t="shared" si="1208"/>
        <v>*</v>
      </c>
      <c r="AB1140" s="466" t="str">
        <f t="shared" si="1208"/>
        <v>*</v>
      </c>
      <c r="AC1140" s="831" t="str">
        <f t="shared" si="1208"/>
        <v>*</v>
      </c>
      <c r="AD1140" s="831" t="str">
        <f t="shared" si="1208"/>
        <v>*</v>
      </c>
      <c r="AE1140" s="454" t="str">
        <f t="shared" si="1208"/>
        <v>*</v>
      </c>
      <c r="AF1140" s="454" t="str">
        <f t="shared" si="1208"/>
        <v>*</v>
      </c>
      <c r="AG1140" s="454" t="str">
        <f t="shared" si="1208"/>
        <v>*</v>
      </c>
      <c r="AH1140" s="454" t="str">
        <f t="shared" si="1208"/>
        <v>*</v>
      </c>
    </row>
    <row r="1141" spans="1:34" ht="14.25">
      <c r="A1141" s="14" t="s">
        <v>4556</v>
      </c>
      <c r="B1141" s="24" t="s">
        <v>2768</v>
      </c>
      <c r="C1141" s="142" t="s">
        <v>2778</v>
      </c>
      <c r="D1141" s="14" t="s">
        <v>2911</v>
      </c>
      <c r="E1141" s="14" t="s">
        <v>4557</v>
      </c>
      <c r="F1141" s="13">
        <v>19.98</v>
      </c>
      <c r="G1141" s="14" t="s">
        <v>3704</v>
      </c>
      <c r="H1141" s="13" t="s">
        <v>2973</v>
      </c>
      <c r="I1141" s="14" t="s">
        <v>4583</v>
      </c>
      <c r="J1141" s="14" t="s">
        <v>4584</v>
      </c>
      <c r="K1141" s="478">
        <v>0.09</v>
      </c>
      <c r="L1141" s="220">
        <v>5.31</v>
      </c>
      <c r="M1141" s="568" t="s">
        <v>4585</v>
      </c>
      <c r="N1141" s="479" t="s">
        <v>2937</v>
      </c>
      <c r="O1141" s="569" t="s">
        <v>2976</v>
      </c>
      <c r="P1141" s="490" t="s">
        <v>2980</v>
      </c>
      <c r="Q1141" s="491" t="s">
        <v>4366</v>
      </c>
      <c r="R1141" s="14">
        <f t="shared" si="1207"/>
        <v>1</v>
      </c>
      <c r="S1141" s="14">
        <f t="shared" si="1195"/>
        <v>5.3099999999999994E-2</v>
      </c>
      <c r="T1141" s="487">
        <f>SUM(R1136:R1172)</f>
        <v>100.00000000000007</v>
      </c>
      <c r="U1141">
        <f t="shared" si="1111"/>
        <v>0.99999999999999933</v>
      </c>
      <c r="V1141" s="220"/>
      <c r="W1141" s="14" t="s">
        <v>2521</v>
      </c>
      <c r="X1141">
        <f t="shared" si="1164"/>
        <v>8.9999999999999941E-2</v>
      </c>
      <c r="Y1141" s="220" t="s">
        <v>1666</v>
      </c>
      <c r="Z1141" s="220" t="str">
        <f t="shared" ref="Z1141:AH1141" si="1209">Y1141</f>
        <v>*</v>
      </c>
      <c r="AA1141" s="792" t="str">
        <f t="shared" si="1209"/>
        <v>*</v>
      </c>
      <c r="AB1141" s="466" t="str">
        <f t="shared" si="1209"/>
        <v>*</v>
      </c>
      <c r="AC1141" s="831" t="str">
        <f t="shared" si="1209"/>
        <v>*</v>
      </c>
      <c r="AD1141" s="831" t="str">
        <f t="shared" si="1209"/>
        <v>*</v>
      </c>
      <c r="AE1141" s="454" t="str">
        <f t="shared" si="1209"/>
        <v>*</v>
      </c>
      <c r="AF1141" s="454" t="str">
        <f t="shared" si="1209"/>
        <v>*</v>
      </c>
      <c r="AG1141" s="454" t="str">
        <f t="shared" si="1209"/>
        <v>*</v>
      </c>
      <c r="AH1141" s="454" t="str">
        <f t="shared" si="1209"/>
        <v>*</v>
      </c>
    </row>
    <row r="1142" spans="1:34" ht="14.25">
      <c r="A1142" s="14" t="s">
        <v>4556</v>
      </c>
      <c r="B1142" s="24" t="s">
        <v>2768</v>
      </c>
      <c r="C1142" s="142" t="s">
        <v>2778</v>
      </c>
      <c r="D1142" s="14" t="s">
        <v>2911</v>
      </c>
      <c r="E1142" s="14" t="s">
        <v>4557</v>
      </c>
      <c r="F1142" s="13">
        <v>19.98</v>
      </c>
      <c r="G1142" s="14" t="s">
        <v>3704</v>
      </c>
      <c r="H1142" s="13" t="s">
        <v>2973</v>
      </c>
      <c r="I1142" s="14" t="s">
        <v>4583</v>
      </c>
      <c r="J1142" s="14" t="s">
        <v>4584</v>
      </c>
      <c r="K1142" s="478">
        <v>0.09</v>
      </c>
      <c r="L1142" s="220">
        <v>5.31</v>
      </c>
      <c r="M1142" s="568" t="s">
        <v>4585</v>
      </c>
      <c r="N1142" s="479" t="s">
        <v>2937</v>
      </c>
      <c r="O1142" s="569" t="s">
        <v>2976</v>
      </c>
      <c r="P1142" s="14" t="s">
        <v>3853</v>
      </c>
      <c r="Q1142" s="491" t="s">
        <v>4336</v>
      </c>
      <c r="R1142" s="14">
        <v>6</v>
      </c>
      <c r="S1142" s="14">
        <f t="shared" si="1195"/>
        <v>0.31859999999999994</v>
      </c>
      <c r="T1142" s="487">
        <f>SUM(R1136:R1172)</f>
        <v>100.00000000000007</v>
      </c>
      <c r="U1142">
        <f t="shared" si="1111"/>
        <v>5.9999999999999956</v>
      </c>
      <c r="V1142" s="220"/>
      <c r="W1142" s="14" t="s">
        <v>324</v>
      </c>
      <c r="X1142">
        <f t="shared" si="1164"/>
        <v>0.53999999999999959</v>
      </c>
      <c r="Y1142" s="220" t="s">
        <v>1666</v>
      </c>
      <c r="Z1142" s="220" t="str">
        <f t="shared" ref="Z1142:AH1142" si="1210">Y1142</f>
        <v>*</v>
      </c>
      <c r="AA1142" s="792" t="str">
        <f t="shared" si="1210"/>
        <v>*</v>
      </c>
      <c r="AB1142" s="466" t="str">
        <f t="shared" si="1210"/>
        <v>*</v>
      </c>
      <c r="AC1142" s="831" t="str">
        <f t="shared" si="1210"/>
        <v>*</v>
      </c>
      <c r="AD1142" s="831" t="str">
        <f t="shared" si="1210"/>
        <v>*</v>
      </c>
      <c r="AE1142" s="454" t="str">
        <f t="shared" si="1210"/>
        <v>*</v>
      </c>
      <c r="AF1142" s="454" t="str">
        <f t="shared" si="1210"/>
        <v>*</v>
      </c>
      <c r="AG1142" s="454" t="str">
        <f t="shared" si="1210"/>
        <v>*</v>
      </c>
      <c r="AH1142" s="454" t="str">
        <f t="shared" si="1210"/>
        <v>*</v>
      </c>
    </row>
    <row r="1143" spans="1:34" ht="14.25">
      <c r="A1143" s="14" t="s">
        <v>4556</v>
      </c>
      <c r="B1143" s="24" t="s">
        <v>2768</v>
      </c>
      <c r="C1143" s="142" t="s">
        <v>2778</v>
      </c>
      <c r="D1143" s="14" t="s">
        <v>2911</v>
      </c>
      <c r="E1143" s="14" t="s">
        <v>4557</v>
      </c>
      <c r="F1143" s="13">
        <v>19.98</v>
      </c>
      <c r="G1143" s="14" t="s">
        <v>3704</v>
      </c>
      <c r="H1143" s="13" t="s">
        <v>2973</v>
      </c>
      <c r="I1143" s="14" t="s">
        <v>4583</v>
      </c>
      <c r="J1143" s="14" t="s">
        <v>4584</v>
      </c>
      <c r="K1143" s="478">
        <v>0.09</v>
      </c>
      <c r="L1143" s="220">
        <v>5.31</v>
      </c>
      <c r="M1143" s="568" t="s">
        <v>4585</v>
      </c>
      <c r="N1143" s="479" t="s">
        <v>2937</v>
      </c>
      <c r="O1143" s="569" t="s">
        <v>2976</v>
      </c>
      <c r="P1143" s="14" t="s">
        <v>3021</v>
      </c>
      <c r="Q1143" s="486" t="s">
        <v>3022</v>
      </c>
      <c r="R1143" s="14">
        <v>6</v>
      </c>
      <c r="S1143" s="14">
        <f t="shared" si="1195"/>
        <v>0.31859999999999994</v>
      </c>
      <c r="T1143" s="487">
        <f>SUM(R1136:R1172)</f>
        <v>100.00000000000007</v>
      </c>
      <c r="U1143">
        <f t="shared" si="1111"/>
        <v>5.9999999999999956</v>
      </c>
      <c r="V1143" s="220"/>
      <c r="W1143" s="14" t="s">
        <v>346</v>
      </c>
      <c r="X1143">
        <f t="shared" si="1164"/>
        <v>0.53999999999999959</v>
      </c>
      <c r="Y1143" s="220" t="s">
        <v>1666</v>
      </c>
      <c r="Z1143" s="220" t="str">
        <f t="shared" ref="Z1143:AH1143" si="1211">Y1143</f>
        <v>*</v>
      </c>
      <c r="AA1143" s="792" t="str">
        <f t="shared" si="1211"/>
        <v>*</v>
      </c>
      <c r="AB1143" s="466" t="str">
        <f t="shared" si="1211"/>
        <v>*</v>
      </c>
      <c r="AC1143" s="831" t="str">
        <f t="shared" si="1211"/>
        <v>*</v>
      </c>
      <c r="AD1143" s="831" t="str">
        <f t="shared" si="1211"/>
        <v>*</v>
      </c>
      <c r="AE1143" s="454" t="str">
        <f t="shared" si="1211"/>
        <v>*</v>
      </c>
      <c r="AF1143" s="454" t="str">
        <f t="shared" si="1211"/>
        <v>*</v>
      </c>
      <c r="AG1143" s="454" t="str">
        <f t="shared" si="1211"/>
        <v>*</v>
      </c>
      <c r="AH1143" s="454" t="str">
        <f t="shared" si="1211"/>
        <v>*</v>
      </c>
    </row>
    <row r="1144" spans="1:34" ht="14.25">
      <c r="A1144" s="14" t="s">
        <v>4556</v>
      </c>
      <c r="B1144" s="24" t="s">
        <v>2768</v>
      </c>
      <c r="C1144" s="142" t="s">
        <v>2778</v>
      </c>
      <c r="D1144" s="14" t="s">
        <v>2911</v>
      </c>
      <c r="E1144" s="14" t="s">
        <v>4557</v>
      </c>
      <c r="F1144" s="13">
        <v>19.98</v>
      </c>
      <c r="G1144" s="14" t="s">
        <v>3704</v>
      </c>
      <c r="H1144" s="13" t="s">
        <v>2973</v>
      </c>
      <c r="I1144" s="14" t="s">
        <v>4583</v>
      </c>
      <c r="J1144" s="14" t="s">
        <v>4584</v>
      </c>
      <c r="K1144" s="478">
        <v>0.09</v>
      </c>
      <c r="L1144" s="220">
        <v>5.31</v>
      </c>
      <c r="M1144" s="568" t="s">
        <v>4585</v>
      </c>
      <c r="N1144" s="479" t="s">
        <v>2937</v>
      </c>
      <c r="O1144" s="569" t="s">
        <v>2976</v>
      </c>
      <c r="P1144" s="14" t="s">
        <v>139</v>
      </c>
      <c r="Q1144" s="14" t="s">
        <v>3020</v>
      </c>
      <c r="R1144" s="14">
        <v>5.5</v>
      </c>
      <c r="S1144" s="14">
        <f t="shared" si="1195"/>
        <v>0.29204999999999998</v>
      </c>
      <c r="T1144" s="487">
        <f>SUM(R1136:R1172)</f>
        <v>100.00000000000007</v>
      </c>
      <c r="U1144">
        <f t="shared" si="1111"/>
        <v>5.4999999999999964</v>
      </c>
      <c r="V1144" s="220"/>
      <c r="W1144" s="14" t="s">
        <v>139</v>
      </c>
      <c r="X1144">
        <f t="shared" si="1164"/>
        <v>0.49499999999999966</v>
      </c>
      <c r="Y1144" s="220" t="s">
        <v>1666</v>
      </c>
      <c r="Z1144" s="220" t="str">
        <f t="shared" ref="Z1144:AH1144" si="1212">Y1144</f>
        <v>*</v>
      </c>
      <c r="AA1144" s="792" t="str">
        <f t="shared" si="1212"/>
        <v>*</v>
      </c>
      <c r="AB1144" s="466" t="str">
        <f t="shared" si="1212"/>
        <v>*</v>
      </c>
      <c r="AC1144" s="831" t="str">
        <f t="shared" si="1212"/>
        <v>*</v>
      </c>
      <c r="AD1144" s="831" t="str">
        <f t="shared" si="1212"/>
        <v>*</v>
      </c>
      <c r="AE1144" s="454" t="str">
        <f t="shared" si="1212"/>
        <v>*</v>
      </c>
      <c r="AF1144" s="454" t="str">
        <f t="shared" si="1212"/>
        <v>*</v>
      </c>
      <c r="AG1144" s="454" t="str">
        <f t="shared" si="1212"/>
        <v>*</v>
      </c>
      <c r="AH1144" s="454" t="str">
        <f t="shared" si="1212"/>
        <v>*</v>
      </c>
    </row>
    <row r="1145" spans="1:34" ht="14.25">
      <c r="A1145" s="14" t="s">
        <v>4556</v>
      </c>
      <c r="B1145" s="24" t="s">
        <v>2768</v>
      </c>
      <c r="C1145" s="142" t="s">
        <v>2778</v>
      </c>
      <c r="D1145" s="14" t="s">
        <v>2911</v>
      </c>
      <c r="E1145" s="14" t="s">
        <v>4557</v>
      </c>
      <c r="F1145" s="13">
        <v>19.98</v>
      </c>
      <c r="G1145" s="14" t="s">
        <v>3704</v>
      </c>
      <c r="H1145" s="13" t="s">
        <v>2973</v>
      </c>
      <c r="I1145" s="14" t="s">
        <v>4583</v>
      </c>
      <c r="J1145" s="14" t="s">
        <v>4584</v>
      </c>
      <c r="K1145" s="478">
        <v>0.09</v>
      </c>
      <c r="L1145" s="220">
        <v>5.31</v>
      </c>
      <c r="M1145" s="568" t="s">
        <v>4585</v>
      </c>
      <c r="N1145" s="479" t="s">
        <v>2937</v>
      </c>
      <c r="O1145" s="569" t="s">
        <v>2976</v>
      </c>
      <c r="P1145" s="14" t="s">
        <v>2945</v>
      </c>
      <c r="Q1145" s="435" t="s">
        <v>2946</v>
      </c>
      <c r="R1145" s="14">
        <v>3.1</v>
      </c>
      <c r="S1145" s="14">
        <f t="shared" si="1195"/>
        <v>0.16461000000000001</v>
      </c>
      <c r="T1145" s="487">
        <f>SUM(R1136:R1172)</f>
        <v>100.00000000000007</v>
      </c>
      <c r="U1145">
        <f t="shared" si="1111"/>
        <v>3.0999999999999979</v>
      </c>
      <c r="V1145" s="220"/>
      <c r="W1145" s="14" t="s">
        <v>433</v>
      </c>
      <c r="X1145">
        <f t="shared" si="1164"/>
        <v>0.2789999999999998</v>
      </c>
      <c r="Y1145" s="220" t="s">
        <v>1666</v>
      </c>
      <c r="Z1145" s="220" t="str">
        <f t="shared" ref="Z1145:AH1145" si="1213">Y1145</f>
        <v>*</v>
      </c>
      <c r="AA1145" s="792" t="str">
        <f t="shared" si="1213"/>
        <v>*</v>
      </c>
      <c r="AB1145" s="466" t="str">
        <f t="shared" si="1213"/>
        <v>*</v>
      </c>
      <c r="AC1145" s="831" t="str">
        <f t="shared" si="1213"/>
        <v>*</v>
      </c>
      <c r="AD1145" s="831" t="str">
        <f t="shared" si="1213"/>
        <v>*</v>
      </c>
      <c r="AE1145" s="454" t="str">
        <f t="shared" si="1213"/>
        <v>*</v>
      </c>
      <c r="AF1145" s="454" t="str">
        <f t="shared" si="1213"/>
        <v>*</v>
      </c>
      <c r="AG1145" s="454" t="str">
        <f t="shared" si="1213"/>
        <v>*</v>
      </c>
      <c r="AH1145" s="454" t="str">
        <f t="shared" si="1213"/>
        <v>*</v>
      </c>
    </row>
    <row r="1146" spans="1:34" ht="14.25">
      <c r="A1146" s="14" t="s">
        <v>4556</v>
      </c>
      <c r="B1146" s="24" t="s">
        <v>2768</v>
      </c>
      <c r="C1146" s="142" t="s">
        <v>2778</v>
      </c>
      <c r="D1146" s="14" t="s">
        <v>2911</v>
      </c>
      <c r="E1146" s="14" t="s">
        <v>4557</v>
      </c>
      <c r="F1146" s="13">
        <v>19.98</v>
      </c>
      <c r="G1146" s="14" t="s">
        <v>3704</v>
      </c>
      <c r="H1146" s="13" t="s">
        <v>2973</v>
      </c>
      <c r="I1146" s="14" t="s">
        <v>4583</v>
      </c>
      <c r="J1146" s="14" t="s">
        <v>4584</v>
      </c>
      <c r="K1146" s="478">
        <v>0.09</v>
      </c>
      <c r="L1146" s="220">
        <v>5.31</v>
      </c>
      <c r="M1146" s="568" t="s">
        <v>4585</v>
      </c>
      <c r="N1146" s="479" t="s">
        <v>2937</v>
      </c>
      <c r="O1146" s="569" t="s">
        <v>2976</v>
      </c>
      <c r="P1146" s="14" t="s">
        <v>2962</v>
      </c>
      <c r="Q1146" s="14" t="s">
        <v>4587</v>
      </c>
      <c r="R1146" s="14">
        <v>2</v>
      </c>
      <c r="S1146" s="14">
        <f t="shared" si="1195"/>
        <v>0.10619999999999999</v>
      </c>
      <c r="T1146" s="487">
        <f>SUM(R1136:R1172)</f>
        <v>100.00000000000007</v>
      </c>
      <c r="U1146">
        <f t="shared" si="1111"/>
        <v>1.9999999999999987</v>
      </c>
      <c r="V1146" s="220"/>
      <c r="W1146" s="14" t="s">
        <v>425</v>
      </c>
      <c r="X1146">
        <f t="shared" si="1164"/>
        <v>0.17999999999999988</v>
      </c>
      <c r="Y1146" s="220" t="s">
        <v>1666</v>
      </c>
      <c r="Z1146" s="220" t="str">
        <f t="shared" ref="Z1146:AH1146" si="1214">Y1146</f>
        <v>*</v>
      </c>
      <c r="AA1146" s="792" t="str">
        <f t="shared" si="1214"/>
        <v>*</v>
      </c>
      <c r="AB1146" s="466" t="str">
        <f t="shared" si="1214"/>
        <v>*</v>
      </c>
      <c r="AC1146" s="831" t="str">
        <f t="shared" si="1214"/>
        <v>*</v>
      </c>
      <c r="AD1146" s="831" t="str">
        <f t="shared" si="1214"/>
        <v>*</v>
      </c>
      <c r="AE1146" s="454" t="str">
        <f t="shared" si="1214"/>
        <v>*</v>
      </c>
      <c r="AF1146" s="454" t="str">
        <f t="shared" si="1214"/>
        <v>*</v>
      </c>
      <c r="AG1146" s="454" t="str">
        <f t="shared" si="1214"/>
        <v>*</v>
      </c>
      <c r="AH1146" s="454" t="str">
        <f t="shared" si="1214"/>
        <v>*</v>
      </c>
    </row>
    <row r="1147" spans="1:34" ht="14.25">
      <c r="A1147" s="14" t="s">
        <v>4556</v>
      </c>
      <c r="B1147" s="24" t="s">
        <v>2768</v>
      </c>
      <c r="C1147" s="142" t="s">
        <v>2778</v>
      </c>
      <c r="D1147" s="14" t="s">
        <v>2911</v>
      </c>
      <c r="E1147" s="14" t="s">
        <v>4557</v>
      </c>
      <c r="F1147" s="13">
        <v>19.98</v>
      </c>
      <c r="G1147" s="14" t="s">
        <v>3704</v>
      </c>
      <c r="H1147" s="13" t="s">
        <v>2973</v>
      </c>
      <c r="I1147" s="14" t="s">
        <v>4583</v>
      </c>
      <c r="J1147" s="14" t="s">
        <v>4584</v>
      </c>
      <c r="K1147" s="478">
        <v>0.09</v>
      </c>
      <c r="L1147" s="220">
        <v>5.31</v>
      </c>
      <c r="M1147" s="568" t="s">
        <v>4585</v>
      </c>
      <c r="N1147" s="479" t="s">
        <v>2937</v>
      </c>
      <c r="O1147" s="569" t="s">
        <v>2976</v>
      </c>
      <c r="P1147" s="14" t="s">
        <v>421</v>
      </c>
      <c r="Q1147" s="435" t="s">
        <v>2952</v>
      </c>
      <c r="R1147" s="14">
        <v>0.9</v>
      </c>
      <c r="S1147" s="14">
        <f t="shared" si="1195"/>
        <v>4.7789999999999999E-2</v>
      </c>
      <c r="T1147" s="487">
        <f>SUM(R1136:R1172)</f>
        <v>100.00000000000007</v>
      </c>
      <c r="U1147">
        <f t="shared" si="1111"/>
        <v>0.89999999999999936</v>
      </c>
      <c r="V1147" s="220"/>
      <c r="W1147" s="14" t="s">
        <v>421</v>
      </c>
      <c r="X1147">
        <f t="shared" si="1164"/>
        <v>8.0999999999999933E-2</v>
      </c>
      <c r="Y1147" s="220" t="s">
        <v>1666</v>
      </c>
      <c r="Z1147" s="220" t="str">
        <f t="shared" ref="Z1147:AH1147" si="1215">Y1147</f>
        <v>*</v>
      </c>
      <c r="AA1147" s="792" t="str">
        <f t="shared" si="1215"/>
        <v>*</v>
      </c>
      <c r="AB1147" s="466" t="str">
        <f t="shared" si="1215"/>
        <v>*</v>
      </c>
      <c r="AC1147" s="831" t="str">
        <f t="shared" si="1215"/>
        <v>*</v>
      </c>
      <c r="AD1147" s="831" t="str">
        <f t="shared" si="1215"/>
        <v>*</v>
      </c>
      <c r="AE1147" s="454" t="str">
        <f t="shared" si="1215"/>
        <v>*</v>
      </c>
      <c r="AF1147" s="454" t="str">
        <f t="shared" si="1215"/>
        <v>*</v>
      </c>
      <c r="AG1147" s="454" t="str">
        <f t="shared" si="1215"/>
        <v>*</v>
      </c>
      <c r="AH1147" s="454" t="str">
        <f t="shared" si="1215"/>
        <v>*</v>
      </c>
    </row>
    <row r="1148" spans="1:34" ht="14.25">
      <c r="A1148" s="14" t="s">
        <v>4556</v>
      </c>
      <c r="B1148" s="24" t="s">
        <v>2768</v>
      </c>
      <c r="C1148" s="142" t="s">
        <v>2778</v>
      </c>
      <c r="D1148" s="14" t="s">
        <v>2911</v>
      </c>
      <c r="E1148" s="14" t="s">
        <v>4557</v>
      </c>
      <c r="F1148" s="13">
        <v>19.98</v>
      </c>
      <c r="G1148" s="14" t="s">
        <v>3704</v>
      </c>
      <c r="H1148" s="13" t="s">
        <v>2973</v>
      </c>
      <c r="I1148" s="14" t="s">
        <v>4583</v>
      </c>
      <c r="J1148" s="14" t="s">
        <v>4584</v>
      </c>
      <c r="K1148" s="478">
        <v>0.09</v>
      </c>
      <c r="L1148" s="220">
        <v>5.31</v>
      </c>
      <c r="M1148" s="568" t="s">
        <v>4585</v>
      </c>
      <c r="N1148" s="479" t="s">
        <v>2937</v>
      </c>
      <c r="O1148" s="569" t="s">
        <v>2976</v>
      </c>
      <c r="P1148" s="14" t="s">
        <v>2688</v>
      </c>
      <c r="Q1148" s="14" t="s">
        <v>4114</v>
      </c>
      <c r="R1148" s="14">
        <v>0.9</v>
      </c>
      <c r="S1148" s="14">
        <f t="shared" si="1195"/>
        <v>4.7789999999999999E-2</v>
      </c>
      <c r="T1148" s="487">
        <f>SUM(R1136:R1172)</f>
        <v>100.00000000000007</v>
      </c>
      <c r="U1148">
        <f t="shared" si="1111"/>
        <v>0.89999999999999936</v>
      </c>
      <c r="V1148" s="220"/>
      <c r="W1148" s="14" t="s">
        <v>2688</v>
      </c>
      <c r="X1148">
        <f t="shared" si="1164"/>
        <v>8.0999999999999933E-2</v>
      </c>
      <c r="Y1148" s="499">
        <f t="shared" ref="Y1148:AA1148" si="1216">X1148</f>
        <v>8.0999999999999933E-2</v>
      </c>
      <c r="Z1148" s="220">
        <f t="shared" si="1216"/>
        <v>8.0999999999999933E-2</v>
      </c>
      <c r="AA1148" s="792">
        <f t="shared" si="1216"/>
        <v>8.0999999999999933E-2</v>
      </c>
      <c r="AB1148" s="466" t="s">
        <v>2688</v>
      </c>
      <c r="AC1148" s="13" t="s">
        <v>4115</v>
      </c>
      <c r="AD1148" s="13" t="s">
        <v>4116</v>
      </c>
      <c r="AE1148" s="12">
        <v>3.2210986719999998E-3</v>
      </c>
      <c r="AF1148" s="12">
        <v>3.9434345900000001E-2</v>
      </c>
      <c r="AG1148" s="12">
        <v>2.4510000000000001E-3</v>
      </c>
      <c r="AH1148" s="12">
        <v>9.0389601229999995E-4</v>
      </c>
    </row>
    <row r="1149" spans="1:34" ht="14.25">
      <c r="A1149" s="14" t="s">
        <v>4556</v>
      </c>
      <c r="B1149" s="24" t="s">
        <v>2768</v>
      </c>
      <c r="C1149" s="142" t="s">
        <v>2778</v>
      </c>
      <c r="D1149" s="14" t="s">
        <v>2911</v>
      </c>
      <c r="E1149" s="14" t="s">
        <v>4557</v>
      </c>
      <c r="F1149" s="13">
        <v>19.98</v>
      </c>
      <c r="G1149" s="14" t="s">
        <v>3704</v>
      </c>
      <c r="H1149" s="13" t="s">
        <v>2973</v>
      </c>
      <c r="I1149" s="14" t="s">
        <v>4583</v>
      </c>
      <c r="J1149" s="14" t="s">
        <v>4584</v>
      </c>
      <c r="K1149" s="478">
        <v>0.09</v>
      </c>
      <c r="L1149" s="220">
        <v>5.31</v>
      </c>
      <c r="M1149" s="568" t="s">
        <v>4585</v>
      </c>
      <c r="N1149" s="479" t="s">
        <v>2937</v>
      </c>
      <c r="O1149" s="569" t="s">
        <v>2976</v>
      </c>
      <c r="P1149" s="14" t="s">
        <v>4566</v>
      </c>
      <c r="Q1149" s="486" t="s">
        <v>4567</v>
      </c>
      <c r="R1149" s="14">
        <v>0.4</v>
      </c>
      <c r="S1149" s="14">
        <f t="shared" si="1195"/>
        <v>2.1239999999999998E-2</v>
      </c>
      <c r="T1149" s="487">
        <f>SUM(R1136:R1172)</f>
        <v>100.00000000000007</v>
      </c>
      <c r="U1149">
        <f t="shared" si="1111"/>
        <v>0.39999999999999969</v>
      </c>
      <c r="V1149" s="220"/>
      <c r="W1149" s="14" t="s">
        <v>4588</v>
      </c>
      <c r="X1149">
        <f t="shared" si="1164"/>
        <v>3.599999999999997E-2</v>
      </c>
      <c r="Y1149" s="220" t="s">
        <v>1666</v>
      </c>
      <c r="Z1149" s="220" t="str">
        <f t="shared" ref="Z1149:AH1149" si="1217">Y1149</f>
        <v>*</v>
      </c>
      <c r="AA1149" s="792" t="str">
        <f t="shared" si="1217"/>
        <v>*</v>
      </c>
      <c r="AB1149" s="466" t="str">
        <f t="shared" si="1217"/>
        <v>*</v>
      </c>
      <c r="AC1149" s="831" t="str">
        <f t="shared" si="1217"/>
        <v>*</v>
      </c>
      <c r="AD1149" s="831" t="str">
        <f t="shared" si="1217"/>
        <v>*</v>
      </c>
      <c r="AE1149" s="454" t="str">
        <f t="shared" si="1217"/>
        <v>*</v>
      </c>
      <c r="AF1149" s="454" t="str">
        <f t="shared" si="1217"/>
        <v>*</v>
      </c>
      <c r="AG1149" s="454" t="str">
        <f t="shared" si="1217"/>
        <v>*</v>
      </c>
      <c r="AH1149" s="454" t="str">
        <f t="shared" si="1217"/>
        <v>*</v>
      </c>
    </row>
    <row r="1150" spans="1:34" ht="14.25">
      <c r="A1150" s="14" t="s">
        <v>4556</v>
      </c>
      <c r="B1150" s="24" t="s">
        <v>2768</v>
      </c>
      <c r="C1150" s="142" t="s">
        <v>2778</v>
      </c>
      <c r="D1150" s="14" t="s">
        <v>2911</v>
      </c>
      <c r="E1150" s="14" t="s">
        <v>4557</v>
      </c>
      <c r="F1150" s="13">
        <v>19.98</v>
      </c>
      <c r="G1150" s="14" t="s">
        <v>3704</v>
      </c>
      <c r="H1150" s="13" t="s">
        <v>2973</v>
      </c>
      <c r="I1150" s="14" t="s">
        <v>4583</v>
      </c>
      <c r="J1150" s="14" t="s">
        <v>4584</v>
      </c>
      <c r="K1150" s="478">
        <v>0.09</v>
      </c>
      <c r="L1150" s="220">
        <v>5.31</v>
      </c>
      <c r="M1150" s="568" t="s">
        <v>4585</v>
      </c>
      <c r="N1150" s="479" t="s">
        <v>2937</v>
      </c>
      <c r="O1150" s="569" t="s">
        <v>2976</v>
      </c>
      <c r="P1150" s="14" t="s">
        <v>4226</v>
      </c>
      <c r="Q1150" s="486" t="s">
        <v>4589</v>
      </c>
      <c r="R1150" s="14">
        <v>0.4</v>
      </c>
      <c r="S1150" s="14">
        <f t="shared" si="1195"/>
        <v>2.1239999999999998E-2</v>
      </c>
      <c r="T1150" s="487">
        <f>SUM(R1136:R1172)</f>
        <v>100.00000000000007</v>
      </c>
      <c r="U1150">
        <f t="shared" si="1111"/>
        <v>0.39999999999999969</v>
      </c>
      <c r="V1150" s="220"/>
      <c r="W1150" s="14" t="s">
        <v>423</v>
      </c>
      <c r="X1150">
        <f t="shared" si="1164"/>
        <v>3.599999999999997E-2</v>
      </c>
      <c r="Y1150" s="220" t="s">
        <v>1666</v>
      </c>
      <c r="Z1150" s="220" t="str">
        <f t="shared" ref="Z1150:AH1150" si="1218">Y1150</f>
        <v>*</v>
      </c>
      <c r="AA1150" s="792" t="str">
        <f t="shared" si="1218"/>
        <v>*</v>
      </c>
      <c r="AB1150" s="466" t="str">
        <f t="shared" si="1218"/>
        <v>*</v>
      </c>
      <c r="AC1150" s="831" t="str">
        <f t="shared" si="1218"/>
        <v>*</v>
      </c>
      <c r="AD1150" s="831" t="str">
        <f t="shared" si="1218"/>
        <v>*</v>
      </c>
      <c r="AE1150" s="454" t="str">
        <f t="shared" si="1218"/>
        <v>*</v>
      </c>
      <c r="AF1150" s="454" t="str">
        <f t="shared" si="1218"/>
        <v>*</v>
      </c>
      <c r="AG1150" s="454" t="str">
        <f t="shared" si="1218"/>
        <v>*</v>
      </c>
      <c r="AH1150" s="454" t="str">
        <f t="shared" si="1218"/>
        <v>*</v>
      </c>
    </row>
    <row r="1151" spans="1:34" ht="14.25">
      <c r="A1151" s="14" t="s">
        <v>4556</v>
      </c>
      <c r="B1151" s="24" t="s">
        <v>2768</v>
      </c>
      <c r="C1151" s="142" t="s">
        <v>2778</v>
      </c>
      <c r="D1151" s="14" t="s">
        <v>2911</v>
      </c>
      <c r="E1151" s="14" t="s">
        <v>4557</v>
      </c>
      <c r="F1151" s="13">
        <v>19.98</v>
      </c>
      <c r="G1151" s="14" t="s">
        <v>3704</v>
      </c>
      <c r="H1151" s="13" t="s">
        <v>2973</v>
      </c>
      <c r="I1151" s="14" t="s">
        <v>4583</v>
      </c>
      <c r="J1151" s="14" t="s">
        <v>4584</v>
      </c>
      <c r="K1151" s="478">
        <v>0.09</v>
      </c>
      <c r="L1151" s="220">
        <v>5.31</v>
      </c>
      <c r="M1151" s="568" t="s">
        <v>4585</v>
      </c>
      <c r="N1151" s="479" t="s">
        <v>2937</v>
      </c>
      <c r="O1151" s="569" t="s">
        <v>2976</v>
      </c>
      <c r="P1151" s="14" t="s">
        <v>3072</v>
      </c>
      <c r="Q1151" s="486" t="s">
        <v>4590</v>
      </c>
      <c r="R1151" s="14">
        <v>0.4</v>
      </c>
      <c r="S1151" s="14">
        <f t="shared" si="1195"/>
        <v>2.1239999999999998E-2</v>
      </c>
      <c r="T1151" s="487">
        <f>SUM(R1136:R1172)</f>
        <v>100.00000000000007</v>
      </c>
      <c r="U1151">
        <f t="shared" si="1111"/>
        <v>0.39999999999999969</v>
      </c>
      <c r="V1151" s="220"/>
      <c r="W1151" s="14" t="s">
        <v>343</v>
      </c>
      <c r="X1151">
        <f t="shared" si="1164"/>
        <v>3.599999999999997E-2</v>
      </c>
      <c r="Y1151" s="220" t="s">
        <v>1666</v>
      </c>
      <c r="Z1151" s="220" t="str">
        <f t="shared" ref="Z1151:AH1151" si="1219">Y1151</f>
        <v>*</v>
      </c>
      <c r="AA1151" s="792" t="str">
        <f t="shared" si="1219"/>
        <v>*</v>
      </c>
      <c r="AB1151" s="466" t="str">
        <f t="shared" si="1219"/>
        <v>*</v>
      </c>
      <c r="AC1151" s="831" t="str">
        <f t="shared" si="1219"/>
        <v>*</v>
      </c>
      <c r="AD1151" s="831" t="str">
        <f t="shared" si="1219"/>
        <v>*</v>
      </c>
      <c r="AE1151" s="454" t="str">
        <f t="shared" si="1219"/>
        <v>*</v>
      </c>
      <c r="AF1151" s="454" t="str">
        <f t="shared" si="1219"/>
        <v>*</v>
      </c>
      <c r="AG1151" s="454" t="str">
        <f t="shared" si="1219"/>
        <v>*</v>
      </c>
      <c r="AH1151" s="454" t="str">
        <f t="shared" si="1219"/>
        <v>*</v>
      </c>
    </row>
    <row r="1152" spans="1:34" ht="14.25">
      <c r="A1152" s="14" t="s">
        <v>4556</v>
      </c>
      <c r="B1152" s="24" t="s">
        <v>2768</v>
      </c>
      <c r="C1152" s="142" t="s">
        <v>2778</v>
      </c>
      <c r="D1152" s="14" t="s">
        <v>2911</v>
      </c>
      <c r="E1152" s="14" t="s">
        <v>4557</v>
      </c>
      <c r="F1152" s="13">
        <v>19.98</v>
      </c>
      <c r="G1152" s="14" t="s">
        <v>3704</v>
      </c>
      <c r="H1152" s="13" t="s">
        <v>2973</v>
      </c>
      <c r="I1152" s="14" t="s">
        <v>4583</v>
      </c>
      <c r="J1152" s="14" t="s">
        <v>4584</v>
      </c>
      <c r="K1152" s="478">
        <v>0.09</v>
      </c>
      <c r="L1152" s="220">
        <v>5.31</v>
      </c>
      <c r="M1152" s="568" t="s">
        <v>4585</v>
      </c>
      <c r="N1152" s="479" t="s">
        <v>2937</v>
      </c>
      <c r="O1152" s="569" t="s">
        <v>2976</v>
      </c>
      <c r="P1152" s="14" t="s">
        <v>2945</v>
      </c>
      <c r="Q1152" s="14" t="s">
        <v>4591</v>
      </c>
      <c r="R1152" s="14">
        <v>0.4</v>
      </c>
      <c r="S1152" s="14">
        <f t="shared" si="1195"/>
        <v>2.1239999999999998E-2</v>
      </c>
      <c r="T1152" s="487">
        <f>SUM(R1136:R1172)</f>
        <v>100.00000000000007</v>
      </c>
      <c r="U1152">
        <f t="shared" si="1111"/>
        <v>0.39999999999999969</v>
      </c>
      <c r="V1152" s="220"/>
      <c r="W1152" s="14" t="s">
        <v>433</v>
      </c>
      <c r="X1152">
        <f t="shared" si="1164"/>
        <v>3.599999999999997E-2</v>
      </c>
      <c r="Y1152" s="220" t="s">
        <v>1666</v>
      </c>
      <c r="Z1152" s="220" t="str">
        <f t="shared" ref="Z1152:AH1152" si="1220">Y1152</f>
        <v>*</v>
      </c>
      <c r="AA1152" s="792" t="str">
        <f t="shared" si="1220"/>
        <v>*</v>
      </c>
      <c r="AB1152" s="466" t="str">
        <f t="shared" si="1220"/>
        <v>*</v>
      </c>
      <c r="AC1152" s="831" t="str">
        <f t="shared" si="1220"/>
        <v>*</v>
      </c>
      <c r="AD1152" s="831" t="str">
        <f t="shared" si="1220"/>
        <v>*</v>
      </c>
      <c r="AE1152" s="454" t="str">
        <f t="shared" si="1220"/>
        <v>*</v>
      </c>
      <c r="AF1152" s="454" t="str">
        <f t="shared" si="1220"/>
        <v>*</v>
      </c>
      <c r="AG1152" s="454" t="str">
        <f t="shared" si="1220"/>
        <v>*</v>
      </c>
      <c r="AH1152" s="454" t="str">
        <f t="shared" si="1220"/>
        <v>*</v>
      </c>
    </row>
    <row r="1153" spans="1:34" ht="14.25">
      <c r="A1153" s="14" t="s">
        <v>4556</v>
      </c>
      <c r="B1153" s="24" t="s">
        <v>2768</v>
      </c>
      <c r="C1153" s="142" t="s">
        <v>2778</v>
      </c>
      <c r="D1153" s="14" t="s">
        <v>2911</v>
      </c>
      <c r="E1153" s="14" t="s">
        <v>4557</v>
      </c>
      <c r="F1153" s="13">
        <v>19.98</v>
      </c>
      <c r="G1153" s="14" t="s">
        <v>3704</v>
      </c>
      <c r="H1153" s="13" t="s">
        <v>2973</v>
      </c>
      <c r="I1153" s="14" t="s">
        <v>4583</v>
      </c>
      <c r="J1153" s="14" t="s">
        <v>4584</v>
      </c>
      <c r="K1153" s="478">
        <v>0.09</v>
      </c>
      <c r="L1153" s="220">
        <v>5.31</v>
      </c>
      <c r="M1153" s="568" t="s">
        <v>4585</v>
      </c>
      <c r="N1153" s="479" t="s">
        <v>2937</v>
      </c>
      <c r="O1153" s="569" t="s">
        <v>2976</v>
      </c>
      <c r="P1153" s="655" t="s">
        <v>2977</v>
      </c>
      <c r="Q1153" s="486" t="s">
        <v>4592</v>
      </c>
      <c r="R1153" s="14">
        <v>0.4</v>
      </c>
      <c r="S1153" s="14">
        <f t="shared" si="1195"/>
        <v>2.1239999999999998E-2</v>
      </c>
      <c r="T1153" s="487">
        <f>SUM(R1136:R1172)</f>
        <v>100.00000000000007</v>
      </c>
      <c r="U1153">
        <f t="shared" si="1111"/>
        <v>0.39999999999999969</v>
      </c>
      <c r="V1153" s="220"/>
      <c r="W1153" s="14" t="s">
        <v>227</v>
      </c>
      <c r="X1153">
        <f t="shared" si="1164"/>
        <v>3.599999999999997E-2</v>
      </c>
      <c r="Y1153" s="220" t="s">
        <v>1666</v>
      </c>
      <c r="Z1153" s="220" t="s">
        <v>1666</v>
      </c>
      <c r="AA1153" s="792" t="str">
        <f t="shared" ref="AA1153:AH1153" si="1221">Z1153</f>
        <v>*</v>
      </c>
      <c r="AB1153" s="466" t="str">
        <f t="shared" si="1221"/>
        <v>*</v>
      </c>
      <c r="AC1153" s="831" t="str">
        <f t="shared" si="1221"/>
        <v>*</v>
      </c>
      <c r="AD1153" s="831" t="str">
        <f t="shared" si="1221"/>
        <v>*</v>
      </c>
      <c r="AE1153" s="454" t="str">
        <f t="shared" si="1221"/>
        <v>*</v>
      </c>
      <c r="AF1153" s="454" t="str">
        <f t="shared" si="1221"/>
        <v>*</v>
      </c>
      <c r="AG1153" s="454" t="str">
        <f t="shared" si="1221"/>
        <v>*</v>
      </c>
      <c r="AH1153" s="454" t="str">
        <f t="shared" si="1221"/>
        <v>*</v>
      </c>
    </row>
    <row r="1154" spans="1:34" ht="14.25">
      <c r="A1154" s="14" t="s">
        <v>4556</v>
      </c>
      <c r="B1154" s="24" t="s">
        <v>2768</v>
      </c>
      <c r="C1154" s="142" t="s">
        <v>2778</v>
      </c>
      <c r="D1154" s="14" t="s">
        <v>2911</v>
      </c>
      <c r="E1154" s="14" t="s">
        <v>4557</v>
      </c>
      <c r="F1154" s="13">
        <v>19.98</v>
      </c>
      <c r="G1154" s="14" t="s">
        <v>3704</v>
      </c>
      <c r="H1154" s="13" t="s">
        <v>2973</v>
      </c>
      <c r="I1154" s="14" t="s">
        <v>4583</v>
      </c>
      <c r="J1154" s="14" t="s">
        <v>4584</v>
      </c>
      <c r="K1154" s="478">
        <v>0.09</v>
      </c>
      <c r="L1154" s="220">
        <v>5.31</v>
      </c>
      <c r="M1154" s="568" t="s">
        <v>4585</v>
      </c>
      <c r="N1154" s="479" t="s">
        <v>2937</v>
      </c>
      <c r="O1154" s="569" t="s">
        <v>2976</v>
      </c>
      <c r="P1154" s="14" t="s">
        <v>4593</v>
      </c>
      <c r="Q1154" s="14" t="s">
        <v>4594</v>
      </c>
      <c r="R1154" s="14">
        <v>0.4</v>
      </c>
      <c r="S1154" s="14">
        <f t="shared" si="1195"/>
        <v>2.1239999999999998E-2</v>
      </c>
      <c r="T1154" s="487">
        <f>SUM(R1136:R1172)</f>
        <v>100.00000000000007</v>
      </c>
      <c r="U1154">
        <f t="shared" si="1111"/>
        <v>0.39999999999999969</v>
      </c>
      <c r="V1154" s="220"/>
      <c r="W1154" s="14" t="s">
        <v>876</v>
      </c>
      <c r="X1154">
        <f t="shared" si="1164"/>
        <v>3.599999999999997E-2</v>
      </c>
      <c r="Y1154" s="220" t="s">
        <v>1624</v>
      </c>
      <c r="Z1154" s="220">
        <f>X1154</f>
        <v>3.599999999999997E-2</v>
      </c>
      <c r="AA1154" s="792">
        <f>Z1154</f>
        <v>3.599999999999997E-2</v>
      </c>
      <c r="AB1154" s="466" t="s">
        <v>876</v>
      </c>
      <c r="AC1154" s="831" t="s">
        <v>2930</v>
      </c>
      <c r="AD1154" s="831" t="s">
        <v>2996</v>
      </c>
      <c r="AE1154" s="12">
        <v>6.0179999999999999E-3</v>
      </c>
      <c r="AF1154" s="23">
        <v>1.7694000000000001E-2</v>
      </c>
      <c r="AG1154" s="12">
        <v>1.17966E-4</v>
      </c>
      <c r="AH1154" s="12">
        <v>1.1100000000000001E-3</v>
      </c>
    </row>
    <row r="1155" spans="1:34" ht="14.25">
      <c r="A1155" s="14" t="s">
        <v>4556</v>
      </c>
      <c r="B1155" s="24" t="s">
        <v>2768</v>
      </c>
      <c r="C1155" s="142" t="s">
        <v>2778</v>
      </c>
      <c r="D1155" s="14" t="s">
        <v>2911</v>
      </c>
      <c r="E1155" s="14" t="s">
        <v>4557</v>
      </c>
      <c r="F1155" s="13">
        <v>19.98</v>
      </c>
      <c r="G1155" s="14" t="s">
        <v>3704</v>
      </c>
      <c r="H1155" s="13" t="s">
        <v>2973</v>
      </c>
      <c r="I1155" s="14" t="s">
        <v>4583</v>
      </c>
      <c r="J1155" s="14" t="s">
        <v>4584</v>
      </c>
      <c r="K1155" s="478">
        <v>0.09</v>
      </c>
      <c r="L1155" s="220">
        <v>5.31</v>
      </c>
      <c r="M1155" s="568" t="s">
        <v>4585</v>
      </c>
      <c r="N1155" s="479" t="s">
        <v>2937</v>
      </c>
      <c r="O1155" s="569" t="s">
        <v>2976</v>
      </c>
      <c r="P1155" s="14" t="s">
        <v>330</v>
      </c>
      <c r="Q1155" s="486" t="s">
        <v>4595</v>
      </c>
      <c r="R1155" s="14">
        <v>0.4</v>
      </c>
      <c r="S1155" s="14">
        <f t="shared" si="1195"/>
        <v>2.1239999999999998E-2</v>
      </c>
      <c r="T1155" s="487">
        <f>SUM(R1136:R1172)</f>
        <v>100.00000000000007</v>
      </c>
      <c r="U1155">
        <f t="shared" si="1111"/>
        <v>0.39999999999999969</v>
      </c>
      <c r="V1155" s="220"/>
      <c r="W1155" s="14" t="s">
        <v>332</v>
      </c>
      <c r="X1155">
        <f t="shared" si="1164"/>
        <v>3.599999999999997E-2</v>
      </c>
      <c r="Y1155" s="220" t="s">
        <v>1666</v>
      </c>
      <c r="Z1155" s="220" t="str">
        <f t="shared" ref="Z1155:AH1155" si="1222">Y1155</f>
        <v>*</v>
      </c>
      <c r="AA1155" s="792" t="str">
        <f t="shared" si="1222"/>
        <v>*</v>
      </c>
      <c r="AB1155" s="466" t="str">
        <f t="shared" si="1222"/>
        <v>*</v>
      </c>
      <c r="AC1155" s="831" t="str">
        <f t="shared" si="1222"/>
        <v>*</v>
      </c>
      <c r="AD1155" s="831" t="str">
        <f t="shared" si="1222"/>
        <v>*</v>
      </c>
      <c r="AE1155" s="454" t="str">
        <f t="shared" si="1222"/>
        <v>*</v>
      </c>
      <c r="AF1155" s="454" t="str">
        <f t="shared" si="1222"/>
        <v>*</v>
      </c>
      <c r="AG1155" s="454" t="str">
        <f t="shared" si="1222"/>
        <v>*</v>
      </c>
      <c r="AH1155" s="454" t="str">
        <f t="shared" si="1222"/>
        <v>*</v>
      </c>
    </row>
    <row r="1156" spans="1:34" ht="14.25">
      <c r="A1156" s="14" t="s">
        <v>4556</v>
      </c>
      <c r="B1156" s="24" t="s">
        <v>2768</v>
      </c>
      <c r="C1156" s="142" t="s">
        <v>2778</v>
      </c>
      <c r="D1156" s="14" t="s">
        <v>2911</v>
      </c>
      <c r="E1156" s="14" t="s">
        <v>4557</v>
      </c>
      <c r="F1156" s="13">
        <v>19.98</v>
      </c>
      <c r="G1156" s="14" t="s">
        <v>3704</v>
      </c>
      <c r="H1156" s="13" t="s">
        <v>2973</v>
      </c>
      <c r="I1156" s="14" t="s">
        <v>4583</v>
      </c>
      <c r="J1156" s="14" t="s">
        <v>4584</v>
      </c>
      <c r="K1156" s="478">
        <v>0.09</v>
      </c>
      <c r="L1156" s="220">
        <v>5.31</v>
      </c>
      <c r="M1156" s="568" t="s">
        <v>4585</v>
      </c>
      <c r="N1156" s="479" t="s">
        <v>2937</v>
      </c>
      <c r="O1156" s="569" t="s">
        <v>2976</v>
      </c>
      <c r="P1156" s="14" t="s">
        <v>2945</v>
      </c>
      <c r="Q1156" s="14" t="s">
        <v>4596</v>
      </c>
      <c r="R1156" s="14">
        <v>0.4</v>
      </c>
      <c r="S1156" s="14">
        <f t="shared" si="1195"/>
        <v>2.1239999999999998E-2</v>
      </c>
      <c r="T1156" s="487">
        <f>SUM(R1136:R1172)</f>
        <v>100.00000000000007</v>
      </c>
      <c r="U1156">
        <f t="shared" si="1111"/>
        <v>0.39999999999999969</v>
      </c>
      <c r="V1156" s="220"/>
      <c r="W1156" s="14" t="s">
        <v>433</v>
      </c>
      <c r="X1156">
        <f t="shared" si="1164"/>
        <v>3.599999999999997E-2</v>
      </c>
      <c r="Y1156" s="220" t="s">
        <v>1666</v>
      </c>
      <c r="Z1156" s="220" t="str">
        <f t="shared" ref="Z1156:AH1156" si="1223">Y1156</f>
        <v>*</v>
      </c>
      <c r="AA1156" s="792" t="str">
        <f t="shared" si="1223"/>
        <v>*</v>
      </c>
      <c r="AB1156" s="466" t="str">
        <f t="shared" si="1223"/>
        <v>*</v>
      </c>
      <c r="AC1156" s="831" t="str">
        <f t="shared" si="1223"/>
        <v>*</v>
      </c>
      <c r="AD1156" s="831" t="str">
        <f t="shared" si="1223"/>
        <v>*</v>
      </c>
      <c r="AE1156" s="454" t="str">
        <f t="shared" si="1223"/>
        <v>*</v>
      </c>
      <c r="AF1156" s="454" t="str">
        <f t="shared" si="1223"/>
        <v>*</v>
      </c>
      <c r="AG1156" s="454" t="str">
        <f t="shared" si="1223"/>
        <v>*</v>
      </c>
      <c r="AH1156" s="454" t="str">
        <f t="shared" si="1223"/>
        <v>*</v>
      </c>
    </row>
    <row r="1157" spans="1:34" ht="14.25">
      <c r="A1157" s="14" t="s">
        <v>4556</v>
      </c>
      <c r="B1157" s="24" t="s">
        <v>2768</v>
      </c>
      <c r="C1157" s="142" t="s">
        <v>2778</v>
      </c>
      <c r="D1157" s="14" t="s">
        <v>2911</v>
      </c>
      <c r="E1157" s="14" t="s">
        <v>4557</v>
      </c>
      <c r="F1157" s="13">
        <v>19.98</v>
      </c>
      <c r="G1157" s="14" t="s">
        <v>3704</v>
      </c>
      <c r="H1157" s="13" t="s">
        <v>2973</v>
      </c>
      <c r="I1157" s="14" t="s">
        <v>4583</v>
      </c>
      <c r="J1157" s="14" t="s">
        <v>4584</v>
      </c>
      <c r="K1157" s="478">
        <v>0.09</v>
      </c>
      <c r="L1157" s="220">
        <v>5.31</v>
      </c>
      <c r="M1157" s="568" t="s">
        <v>4585</v>
      </c>
      <c r="N1157" s="479" t="s">
        <v>2937</v>
      </c>
      <c r="O1157" s="569" t="s">
        <v>2976</v>
      </c>
      <c r="P1157" s="14" t="s">
        <v>2962</v>
      </c>
      <c r="Q1157" s="435" t="s">
        <v>2963</v>
      </c>
      <c r="R1157" s="14">
        <v>0.4</v>
      </c>
      <c r="S1157" s="14">
        <f t="shared" si="1195"/>
        <v>2.1239999999999998E-2</v>
      </c>
      <c r="T1157" s="487">
        <f>SUM(R1136:R1172)</f>
        <v>100.00000000000007</v>
      </c>
      <c r="U1157">
        <f t="shared" si="1111"/>
        <v>0.39999999999999969</v>
      </c>
      <c r="V1157" s="220"/>
      <c r="W1157" s="14" t="s">
        <v>425</v>
      </c>
      <c r="X1157">
        <f t="shared" si="1164"/>
        <v>3.599999999999997E-2</v>
      </c>
      <c r="Y1157" s="220" t="s">
        <v>1666</v>
      </c>
      <c r="Z1157" s="220" t="str">
        <f t="shared" ref="Z1157:AH1157" si="1224">Y1157</f>
        <v>*</v>
      </c>
      <c r="AA1157" s="792" t="str">
        <f t="shared" si="1224"/>
        <v>*</v>
      </c>
      <c r="AB1157" s="466" t="str">
        <f t="shared" si="1224"/>
        <v>*</v>
      </c>
      <c r="AC1157" s="831" t="str">
        <f t="shared" si="1224"/>
        <v>*</v>
      </c>
      <c r="AD1157" s="831" t="str">
        <f t="shared" si="1224"/>
        <v>*</v>
      </c>
      <c r="AE1157" s="454" t="str">
        <f t="shared" si="1224"/>
        <v>*</v>
      </c>
      <c r="AF1157" s="454" t="str">
        <f t="shared" si="1224"/>
        <v>*</v>
      </c>
      <c r="AG1157" s="454" t="str">
        <f t="shared" si="1224"/>
        <v>*</v>
      </c>
      <c r="AH1157" s="454" t="str">
        <f t="shared" si="1224"/>
        <v>*</v>
      </c>
    </row>
    <row r="1158" spans="1:34" ht="14.25">
      <c r="A1158" s="14" t="s">
        <v>4556</v>
      </c>
      <c r="B1158" s="24" t="s">
        <v>2768</v>
      </c>
      <c r="C1158" s="142" t="s">
        <v>2778</v>
      </c>
      <c r="D1158" s="14" t="s">
        <v>2911</v>
      </c>
      <c r="E1158" s="14" t="s">
        <v>4557</v>
      </c>
      <c r="F1158" s="13">
        <v>19.98</v>
      </c>
      <c r="G1158" s="14" t="s">
        <v>3704</v>
      </c>
      <c r="H1158" s="13" t="s">
        <v>2973</v>
      </c>
      <c r="I1158" s="14" t="s">
        <v>4583</v>
      </c>
      <c r="J1158" s="14" t="s">
        <v>4584</v>
      </c>
      <c r="K1158" s="478">
        <v>0.09</v>
      </c>
      <c r="L1158" s="220">
        <v>5.31</v>
      </c>
      <c r="M1158" s="568" t="s">
        <v>4585</v>
      </c>
      <c r="N1158" s="479" t="s">
        <v>2937</v>
      </c>
      <c r="O1158" s="569" t="s">
        <v>2976</v>
      </c>
      <c r="P1158" s="14" t="s">
        <v>3048</v>
      </c>
      <c r="Q1158" s="435" t="s">
        <v>3049</v>
      </c>
      <c r="R1158" s="14">
        <v>0.4</v>
      </c>
      <c r="S1158" s="14">
        <f t="shared" si="1195"/>
        <v>2.1239999999999998E-2</v>
      </c>
      <c r="T1158" s="487">
        <f>SUM(R1136:R1172)</f>
        <v>100.00000000000007</v>
      </c>
      <c r="U1158">
        <f t="shared" si="1111"/>
        <v>0.39999999999999969</v>
      </c>
      <c r="V1158" s="220"/>
      <c r="W1158" s="14" t="s">
        <v>2712</v>
      </c>
      <c r="X1158">
        <f t="shared" si="1164"/>
        <v>3.599999999999997E-2</v>
      </c>
      <c r="Y1158" s="220" t="s">
        <v>1624</v>
      </c>
      <c r="Z1158" s="220">
        <f>X1158</f>
        <v>3.599999999999997E-2</v>
      </c>
      <c r="AA1158" s="792">
        <f>Z1158</f>
        <v>3.599999999999997E-2</v>
      </c>
      <c r="AB1158" s="466" t="s">
        <v>2712</v>
      </c>
      <c r="AC1158" s="13" t="s">
        <v>878</v>
      </c>
      <c r="AD1158" s="13" t="s">
        <v>3050</v>
      </c>
      <c r="AE1158" s="12">
        <v>4.0401172748815169E-2</v>
      </c>
      <c r="AF1158" s="12">
        <v>0.11878669834123222</v>
      </c>
      <c r="AG1158" s="12">
        <v>7.919516026066351E-4</v>
      </c>
      <c r="AH1158" s="12">
        <v>7.4518613744075819E-3</v>
      </c>
    </row>
    <row r="1159" spans="1:34" ht="14.25">
      <c r="A1159" s="14" t="s">
        <v>4556</v>
      </c>
      <c r="B1159" s="24" t="s">
        <v>2768</v>
      </c>
      <c r="C1159" s="142" t="s">
        <v>2778</v>
      </c>
      <c r="D1159" s="14" t="s">
        <v>2911</v>
      </c>
      <c r="E1159" s="14" t="s">
        <v>4557</v>
      </c>
      <c r="F1159" s="13">
        <v>19.98</v>
      </c>
      <c r="G1159" s="14" t="s">
        <v>3704</v>
      </c>
      <c r="H1159" s="13" t="s">
        <v>2973</v>
      </c>
      <c r="I1159" s="14" t="s">
        <v>4583</v>
      </c>
      <c r="J1159" s="14" t="s">
        <v>4584</v>
      </c>
      <c r="K1159" s="478">
        <v>0.09</v>
      </c>
      <c r="L1159" s="220">
        <v>5.31</v>
      </c>
      <c r="M1159" s="568" t="s">
        <v>4585</v>
      </c>
      <c r="N1159" s="479" t="s">
        <v>2937</v>
      </c>
      <c r="O1159" s="569" t="s">
        <v>2976</v>
      </c>
      <c r="P1159" s="14" t="s">
        <v>139</v>
      </c>
      <c r="Q1159" s="14" t="s">
        <v>3020</v>
      </c>
      <c r="R1159" s="14">
        <v>0.4</v>
      </c>
      <c r="S1159" s="14">
        <f t="shared" si="1195"/>
        <v>2.1239999999999998E-2</v>
      </c>
      <c r="T1159" s="487">
        <f>SUM(R1136:R1172)</f>
        <v>100.00000000000007</v>
      </c>
      <c r="U1159">
        <f t="shared" si="1111"/>
        <v>0.39999999999999969</v>
      </c>
      <c r="V1159" s="220"/>
      <c r="W1159" s="14" t="s">
        <v>139</v>
      </c>
      <c r="X1159">
        <f t="shared" si="1164"/>
        <v>3.599999999999997E-2</v>
      </c>
      <c r="Y1159" s="220" t="s">
        <v>1666</v>
      </c>
      <c r="Z1159" s="220" t="str">
        <f t="shared" ref="Z1159:AH1159" si="1225">Y1159</f>
        <v>*</v>
      </c>
      <c r="AA1159" s="792" t="str">
        <f t="shared" si="1225"/>
        <v>*</v>
      </c>
      <c r="AB1159" s="466" t="str">
        <f t="shared" si="1225"/>
        <v>*</v>
      </c>
      <c r="AC1159" s="831" t="str">
        <f t="shared" si="1225"/>
        <v>*</v>
      </c>
      <c r="AD1159" s="831" t="str">
        <f t="shared" si="1225"/>
        <v>*</v>
      </c>
      <c r="AE1159" s="454" t="str">
        <f t="shared" si="1225"/>
        <v>*</v>
      </c>
      <c r="AF1159" s="454" t="str">
        <f t="shared" si="1225"/>
        <v>*</v>
      </c>
      <c r="AG1159" s="454" t="str">
        <f t="shared" si="1225"/>
        <v>*</v>
      </c>
      <c r="AH1159" s="454" t="str">
        <f t="shared" si="1225"/>
        <v>*</v>
      </c>
    </row>
    <row r="1160" spans="1:34" ht="14.25">
      <c r="A1160" s="14" t="s">
        <v>4556</v>
      </c>
      <c r="B1160" s="24" t="s">
        <v>2768</v>
      </c>
      <c r="C1160" s="142" t="s">
        <v>2778</v>
      </c>
      <c r="D1160" s="14" t="s">
        <v>2911</v>
      </c>
      <c r="E1160" s="14" t="s">
        <v>4557</v>
      </c>
      <c r="F1160" s="13">
        <v>19.98</v>
      </c>
      <c r="G1160" s="14" t="s">
        <v>3704</v>
      </c>
      <c r="H1160" s="13" t="s">
        <v>2973</v>
      </c>
      <c r="I1160" s="14" t="s">
        <v>4583</v>
      </c>
      <c r="J1160" s="14" t="s">
        <v>4584</v>
      </c>
      <c r="K1160" s="478">
        <v>0.09</v>
      </c>
      <c r="L1160" s="220">
        <v>5.31</v>
      </c>
      <c r="M1160" s="568" t="s">
        <v>4585</v>
      </c>
      <c r="N1160" s="479" t="s">
        <v>2937</v>
      </c>
      <c r="O1160" s="569" t="s">
        <v>2976</v>
      </c>
      <c r="P1160" s="14" t="s">
        <v>3025</v>
      </c>
      <c r="Q1160" s="486" t="s">
        <v>4597</v>
      </c>
      <c r="R1160" s="14">
        <v>0.4</v>
      </c>
      <c r="S1160" s="14">
        <f t="shared" si="1195"/>
        <v>2.1239999999999998E-2</v>
      </c>
      <c r="T1160" s="487">
        <f>SUM(R1136:R1172)</f>
        <v>100.00000000000007</v>
      </c>
      <c r="U1160">
        <f t="shared" si="1111"/>
        <v>0.39999999999999969</v>
      </c>
      <c r="V1160" s="220"/>
      <c r="W1160" s="14" t="s">
        <v>142</v>
      </c>
      <c r="X1160">
        <f t="shared" si="1164"/>
        <v>3.599999999999997E-2</v>
      </c>
      <c r="Y1160" s="220" t="s">
        <v>1666</v>
      </c>
      <c r="Z1160" s="220" t="str">
        <f t="shared" ref="Z1160:AH1160" si="1226">Y1160</f>
        <v>*</v>
      </c>
      <c r="AA1160" s="792" t="str">
        <f t="shared" si="1226"/>
        <v>*</v>
      </c>
      <c r="AB1160" s="466" t="str">
        <f t="shared" si="1226"/>
        <v>*</v>
      </c>
      <c r="AC1160" s="831" t="str">
        <f t="shared" si="1226"/>
        <v>*</v>
      </c>
      <c r="AD1160" s="831" t="str">
        <f t="shared" si="1226"/>
        <v>*</v>
      </c>
      <c r="AE1160" s="454" t="str">
        <f t="shared" si="1226"/>
        <v>*</v>
      </c>
      <c r="AF1160" s="454" t="str">
        <f t="shared" si="1226"/>
        <v>*</v>
      </c>
      <c r="AG1160" s="454" t="str">
        <f t="shared" si="1226"/>
        <v>*</v>
      </c>
      <c r="AH1160" s="454" t="str">
        <f t="shared" si="1226"/>
        <v>*</v>
      </c>
    </row>
    <row r="1161" spans="1:34" ht="14.25">
      <c r="A1161" s="14" t="s">
        <v>4556</v>
      </c>
      <c r="B1161" s="24" t="s">
        <v>2768</v>
      </c>
      <c r="C1161" s="142" t="s">
        <v>2778</v>
      </c>
      <c r="D1161" s="14" t="s">
        <v>2911</v>
      </c>
      <c r="E1161" s="14" t="s">
        <v>4557</v>
      </c>
      <c r="F1161" s="13">
        <v>19.98</v>
      </c>
      <c r="G1161" s="14" t="s">
        <v>3704</v>
      </c>
      <c r="H1161" s="13" t="s">
        <v>2973</v>
      </c>
      <c r="I1161" s="14" t="s">
        <v>4583</v>
      </c>
      <c r="J1161" s="14" t="s">
        <v>4584</v>
      </c>
      <c r="K1161" s="478">
        <v>0.09</v>
      </c>
      <c r="L1161" s="220">
        <v>5.31</v>
      </c>
      <c r="M1161" s="568" t="s">
        <v>4585</v>
      </c>
      <c r="N1161" s="479" t="s">
        <v>2937</v>
      </c>
      <c r="O1161" s="569" t="s">
        <v>2976</v>
      </c>
      <c r="P1161" s="14" t="s">
        <v>3072</v>
      </c>
      <c r="Q1161" s="14" t="s">
        <v>3073</v>
      </c>
      <c r="R1161" s="14">
        <v>0.4</v>
      </c>
      <c r="S1161" s="14">
        <f t="shared" si="1195"/>
        <v>2.1239999999999998E-2</v>
      </c>
      <c r="T1161" s="487">
        <f>SUM(R1136:R1172)</f>
        <v>100.00000000000007</v>
      </c>
      <c r="U1161">
        <f t="shared" si="1111"/>
        <v>0.39999999999999969</v>
      </c>
      <c r="V1161" s="220"/>
      <c r="W1161" s="14" t="s">
        <v>343</v>
      </c>
      <c r="X1161">
        <f t="shared" si="1164"/>
        <v>3.599999999999997E-2</v>
      </c>
      <c r="Y1161" s="220" t="s">
        <v>1666</v>
      </c>
      <c r="Z1161" s="220" t="str">
        <f t="shared" ref="Z1161:AH1161" si="1227">Y1161</f>
        <v>*</v>
      </c>
      <c r="AA1161" s="792" t="str">
        <f t="shared" si="1227"/>
        <v>*</v>
      </c>
      <c r="AB1161" s="466" t="str">
        <f t="shared" si="1227"/>
        <v>*</v>
      </c>
      <c r="AC1161" s="831" t="str">
        <f t="shared" si="1227"/>
        <v>*</v>
      </c>
      <c r="AD1161" s="831" t="str">
        <f t="shared" si="1227"/>
        <v>*</v>
      </c>
      <c r="AE1161" s="454" t="str">
        <f t="shared" si="1227"/>
        <v>*</v>
      </c>
      <c r="AF1161" s="454" t="str">
        <f t="shared" si="1227"/>
        <v>*</v>
      </c>
      <c r="AG1161" s="454" t="str">
        <f t="shared" si="1227"/>
        <v>*</v>
      </c>
      <c r="AH1161" s="454" t="str">
        <f t="shared" si="1227"/>
        <v>*</v>
      </c>
    </row>
    <row r="1162" spans="1:34" ht="14.25">
      <c r="A1162" s="14" t="s">
        <v>4556</v>
      </c>
      <c r="B1162" s="24" t="s">
        <v>2768</v>
      </c>
      <c r="C1162" s="142" t="s">
        <v>2778</v>
      </c>
      <c r="D1162" s="14" t="s">
        <v>2911</v>
      </c>
      <c r="E1162" s="14" t="s">
        <v>4557</v>
      </c>
      <c r="F1162" s="13">
        <v>19.98</v>
      </c>
      <c r="G1162" s="14" t="s">
        <v>3704</v>
      </c>
      <c r="H1162" s="13" t="s">
        <v>2973</v>
      </c>
      <c r="I1162" s="14" t="s">
        <v>4583</v>
      </c>
      <c r="J1162" s="14" t="s">
        <v>4584</v>
      </c>
      <c r="K1162" s="478">
        <v>0.09</v>
      </c>
      <c r="L1162" s="220">
        <v>5.31</v>
      </c>
      <c r="M1162" s="568" t="s">
        <v>4585</v>
      </c>
      <c r="N1162" s="479" t="s">
        <v>2937</v>
      </c>
      <c r="O1162" s="569" t="s">
        <v>2976</v>
      </c>
      <c r="P1162" s="655" t="s">
        <v>2977</v>
      </c>
      <c r="Q1162" s="527" t="s">
        <v>2978</v>
      </c>
      <c r="R1162" s="14">
        <v>0.4</v>
      </c>
      <c r="S1162" s="14">
        <f t="shared" si="1195"/>
        <v>2.1239999999999998E-2</v>
      </c>
      <c r="T1162" s="487">
        <f>SUM(R1136:R1172)</f>
        <v>100.00000000000007</v>
      </c>
      <c r="U1162">
        <f t="shared" si="1111"/>
        <v>0.39999999999999969</v>
      </c>
      <c r="V1162" s="220"/>
      <c r="W1162" s="14" t="s">
        <v>227</v>
      </c>
      <c r="X1162">
        <f t="shared" si="1164"/>
        <v>3.599999999999997E-2</v>
      </c>
      <c r="Y1162" s="220" t="s">
        <v>1666</v>
      </c>
      <c r="Z1162" s="220" t="s">
        <v>1666</v>
      </c>
      <c r="AA1162" s="792" t="str">
        <f t="shared" ref="AA1162:AH1162" si="1228">Z1162</f>
        <v>*</v>
      </c>
      <c r="AB1162" s="466" t="str">
        <f t="shared" si="1228"/>
        <v>*</v>
      </c>
      <c r="AC1162" s="831" t="str">
        <f t="shared" si="1228"/>
        <v>*</v>
      </c>
      <c r="AD1162" s="831" t="str">
        <f t="shared" si="1228"/>
        <v>*</v>
      </c>
      <c r="AE1162" s="454" t="str">
        <f t="shared" si="1228"/>
        <v>*</v>
      </c>
      <c r="AF1162" s="454" t="str">
        <f t="shared" si="1228"/>
        <v>*</v>
      </c>
      <c r="AG1162" s="454" t="str">
        <f t="shared" si="1228"/>
        <v>*</v>
      </c>
      <c r="AH1162" s="454" t="str">
        <f t="shared" si="1228"/>
        <v>*</v>
      </c>
    </row>
    <row r="1163" spans="1:34" ht="14.25">
      <c r="A1163" s="14" t="s">
        <v>4556</v>
      </c>
      <c r="B1163" s="24" t="s">
        <v>2768</v>
      </c>
      <c r="C1163" s="142" t="s">
        <v>2778</v>
      </c>
      <c r="D1163" s="14" t="s">
        <v>2911</v>
      </c>
      <c r="E1163" s="14" t="s">
        <v>4557</v>
      </c>
      <c r="F1163" s="13">
        <v>19.98</v>
      </c>
      <c r="G1163" s="14" t="s">
        <v>3704</v>
      </c>
      <c r="H1163" s="13" t="s">
        <v>2973</v>
      </c>
      <c r="I1163" s="14" t="s">
        <v>4583</v>
      </c>
      <c r="J1163" s="14" t="s">
        <v>4584</v>
      </c>
      <c r="K1163" s="478">
        <v>0.09</v>
      </c>
      <c r="L1163" s="220">
        <v>5.31</v>
      </c>
      <c r="M1163" s="568" t="s">
        <v>4585</v>
      </c>
      <c r="N1163" s="479" t="s">
        <v>2937</v>
      </c>
      <c r="O1163" s="569" t="s">
        <v>2976</v>
      </c>
      <c r="P1163" s="14" t="s">
        <v>83</v>
      </c>
      <c r="Q1163" s="527" t="s">
        <v>3430</v>
      </c>
      <c r="R1163" s="14">
        <v>0.4</v>
      </c>
      <c r="S1163" s="14">
        <f t="shared" si="1195"/>
        <v>2.1239999999999998E-2</v>
      </c>
      <c r="T1163" s="487">
        <f>SUM(R1136:R1172)</f>
        <v>100.00000000000007</v>
      </c>
      <c r="U1163">
        <f t="shared" si="1111"/>
        <v>0.39999999999999969</v>
      </c>
      <c r="V1163" s="220"/>
      <c r="W1163" s="14" t="s">
        <v>83</v>
      </c>
      <c r="X1163">
        <f t="shared" si="1164"/>
        <v>3.599999999999997E-2</v>
      </c>
      <c r="Y1163" s="220" t="s">
        <v>1624</v>
      </c>
      <c r="Z1163" s="220" t="s">
        <v>1666</v>
      </c>
      <c r="AA1163" s="792" t="str">
        <f t="shared" ref="AA1163:AH1163" si="1229">Z1163</f>
        <v>*</v>
      </c>
      <c r="AB1163" s="466" t="str">
        <f t="shared" si="1229"/>
        <v>*</v>
      </c>
      <c r="AC1163" s="831" t="str">
        <f t="shared" si="1229"/>
        <v>*</v>
      </c>
      <c r="AD1163" s="831" t="str">
        <f t="shared" si="1229"/>
        <v>*</v>
      </c>
      <c r="AE1163" s="454" t="str">
        <f t="shared" si="1229"/>
        <v>*</v>
      </c>
      <c r="AF1163" s="454" t="str">
        <f t="shared" si="1229"/>
        <v>*</v>
      </c>
      <c r="AG1163" s="454" t="str">
        <f t="shared" si="1229"/>
        <v>*</v>
      </c>
      <c r="AH1163" s="454" t="str">
        <f t="shared" si="1229"/>
        <v>*</v>
      </c>
    </row>
    <row r="1164" spans="1:34" ht="14.25">
      <c r="A1164" s="14" t="s">
        <v>4556</v>
      </c>
      <c r="B1164" s="24" t="s">
        <v>2768</v>
      </c>
      <c r="C1164" s="142" t="s">
        <v>2778</v>
      </c>
      <c r="D1164" s="14" t="s">
        <v>2911</v>
      </c>
      <c r="E1164" s="14" t="s">
        <v>4557</v>
      </c>
      <c r="F1164" s="13">
        <v>19.98</v>
      </c>
      <c r="G1164" s="14" t="s">
        <v>3704</v>
      </c>
      <c r="H1164" s="13" t="s">
        <v>2973</v>
      </c>
      <c r="I1164" s="14" t="s">
        <v>4583</v>
      </c>
      <c r="J1164" s="14" t="s">
        <v>4584</v>
      </c>
      <c r="K1164" s="478">
        <v>0.09</v>
      </c>
      <c r="L1164" s="220">
        <v>5.31</v>
      </c>
      <c r="M1164" s="568" t="s">
        <v>4585</v>
      </c>
      <c r="N1164" s="479" t="s">
        <v>2937</v>
      </c>
      <c r="O1164" s="569" t="s">
        <v>2976</v>
      </c>
      <c r="P1164" s="14" t="s">
        <v>4237</v>
      </c>
      <c r="Q1164" s="486" t="s">
        <v>4598</v>
      </c>
      <c r="R1164" s="14">
        <v>0.2</v>
      </c>
      <c r="S1164" s="14">
        <f t="shared" si="1195"/>
        <v>1.0619999999999999E-2</v>
      </c>
      <c r="T1164" s="487">
        <f>SUM(R1136:R1172)</f>
        <v>100.00000000000007</v>
      </c>
      <c r="U1164">
        <f t="shared" si="1111"/>
        <v>0.19999999999999984</v>
      </c>
      <c r="V1164" s="220"/>
      <c r="W1164" s="14" t="s">
        <v>4239</v>
      </c>
      <c r="X1164">
        <f t="shared" si="1164"/>
        <v>1.7999999999999985E-2</v>
      </c>
      <c r="Y1164" s="220" t="s">
        <v>1624</v>
      </c>
      <c r="Z1164" s="220" t="str">
        <f t="shared" ref="Z1164:AH1164" si="1230">Y1164</f>
        <v>-</v>
      </c>
      <c r="AA1164" s="792" t="str">
        <f t="shared" si="1230"/>
        <v>-</v>
      </c>
      <c r="AB1164" s="466" t="str">
        <f t="shared" si="1230"/>
        <v>-</v>
      </c>
      <c r="AC1164" s="831" t="str">
        <f t="shared" si="1230"/>
        <v>-</v>
      </c>
      <c r="AD1164" s="831" t="str">
        <f t="shared" si="1230"/>
        <v>-</v>
      </c>
      <c r="AE1164" s="454" t="str">
        <f t="shared" si="1230"/>
        <v>-</v>
      </c>
      <c r="AF1164" s="454" t="str">
        <f t="shared" si="1230"/>
        <v>-</v>
      </c>
      <c r="AG1164" s="454" t="str">
        <f t="shared" si="1230"/>
        <v>-</v>
      </c>
      <c r="AH1164" s="454" t="str">
        <f t="shared" si="1230"/>
        <v>-</v>
      </c>
    </row>
    <row r="1165" spans="1:34" ht="14.25">
      <c r="A1165" s="14" t="s">
        <v>4556</v>
      </c>
      <c r="B1165" s="24" t="s">
        <v>2768</v>
      </c>
      <c r="C1165" s="142" t="s">
        <v>2778</v>
      </c>
      <c r="D1165" s="14" t="s">
        <v>2911</v>
      </c>
      <c r="E1165" s="14" t="s">
        <v>4557</v>
      </c>
      <c r="F1165" s="13">
        <v>19.98</v>
      </c>
      <c r="G1165" s="14" t="s">
        <v>3704</v>
      </c>
      <c r="H1165" s="13" t="s">
        <v>2973</v>
      </c>
      <c r="I1165" s="14" t="s">
        <v>4583</v>
      </c>
      <c r="J1165" s="14" t="s">
        <v>4584</v>
      </c>
      <c r="K1165" s="478">
        <v>0.09</v>
      </c>
      <c r="L1165" s="220">
        <v>5.31</v>
      </c>
      <c r="M1165" s="568" t="s">
        <v>4585</v>
      </c>
      <c r="N1165" s="479" t="s">
        <v>2937</v>
      </c>
      <c r="O1165" s="569" t="s">
        <v>2976</v>
      </c>
      <c r="P1165" s="14" t="s">
        <v>4240</v>
      </c>
      <c r="Q1165" s="486" t="s">
        <v>4599</v>
      </c>
      <c r="R1165" s="14">
        <v>0.05</v>
      </c>
      <c r="S1165" s="14">
        <f t="shared" si="1195"/>
        <v>2.6549999999999998E-3</v>
      </c>
      <c r="T1165" s="487">
        <f>SUM(R1136:R1172)</f>
        <v>100.00000000000007</v>
      </c>
      <c r="U1165">
        <f t="shared" si="1111"/>
        <v>4.9999999999999961E-2</v>
      </c>
      <c r="V1165" s="220"/>
      <c r="W1165" s="14" t="s">
        <v>4242</v>
      </c>
      <c r="X1165">
        <f t="shared" si="1164"/>
        <v>4.4999999999999962E-3</v>
      </c>
      <c r="Y1165" s="220" t="s">
        <v>1624</v>
      </c>
      <c r="Z1165" s="220" t="str">
        <f t="shared" ref="Z1165:AH1165" si="1231">Y1165</f>
        <v>-</v>
      </c>
      <c r="AA1165" s="792" t="str">
        <f t="shared" si="1231"/>
        <v>-</v>
      </c>
      <c r="AB1165" s="466" t="str">
        <f t="shared" si="1231"/>
        <v>-</v>
      </c>
      <c r="AC1165" s="831" t="str">
        <f t="shared" si="1231"/>
        <v>-</v>
      </c>
      <c r="AD1165" s="831" t="str">
        <f t="shared" si="1231"/>
        <v>-</v>
      </c>
      <c r="AE1165" s="454" t="str">
        <f t="shared" si="1231"/>
        <v>-</v>
      </c>
      <c r="AF1165" s="454" t="str">
        <f t="shared" si="1231"/>
        <v>-</v>
      </c>
      <c r="AG1165" s="454" t="str">
        <f t="shared" si="1231"/>
        <v>-</v>
      </c>
      <c r="AH1165" s="454" t="str">
        <f t="shared" si="1231"/>
        <v>-</v>
      </c>
    </row>
    <row r="1166" spans="1:34" ht="14.25">
      <c r="A1166" s="14" t="s">
        <v>4556</v>
      </c>
      <c r="B1166" s="24" t="s">
        <v>2768</v>
      </c>
      <c r="C1166" s="142" t="s">
        <v>2778</v>
      </c>
      <c r="D1166" s="14" t="s">
        <v>2911</v>
      </c>
      <c r="E1166" s="14" t="s">
        <v>4557</v>
      </c>
      <c r="F1166" s="13">
        <v>19.98</v>
      </c>
      <c r="G1166" s="14" t="s">
        <v>3704</v>
      </c>
      <c r="H1166" s="13" t="s">
        <v>2973</v>
      </c>
      <c r="I1166" s="14" t="s">
        <v>4583</v>
      </c>
      <c r="J1166" s="14" t="s">
        <v>4584</v>
      </c>
      <c r="K1166" s="478">
        <v>0.09</v>
      </c>
      <c r="L1166" s="220">
        <v>5.31</v>
      </c>
      <c r="M1166" s="568" t="s">
        <v>4585</v>
      </c>
      <c r="N1166" s="479" t="s">
        <v>2937</v>
      </c>
      <c r="O1166" s="569" t="s">
        <v>2976</v>
      </c>
      <c r="P1166" s="14" t="s">
        <v>3021</v>
      </c>
      <c r="Q1166" s="486" t="s">
        <v>3022</v>
      </c>
      <c r="R1166" s="14">
        <v>0.05</v>
      </c>
      <c r="S1166" s="14">
        <f t="shared" si="1195"/>
        <v>2.6549999999999998E-3</v>
      </c>
      <c r="T1166" s="487">
        <f>SUM(R1136:R1172)</f>
        <v>100.00000000000007</v>
      </c>
      <c r="U1166">
        <f t="shared" si="1111"/>
        <v>4.9999999999999961E-2</v>
      </c>
      <c r="V1166" s="220"/>
      <c r="W1166" s="14" t="s">
        <v>346</v>
      </c>
      <c r="X1166">
        <f t="shared" si="1164"/>
        <v>4.4999999999999962E-3</v>
      </c>
      <c r="Y1166" s="220" t="s">
        <v>1666</v>
      </c>
      <c r="Z1166" s="220" t="str">
        <f t="shared" ref="Z1166:AH1166" si="1232">Y1166</f>
        <v>*</v>
      </c>
      <c r="AA1166" s="792" t="str">
        <f t="shared" si="1232"/>
        <v>*</v>
      </c>
      <c r="AB1166" s="466" t="str">
        <f t="shared" si="1232"/>
        <v>*</v>
      </c>
      <c r="AC1166" s="831" t="str">
        <f t="shared" si="1232"/>
        <v>*</v>
      </c>
      <c r="AD1166" s="831" t="str">
        <f t="shared" si="1232"/>
        <v>*</v>
      </c>
      <c r="AE1166" s="454" t="str">
        <f t="shared" si="1232"/>
        <v>*</v>
      </c>
      <c r="AF1166" s="454" t="str">
        <f t="shared" si="1232"/>
        <v>*</v>
      </c>
      <c r="AG1166" s="454" t="str">
        <f t="shared" si="1232"/>
        <v>*</v>
      </c>
      <c r="AH1166" s="454" t="str">
        <f t="shared" si="1232"/>
        <v>*</v>
      </c>
    </row>
    <row r="1167" spans="1:34" ht="14.25">
      <c r="A1167" s="14" t="s">
        <v>4556</v>
      </c>
      <c r="B1167" s="24" t="s">
        <v>2768</v>
      </c>
      <c r="C1167" s="142" t="s">
        <v>2778</v>
      </c>
      <c r="D1167" s="14" t="s">
        <v>2911</v>
      </c>
      <c r="E1167" s="14" t="s">
        <v>4557</v>
      </c>
      <c r="F1167" s="13">
        <v>19.98</v>
      </c>
      <c r="G1167" s="14" t="s">
        <v>3704</v>
      </c>
      <c r="H1167" s="13" t="s">
        <v>2973</v>
      </c>
      <c r="I1167" s="14" t="s">
        <v>4583</v>
      </c>
      <c r="J1167" s="14" t="s">
        <v>4584</v>
      </c>
      <c r="K1167" s="478">
        <v>0.09</v>
      </c>
      <c r="L1167" s="220">
        <v>5.31</v>
      </c>
      <c r="M1167" s="568" t="s">
        <v>4585</v>
      </c>
      <c r="N1167" s="479" t="s">
        <v>2937</v>
      </c>
      <c r="O1167" s="569" t="s">
        <v>2976</v>
      </c>
      <c r="P1167" s="14" t="s">
        <v>330</v>
      </c>
      <c r="Q1167" s="486" t="s">
        <v>3113</v>
      </c>
      <c r="R1167" s="14">
        <v>0.05</v>
      </c>
      <c r="S1167" s="14">
        <f t="shared" si="1195"/>
        <v>2.6549999999999998E-3</v>
      </c>
      <c r="T1167" s="487">
        <f>SUM(R1136:R1172)</f>
        <v>100.00000000000007</v>
      </c>
      <c r="U1167">
        <f t="shared" si="1111"/>
        <v>4.9999999999999961E-2</v>
      </c>
      <c r="V1167" s="220"/>
      <c r="W1167" s="14" t="s">
        <v>332</v>
      </c>
      <c r="X1167">
        <f t="shared" si="1164"/>
        <v>4.4999999999999962E-3</v>
      </c>
      <c r="Y1167" s="220" t="s">
        <v>1666</v>
      </c>
      <c r="Z1167" s="220" t="str">
        <f t="shared" ref="Z1167:AH1167" si="1233">Y1167</f>
        <v>*</v>
      </c>
      <c r="AA1167" s="792" t="str">
        <f t="shared" si="1233"/>
        <v>*</v>
      </c>
      <c r="AB1167" s="466" t="str">
        <f t="shared" si="1233"/>
        <v>*</v>
      </c>
      <c r="AC1167" s="831" t="str">
        <f t="shared" si="1233"/>
        <v>*</v>
      </c>
      <c r="AD1167" s="831" t="str">
        <f t="shared" si="1233"/>
        <v>*</v>
      </c>
      <c r="AE1167" s="454" t="str">
        <f t="shared" si="1233"/>
        <v>*</v>
      </c>
      <c r="AF1167" s="454" t="str">
        <f t="shared" si="1233"/>
        <v>*</v>
      </c>
      <c r="AG1167" s="454" t="str">
        <f t="shared" si="1233"/>
        <v>*</v>
      </c>
      <c r="AH1167" s="454" t="str">
        <f t="shared" si="1233"/>
        <v>*</v>
      </c>
    </row>
    <row r="1168" spans="1:34" ht="14.25">
      <c r="A1168" s="14" t="s">
        <v>4556</v>
      </c>
      <c r="B1168" s="24" t="s">
        <v>2768</v>
      </c>
      <c r="C1168" s="142" t="s">
        <v>2778</v>
      </c>
      <c r="D1168" s="14" t="s">
        <v>2911</v>
      </c>
      <c r="E1168" s="14" t="s">
        <v>4557</v>
      </c>
      <c r="F1168" s="13">
        <v>19.98</v>
      </c>
      <c r="G1168" s="14" t="s">
        <v>3704</v>
      </c>
      <c r="H1168" s="13" t="s">
        <v>2973</v>
      </c>
      <c r="I1168" s="14" t="s">
        <v>4583</v>
      </c>
      <c r="J1168" s="14" t="s">
        <v>4584</v>
      </c>
      <c r="K1168" s="478">
        <v>0.09</v>
      </c>
      <c r="L1168" s="220">
        <v>5.31</v>
      </c>
      <c r="M1168" s="568" t="s">
        <v>4585</v>
      </c>
      <c r="N1168" s="479" t="s">
        <v>2937</v>
      </c>
      <c r="O1168" s="569" t="s">
        <v>2976</v>
      </c>
      <c r="P1168" s="14" t="s">
        <v>4279</v>
      </c>
      <c r="Q1168" s="486" t="s">
        <v>2968</v>
      </c>
      <c r="R1168" s="14">
        <v>0.05</v>
      </c>
      <c r="S1168" s="14">
        <f t="shared" si="1195"/>
        <v>2.6549999999999998E-3</v>
      </c>
      <c r="T1168" s="487">
        <f>SUM(R1136:R1172)</f>
        <v>100.00000000000007</v>
      </c>
      <c r="U1168">
        <f t="shared" si="1111"/>
        <v>4.9999999999999961E-2</v>
      </c>
      <c r="V1168" s="220"/>
      <c r="W1168" s="14" t="s">
        <v>1370</v>
      </c>
      <c r="X1168">
        <f t="shared" si="1164"/>
        <v>4.4999999999999962E-3</v>
      </c>
      <c r="Y1168" s="220" t="s">
        <v>1666</v>
      </c>
      <c r="Z1168" s="220" t="str">
        <f t="shared" ref="Z1168:AH1168" si="1234">Y1168</f>
        <v>*</v>
      </c>
      <c r="AA1168" s="792" t="str">
        <f t="shared" si="1234"/>
        <v>*</v>
      </c>
      <c r="AB1168" s="466" t="str">
        <f t="shared" si="1234"/>
        <v>*</v>
      </c>
      <c r="AC1168" s="831" t="str">
        <f t="shared" si="1234"/>
        <v>*</v>
      </c>
      <c r="AD1168" s="831" t="str">
        <f t="shared" si="1234"/>
        <v>*</v>
      </c>
      <c r="AE1168" s="454" t="str">
        <f t="shared" si="1234"/>
        <v>*</v>
      </c>
      <c r="AF1168" s="454" t="str">
        <f t="shared" si="1234"/>
        <v>*</v>
      </c>
      <c r="AG1168" s="454" t="str">
        <f t="shared" si="1234"/>
        <v>*</v>
      </c>
      <c r="AH1168" s="454" t="str">
        <f t="shared" si="1234"/>
        <v>*</v>
      </c>
    </row>
    <row r="1169" spans="1:34" ht="14.25">
      <c r="A1169" s="14" t="s">
        <v>4556</v>
      </c>
      <c r="B1169" s="24" t="s">
        <v>2768</v>
      </c>
      <c r="C1169" s="142" t="s">
        <v>2778</v>
      </c>
      <c r="D1169" s="14" t="s">
        <v>2911</v>
      </c>
      <c r="E1169" s="14" t="s">
        <v>4557</v>
      </c>
      <c r="F1169" s="13">
        <v>19.98</v>
      </c>
      <c r="G1169" s="14" t="s">
        <v>3704</v>
      </c>
      <c r="H1169" s="13" t="s">
        <v>2973</v>
      </c>
      <c r="I1169" s="14" t="s">
        <v>4583</v>
      </c>
      <c r="J1169" s="14" t="s">
        <v>4584</v>
      </c>
      <c r="K1169" s="478">
        <v>0.09</v>
      </c>
      <c r="L1169" s="220">
        <v>5.31</v>
      </c>
      <c r="M1169" s="568" t="s">
        <v>4585</v>
      </c>
      <c r="N1169" s="479" t="s">
        <v>2937</v>
      </c>
      <c r="O1169" s="569" t="s">
        <v>2976</v>
      </c>
      <c r="P1169" s="14" t="s">
        <v>314</v>
      </c>
      <c r="Q1169" s="14" t="s">
        <v>4600</v>
      </c>
      <c r="R1169" s="14">
        <v>0.05</v>
      </c>
      <c r="S1169" s="14">
        <f t="shared" si="1195"/>
        <v>2.6549999999999998E-3</v>
      </c>
      <c r="T1169" s="487">
        <f>SUM(R1136:R1172)</f>
        <v>100.00000000000007</v>
      </c>
      <c r="U1169">
        <f t="shared" si="1111"/>
        <v>4.9999999999999961E-2</v>
      </c>
      <c r="V1169" s="220"/>
      <c r="W1169" s="14" t="s">
        <v>314</v>
      </c>
      <c r="X1169">
        <f t="shared" si="1164"/>
        <v>4.4999999999999962E-3</v>
      </c>
      <c r="Y1169" s="499">
        <f t="shared" ref="Y1169:AA1169" si="1235">X1169</f>
        <v>4.4999999999999962E-3</v>
      </c>
      <c r="Z1169" s="220">
        <f t="shared" si="1235"/>
        <v>4.4999999999999962E-3</v>
      </c>
      <c r="AA1169" s="792">
        <f t="shared" si="1235"/>
        <v>4.4999999999999962E-3</v>
      </c>
      <c r="AB1169" s="466" t="s">
        <v>314</v>
      </c>
      <c r="AC1169" s="831" t="s">
        <v>18</v>
      </c>
      <c r="AD1169" s="831" t="s">
        <v>3144</v>
      </c>
      <c r="AE1169" s="12">
        <v>5.5052259063149899E-3</v>
      </c>
      <c r="AF1169" s="12">
        <v>8.2856018088169489E-2</v>
      </c>
      <c r="AG1169" s="12">
        <v>3.8159999999999999E-3</v>
      </c>
      <c r="AH1169" s="12">
        <v>1.8959770013580487E-3</v>
      </c>
    </row>
    <row r="1170" spans="1:34" ht="14.25">
      <c r="A1170" s="14" t="s">
        <v>4556</v>
      </c>
      <c r="B1170" s="24" t="s">
        <v>2768</v>
      </c>
      <c r="C1170" s="142" t="s">
        <v>2778</v>
      </c>
      <c r="D1170" s="14" t="s">
        <v>2911</v>
      </c>
      <c r="E1170" s="14" t="s">
        <v>4557</v>
      </c>
      <c r="F1170" s="13">
        <v>19.98</v>
      </c>
      <c r="G1170" s="14" t="s">
        <v>3704</v>
      </c>
      <c r="H1170" s="13" t="s">
        <v>2973</v>
      </c>
      <c r="I1170" s="14" t="s">
        <v>4583</v>
      </c>
      <c r="J1170" s="14" t="s">
        <v>4584</v>
      </c>
      <c r="K1170" s="478">
        <v>0.09</v>
      </c>
      <c r="L1170" s="220">
        <v>5.31</v>
      </c>
      <c r="M1170" s="568" t="s">
        <v>4585</v>
      </c>
      <c r="N1170" s="479" t="s">
        <v>2937</v>
      </c>
      <c r="O1170" s="569" t="s">
        <v>2976</v>
      </c>
      <c r="P1170" s="14" t="s">
        <v>3041</v>
      </c>
      <c r="Q1170" s="486" t="s">
        <v>3089</v>
      </c>
      <c r="R1170" s="14">
        <v>0.05</v>
      </c>
      <c r="S1170" s="14">
        <f t="shared" si="1195"/>
        <v>2.6549999999999998E-3</v>
      </c>
      <c r="T1170" s="487">
        <f>SUM(R1136:R1172)</f>
        <v>100.00000000000007</v>
      </c>
      <c r="U1170">
        <f t="shared" si="1111"/>
        <v>4.9999999999999961E-2</v>
      </c>
      <c r="V1170" s="220"/>
      <c r="W1170" s="14" t="s">
        <v>81</v>
      </c>
      <c r="X1170">
        <f t="shared" si="1164"/>
        <v>4.4999999999999962E-3</v>
      </c>
      <c r="Y1170" s="499">
        <f t="shared" ref="Y1170:AA1170" si="1236">X1170</f>
        <v>4.4999999999999962E-3</v>
      </c>
      <c r="Z1170" s="220">
        <f t="shared" si="1236"/>
        <v>4.4999999999999962E-3</v>
      </c>
      <c r="AA1170" s="792">
        <f t="shared" si="1236"/>
        <v>4.4999999999999962E-3</v>
      </c>
      <c r="AB1170" s="458" t="s">
        <v>81</v>
      </c>
      <c r="AC1170" s="13" t="s">
        <v>18</v>
      </c>
      <c r="AD1170" s="13" t="s">
        <v>18</v>
      </c>
      <c r="AE1170" s="12">
        <v>1.9912385503783353E-2</v>
      </c>
      <c r="AF1170" s="12">
        <v>5.6949422540820388E-2</v>
      </c>
      <c r="AG1170" s="12">
        <v>3.8829151732377542E-3</v>
      </c>
      <c r="AH1170" s="12">
        <v>5.6321186778176026E-3</v>
      </c>
    </row>
    <row r="1171" spans="1:34" ht="14.25">
      <c r="A1171" s="14" t="s">
        <v>4556</v>
      </c>
      <c r="B1171" s="24" t="s">
        <v>2768</v>
      </c>
      <c r="C1171" s="142" t="s">
        <v>2778</v>
      </c>
      <c r="D1171" s="14" t="s">
        <v>2911</v>
      </c>
      <c r="E1171" s="14" t="s">
        <v>4557</v>
      </c>
      <c r="F1171" s="13">
        <v>19.98</v>
      </c>
      <c r="G1171" s="14" t="s">
        <v>3704</v>
      </c>
      <c r="H1171" s="13" t="s">
        <v>2973</v>
      </c>
      <c r="I1171" s="14" t="s">
        <v>4583</v>
      </c>
      <c r="J1171" s="14" t="s">
        <v>4584</v>
      </c>
      <c r="K1171" s="478">
        <v>0.09</v>
      </c>
      <c r="L1171" s="220">
        <v>5.31</v>
      </c>
      <c r="M1171" s="568" t="s">
        <v>4585</v>
      </c>
      <c r="N1171" s="479" t="s">
        <v>2937</v>
      </c>
      <c r="O1171" s="569" t="s">
        <v>2976</v>
      </c>
      <c r="P1171" s="14" t="s">
        <v>2945</v>
      </c>
      <c r="Q1171" s="14" t="s">
        <v>4601</v>
      </c>
      <c r="R1171" s="14">
        <v>0.05</v>
      </c>
      <c r="S1171" s="14">
        <f t="shared" si="1195"/>
        <v>2.6549999999999998E-3</v>
      </c>
      <c r="T1171" s="487">
        <f>SUM(R1136:R1172)</f>
        <v>100.00000000000007</v>
      </c>
      <c r="U1171">
        <f t="shared" si="1111"/>
        <v>4.9999999999999961E-2</v>
      </c>
      <c r="V1171" s="220"/>
      <c r="W1171" s="14" t="s">
        <v>433</v>
      </c>
      <c r="X1171">
        <f t="shared" si="1164"/>
        <v>4.4999999999999962E-3</v>
      </c>
      <c r="Y1171" s="220" t="s">
        <v>1666</v>
      </c>
      <c r="Z1171" s="220" t="str">
        <f t="shared" ref="Z1171:AH1171" si="1237">Y1171</f>
        <v>*</v>
      </c>
      <c r="AA1171" s="792" t="str">
        <f t="shared" si="1237"/>
        <v>*</v>
      </c>
      <c r="AB1171" s="466" t="str">
        <f t="shared" si="1237"/>
        <v>*</v>
      </c>
      <c r="AC1171" s="831" t="str">
        <f t="shared" si="1237"/>
        <v>*</v>
      </c>
      <c r="AD1171" s="831" t="str">
        <f t="shared" si="1237"/>
        <v>*</v>
      </c>
      <c r="AE1171" s="454" t="str">
        <f t="shared" si="1237"/>
        <v>*</v>
      </c>
      <c r="AF1171" s="454" t="str">
        <f t="shared" si="1237"/>
        <v>*</v>
      </c>
      <c r="AG1171" s="454" t="str">
        <f t="shared" si="1237"/>
        <v>*</v>
      </c>
      <c r="AH1171" s="454" t="str">
        <f t="shared" si="1237"/>
        <v>*</v>
      </c>
    </row>
    <row r="1172" spans="1:34" ht="14.25">
      <c r="A1172" s="617" t="s">
        <v>4556</v>
      </c>
      <c r="B1172" s="794" t="s">
        <v>2768</v>
      </c>
      <c r="C1172" s="820" t="s">
        <v>2778</v>
      </c>
      <c r="D1172" s="617" t="s">
        <v>2911</v>
      </c>
      <c r="E1172" s="617" t="s">
        <v>4557</v>
      </c>
      <c r="F1172" s="799">
        <v>19.98</v>
      </c>
      <c r="G1172" s="617" t="s">
        <v>3704</v>
      </c>
      <c r="H1172" s="799" t="s">
        <v>2973</v>
      </c>
      <c r="I1172" s="617" t="s">
        <v>4583</v>
      </c>
      <c r="J1172" s="617" t="s">
        <v>4584</v>
      </c>
      <c r="K1172" s="838">
        <v>0.09</v>
      </c>
      <c r="L1172" s="725">
        <v>5.31</v>
      </c>
      <c r="M1172" s="911" t="s">
        <v>4585</v>
      </c>
      <c r="N1172" s="841" t="s">
        <v>2937</v>
      </c>
      <c r="O1172" s="912" t="s">
        <v>2976</v>
      </c>
      <c r="P1172" s="617" t="s">
        <v>3072</v>
      </c>
      <c r="Q1172" s="617" t="s">
        <v>3073</v>
      </c>
      <c r="R1172" s="617">
        <v>0.05</v>
      </c>
      <c r="S1172" s="617">
        <f t="shared" si="1195"/>
        <v>2.6549999999999998E-3</v>
      </c>
      <c r="T1172" s="617">
        <f>SUM(R1136:R1172)</f>
        <v>100.00000000000007</v>
      </c>
      <c r="U1172" s="617">
        <f t="shared" si="1111"/>
        <v>4.9999999999999961E-2</v>
      </c>
      <c r="V1172" s="725"/>
      <c r="W1172" s="617" t="s">
        <v>343</v>
      </c>
      <c r="X1172" s="617">
        <f t="shared" si="1164"/>
        <v>4.4999999999999962E-3</v>
      </c>
      <c r="Y1172" s="725" t="s">
        <v>1666</v>
      </c>
      <c r="Z1172" s="725" t="str">
        <f t="shared" ref="Z1172:AH1172" si="1238">Y1172</f>
        <v>*</v>
      </c>
      <c r="AA1172" s="455" t="str">
        <f t="shared" si="1238"/>
        <v>*</v>
      </c>
      <c r="AB1172" s="819" t="str">
        <f t="shared" si="1238"/>
        <v>*</v>
      </c>
      <c r="AC1172" s="931" t="str">
        <f t="shared" si="1238"/>
        <v>*</v>
      </c>
      <c r="AD1172" s="931" t="str">
        <f t="shared" si="1238"/>
        <v>*</v>
      </c>
      <c r="AE1172" s="808" t="str">
        <f t="shared" si="1238"/>
        <v>*</v>
      </c>
      <c r="AF1172" s="808" t="str">
        <f t="shared" si="1238"/>
        <v>*</v>
      </c>
      <c r="AG1172" s="808" t="str">
        <f t="shared" si="1238"/>
        <v>*</v>
      </c>
      <c r="AH1172" s="808" t="str">
        <f t="shared" si="1238"/>
        <v>*</v>
      </c>
    </row>
    <row r="1173" spans="1:34" ht="14.25">
      <c r="A1173" s="14" t="s">
        <v>4602</v>
      </c>
      <c r="B1173" s="24" t="s">
        <v>2768</v>
      </c>
      <c r="C1173" s="142" t="s">
        <v>2786</v>
      </c>
      <c r="D1173" s="14" t="s">
        <v>2911</v>
      </c>
      <c r="E1173" s="14" t="s">
        <v>4603</v>
      </c>
      <c r="F1173" s="13">
        <v>18.96</v>
      </c>
      <c r="G1173" s="14" t="s">
        <v>3704</v>
      </c>
      <c r="H1173" s="13" t="s">
        <v>2973</v>
      </c>
      <c r="I1173" s="14" t="s">
        <v>4542</v>
      </c>
      <c r="J1173" s="14" t="s">
        <v>4543</v>
      </c>
      <c r="K1173" s="478">
        <v>0.26</v>
      </c>
      <c r="L1173" s="220">
        <v>4.8600000000000003</v>
      </c>
      <c r="M1173" s="568" t="s">
        <v>4544</v>
      </c>
      <c r="N1173" s="479" t="s">
        <v>2937</v>
      </c>
      <c r="O1173" s="569" t="s">
        <v>4604</v>
      </c>
      <c r="P1173" s="14" t="s">
        <v>2945</v>
      </c>
      <c r="Q1173" s="435" t="s">
        <v>2946</v>
      </c>
      <c r="R1173" s="14">
        <v>35</v>
      </c>
      <c r="S1173" s="14">
        <f t="shared" si="1195"/>
        <v>1.7010000000000003</v>
      </c>
      <c r="T1173">
        <f>SUM(R1173:R1192)</f>
        <v>98.600000000000009</v>
      </c>
      <c r="U1173">
        <f t="shared" si="1111"/>
        <v>35.496957403651109</v>
      </c>
      <c r="V1173" s="220">
        <f>U1173*100/SUM(U1173:U1177,U1179:U1192)</f>
        <v>36.231884057971016</v>
      </c>
      <c r="W1173" s="14" t="s">
        <v>433</v>
      </c>
      <c r="X1173">
        <f t="shared" ref="X1173:X1192" si="1239">V1173*K1173</f>
        <v>9.4202898550724647</v>
      </c>
      <c r="Y1173" s="220">
        <f>SUM(X1173,X1176,X1184,X1194)</f>
        <v>21.463531213557495</v>
      </c>
      <c r="Z1173" s="220">
        <f t="shared" ref="Z1173:AA1173" si="1240">Y1173</f>
        <v>21.463531213557495</v>
      </c>
      <c r="AA1173" s="792">
        <f t="shared" si="1240"/>
        <v>21.463531213557495</v>
      </c>
      <c r="AB1173" s="18" t="s">
        <v>433</v>
      </c>
      <c r="AC1173" s="13" t="s">
        <v>433</v>
      </c>
      <c r="AD1173" s="13" t="s">
        <v>2947</v>
      </c>
      <c r="AE1173" s="12">
        <v>3.0104466724907065E-4</v>
      </c>
      <c r="AF1173" s="12">
        <v>1.2500000000000001E-2</v>
      </c>
      <c r="AG1173" s="12">
        <v>5.1818181818181835E-4</v>
      </c>
      <c r="AH1173" s="12">
        <v>4.0084080366977777E-4</v>
      </c>
    </row>
    <row r="1174" spans="1:34" ht="14.25">
      <c r="A1174" s="14" t="s">
        <v>4602</v>
      </c>
      <c r="B1174" s="24" t="s">
        <v>2768</v>
      </c>
      <c r="C1174" s="142" t="s">
        <v>2786</v>
      </c>
      <c r="D1174" s="14" t="s">
        <v>2911</v>
      </c>
      <c r="E1174" s="14" t="s">
        <v>4603</v>
      </c>
      <c r="F1174" s="13">
        <v>18.96</v>
      </c>
      <c r="G1174" s="14" t="s">
        <v>3704</v>
      </c>
      <c r="H1174" s="13" t="s">
        <v>2973</v>
      </c>
      <c r="I1174" s="14" t="s">
        <v>4542</v>
      </c>
      <c r="J1174" s="14" t="s">
        <v>4543</v>
      </c>
      <c r="K1174" s="478">
        <v>0.26</v>
      </c>
      <c r="L1174" s="220">
        <v>4.8600000000000003</v>
      </c>
      <c r="M1174" s="568" t="s">
        <v>4544</v>
      </c>
      <c r="N1174" s="479" t="s">
        <v>2937</v>
      </c>
      <c r="O1174" s="569" t="s">
        <v>4604</v>
      </c>
      <c r="P1174" s="655" t="s">
        <v>3005</v>
      </c>
      <c r="Q1174" s="486" t="s">
        <v>3006</v>
      </c>
      <c r="R1174" s="14">
        <v>18</v>
      </c>
      <c r="S1174" s="14">
        <f t="shared" si="1195"/>
        <v>0.87480000000000002</v>
      </c>
      <c r="T1174">
        <f>SUM(R1173:R1192)</f>
        <v>98.600000000000009</v>
      </c>
      <c r="U1174">
        <f t="shared" si="1111"/>
        <v>18.255578093306287</v>
      </c>
      <c r="V1174" s="488">
        <f>U1174*100/SUM(U1173:U1177,U1179:U1192)</f>
        <v>18.633540372670812</v>
      </c>
      <c r="W1174" s="14" t="s">
        <v>2526</v>
      </c>
      <c r="X1174">
        <f t="shared" si="1239"/>
        <v>4.8447204968944115</v>
      </c>
      <c r="Y1174" s="220">
        <f>SUM(X1174,X1180,X1196)</f>
        <v>18.817106354155722</v>
      </c>
      <c r="Z1174" s="220">
        <f t="shared" ref="Z1174:AA1174" si="1241">Y1174</f>
        <v>18.817106354155722</v>
      </c>
      <c r="AA1174" s="792">
        <f t="shared" si="1241"/>
        <v>18.817106354155722</v>
      </c>
      <c r="AB1174" s="18" t="s">
        <v>2526</v>
      </c>
      <c r="AC1174" s="13" t="s">
        <v>215</v>
      </c>
      <c r="AD1174" s="13" t="s">
        <v>3007</v>
      </c>
      <c r="AE1174" s="12">
        <v>5.0851930036188197E-3</v>
      </c>
      <c r="AF1174" s="12">
        <v>5.9995417730640897E-2</v>
      </c>
      <c r="AG1174" s="12">
        <v>3.4699999999999998E-4</v>
      </c>
      <c r="AH1174" s="12">
        <v>2.9762429672480995E-4</v>
      </c>
    </row>
    <row r="1175" spans="1:34" ht="14.25">
      <c r="A1175" s="14" t="s">
        <v>4602</v>
      </c>
      <c r="B1175" s="24" t="s">
        <v>2768</v>
      </c>
      <c r="C1175" s="142" t="s">
        <v>2786</v>
      </c>
      <c r="D1175" s="14" t="s">
        <v>2911</v>
      </c>
      <c r="E1175" s="14" t="s">
        <v>4603</v>
      </c>
      <c r="F1175" s="13">
        <v>18.96</v>
      </c>
      <c r="G1175" s="14" t="s">
        <v>3704</v>
      </c>
      <c r="H1175" s="13" t="s">
        <v>2973</v>
      </c>
      <c r="I1175" s="14" t="s">
        <v>4542</v>
      </c>
      <c r="J1175" s="14" t="s">
        <v>4543</v>
      </c>
      <c r="K1175" s="478">
        <v>0.26</v>
      </c>
      <c r="L1175" s="220">
        <v>4.8600000000000003</v>
      </c>
      <c r="M1175" s="568" t="s">
        <v>4544</v>
      </c>
      <c r="N1175" s="479" t="s">
        <v>2937</v>
      </c>
      <c r="O1175" s="569" t="s">
        <v>4604</v>
      </c>
      <c r="P1175" s="14" t="s">
        <v>2962</v>
      </c>
      <c r="Q1175" s="14" t="s">
        <v>4545</v>
      </c>
      <c r="R1175" s="14">
        <v>5</v>
      </c>
      <c r="S1175" s="14">
        <f t="shared" si="1195"/>
        <v>0.24300000000000002</v>
      </c>
      <c r="T1175">
        <f>SUM(R1173:R1192)</f>
        <v>98.600000000000009</v>
      </c>
      <c r="U1175">
        <f t="shared" si="1111"/>
        <v>5.0709939148073016</v>
      </c>
      <c r="V1175" s="220">
        <f>U1175*100/SUM(U1173:U1177,U1179:U1192)</f>
        <v>5.1759834368530031</v>
      </c>
      <c r="W1175" s="14" t="s">
        <v>425</v>
      </c>
      <c r="X1175">
        <f t="shared" si="1239"/>
        <v>1.3457556935817809</v>
      </c>
      <c r="Y1175" s="499">
        <f>SUM(X1175,X1181,X1182,X1183)</f>
        <v>2.1532091097308492</v>
      </c>
      <c r="Z1175" s="220">
        <f>SUM(X1175,X1182)</f>
        <v>1.614906832298137</v>
      </c>
      <c r="AA1175" s="792">
        <f>Z1175</f>
        <v>1.614906832298137</v>
      </c>
      <c r="AB1175" s="466" t="s">
        <v>425</v>
      </c>
      <c r="AC1175" s="13" t="s">
        <v>2964</v>
      </c>
      <c r="AD1175" s="13" t="s">
        <v>2965</v>
      </c>
      <c r="AE1175" s="12">
        <v>3.8102374934982654E-3</v>
      </c>
      <c r="AF1175" s="12">
        <v>0.20470422547079484</v>
      </c>
      <c r="AG1175" s="12">
        <v>1.210810810810811E-4</v>
      </c>
      <c r="AH1175" s="12">
        <v>1.0002400855855065E-3</v>
      </c>
    </row>
    <row r="1176" spans="1:34" ht="14.25">
      <c r="A1176" s="14" t="s">
        <v>4602</v>
      </c>
      <c r="B1176" s="24" t="s">
        <v>2768</v>
      </c>
      <c r="C1176" s="142" t="s">
        <v>2786</v>
      </c>
      <c r="D1176" s="14" t="s">
        <v>2911</v>
      </c>
      <c r="E1176" s="14" t="s">
        <v>4603</v>
      </c>
      <c r="F1176" s="13">
        <v>18.96</v>
      </c>
      <c r="G1176" s="14" t="s">
        <v>3704</v>
      </c>
      <c r="H1176" s="13" t="s">
        <v>2973</v>
      </c>
      <c r="I1176" s="14" t="s">
        <v>4542</v>
      </c>
      <c r="J1176" s="14" t="s">
        <v>4543</v>
      </c>
      <c r="K1176" s="478">
        <v>0.26</v>
      </c>
      <c r="L1176" s="220">
        <v>4.8600000000000003</v>
      </c>
      <c r="M1176" s="568" t="s">
        <v>4544</v>
      </c>
      <c r="N1176" s="479" t="s">
        <v>2937</v>
      </c>
      <c r="O1176" s="569" t="s">
        <v>4604</v>
      </c>
      <c r="P1176" s="14" t="s">
        <v>2945</v>
      </c>
      <c r="Q1176" s="14" t="s">
        <v>4546</v>
      </c>
      <c r="R1176" s="14">
        <v>5</v>
      </c>
      <c r="S1176" s="14">
        <f t="shared" si="1195"/>
        <v>0.24300000000000002</v>
      </c>
      <c r="T1176">
        <f>SUM(R1173:R1192)</f>
        <v>98.600000000000009</v>
      </c>
      <c r="U1176">
        <f t="shared" si="1111"/>
        <v>5.0709939148073016</v>
      </c>
      <c r="V1176" s="220">
        <f>U1176*100/SUM(U1173:U1177,U1179:U1192)</f>
        <v>5.1759834368530031</v>
      </c>
      <c r="W1176" s="14" t="s">
        <v>433</v>
      </c>
      <c r="X1176">
        <f t="shared" si="1239"/>
        <v>1.3457556935817809</v>
      </c>
      <c r="Y1176" s="220" t="s">
        <v>1666</v>
      </c>
      <c r="Z1176" s="220" t="str">
        <f t="shared" ref="Z1176:AH1176" si="1242">Y1176</f>
        <v>*</v>
      </c>
      <c r="AA1176" s="792" t="str">
        <f t="shared" si="1242"/>
        <v>*</v>
      </c>
      <c r="AB1176" s="466" t="str">
        <f t="shared" si="1242"/>
        <v>*</v>
      </c>
      <c r="AC1176" s="831" t="str">
        <f t="shared" si="1242"/>
        <v>*</v>
      </c>
      <c r="AD1176" s="831" t="str">
        <f t="shared" si="1242"/>
        <v>*</v>
      </c>
      <c r="AE1176" s="454" t="str">
        <f t="shared" si="1242"/>
        <v>*</v>
      </c>
      <c r="AF1176" s="454" t="str">
        <f t="shared" si="1242"/>
        <v>*</v>
      </c>
      <c r="AG1176" s="454" t="str">
        <f t="shared" si="1242"/>
        <v>*</v>
      </c>
      <c r="AH1176" s="454" t="str">
        <f t="shared" si="1242"/>
        <v>*</v>
      </c>
    </row>
    <row r="1177" spans="1:34" ht="14.25">
      <c r="A1177" s="14" t="s">
        <v>4602</v>
      </c>
      <c r="B1177" s="24" t="s">
        <v>2768</v>
      </c>
      <c r="C1177" s="142" t="s">
        <v>2786</v>
      </c>
      <c r="D1177" s="14" t="s">
        <v>2911</v>
      </c>
      <c r="E1177" s="14" t="s">
        <v>4603</v>
      </c>
      <c r="F1177" s="13">
        <v>18.96</v>
      </c>
      <c r="G1177" s="14" t="s">
        <v>3704</v>
      </c>
      <c r="H1177" s="13" t="s">
        <v>2973</v>
      </c>
      <c r="I1177" s="14" t="s">
        <v>4542</v>
      </c>
      <c r="J1177" s="14" t="s">
        <v>4543</v>
      </c>
      <c r="K1177" s="478">
        <v>0.26</v>
      </c>
      <c r="L1177" s="220">
        <v>4.8600000000000003</v>
      </c>
      <c r="M1177" s="568" t="s">
        <v>4544</v>
      </c>
      <c r="N1177" s="479" t="s">
        <v>2937</v>
      </c>
      <c r="O1177" s="569" t="s">
        <v>4604</v>
      </c>
      <c r="P1177" s="14" t="s">
        <v>421</v>
      </c>
      <c r="Q1177" s="14" t="s">
        <v>4547</v>
      </c>
      <c r="R1177" s="14">
        <v>2.2000000000000002</v>
      </c>
      <c r="S1177" s="14">
        <f t="shared" si="1195"/>
        <v>0.10692000000000002</v>
      </c>
      <c r="T1177">
        <f>SUM(R1173:R1192)</f>
        <v>98.600000000000009</v>
      </c>
      <c r="U1177">
        <f t="shared" si="1111"/>
        <v>2.2312373225152129</v>
      </c>
      <c r="V1177" s="220">
        <f>U1177*100/SUM(U1173:U1177,U1179:U1192)</f>
        <v>2.2774327122153215</v>
      </c>
      <c r="W1177" s="14" t="s">
        <v>421</v>
      </c>
      <c r="X1177">
        <f t="shared" si="1239"/>
        <v>0.59213250517598359</v>
      </c>
      <c r="Y1177" s="220">
        <f>SUM(X1177,X1199)</f>
        <v>9.5848802892211094</v>
      </c>
      <c r="Z1177" s="220">
        <f>X1177</f>
        <v>0.59213250517598359</v>
      </c>
      <c r="AA1177" s="792">
        <f>Z1177</f>
        <v>0.59213250517598359</v>
      </c>
      <c r="AB1177" s="458" t="s">
        <v>2777</v>
      </c>
      <c r="AC1177" s="13" t="s">
        <v>2953</v>
      </c>
      <c r="AD1177" s="13" t="s">
        <v>2954</v>
      </c>
      <c r="AE1177" s="12">
        <v>3.372204299368619E-2</v>
      </c>
      <c r="AF1177" s="12">
        <v>6.4584205812988751E-2</v>
      </c>
      <c r="AG1177" s="12">
        <v>3.9999999999999998E-6</v>
      </c>
      <c r="AH1177" s="12">
        <v>1.477309663377164E-3</v>
      </c>
    </row>
    <row r="1178" spans="1:34" ht="14.25">
      <c r="A1178" s="14" t="s">
        <v>4602</v>
      </c>
      <c r="B1178" s="24" t="s">
        <v>2768</v>
      </c>
      <c r="C1178" s="142" t="s">
        <v>2786</v>
      </c>
      <c r="D1178" s="14" t="s">
        <v>2911</v>
      </c>
      <c r="E1178" s="14" t="s">
        <v>4603</v>
      </c>
      <c r="F1178" s="13">
        <v>18.96</v>
      </c>
      <c r="G1178" s="14" t="s">
        <v>3704</v>
      </c>
      <c r="H1178" s="13" t="s">
        <v>2973</v>
      </c>
      <c r="I1178" s="14" t="s">
        <v>4542</v>
      </c>
      <c r="J1178" s="14" t="s">
        <v>4543</v>
      </c>
      <c r="K1178" s="478">
        <v>0.26</v>
      </c>
      <c r="L1178" s="220">
        <v>4.8600000000000003</v>
      </c>
      <c r="M1178" s="568" t="s">
        <v>4544</v>
      </c>
      <c r="N1178" s="479" t="s">
        <v>2937</v>
      </c>
      <c r="O1178" s="569" t="s">
        <v>4604</v>
      </c>
      <c r="P1178" s="14" t="s">
        <v>2938</v>
      </c>
      <c r="Q1178" s="14" t="s">
        <v>4548</v>
      </c>
      <c r="R1178" s="14">
        <v>2</v>
      </c>
      <c r="S1178" s="14">
        <f t="shared" si="1195"/>
        <v>9.7200000000000009E-2</v>
      </c>
      <c r="T1178">
        <f>SUM(R1173:R1192)</f>
        <v>98.600000000000009</v>
      </c>
      <c r="U1178">
        <f t="shared" si="1111"/>
        <v>2.0283975659229205</v>
      </c>
      <c r="V1178" s="481">
        <f>U1178</f>
        <v>2.0283975659229205</v>
      </c>
      <c r="W1178" s="482" t="s">
        <v>72</v>
      </c>
      <c r="X1178" s="482">
        <f t="shared" si="1239"/>
        <v>0.52738336713995937</v>
      </c>
      <c r="Y1178" s="516">
        <f t="shared" ref="Y1178:AA1178" si="1243">X1178</f>
        <v>0.52738336713995937</v>
      </c>
      <c r="Z1178" s="481">
        <f t="shared" si="1243"/>
        <v>0.52738336713995937</v>
      </c>
      <c r="AA1178" s="796">
        <f t="shared" si="1243"/>
        <v>0.52738336713995937</v>
      </c>
      <c r="AB1178" s="818" t="s">
        <v>72</v>
      </c>
      <c r="AC1178" s="469" t="s">
        <v>2938</v>
      </c>
      <c r="AD1178" s="469" t="s">
        <v>2940</v>
      </c>
      <c r="AE1178" s="457">
        <v>0</v>
      </c>
      <c r="AF1178" s="457">
        <v>0</v>
      </c>
      <c r="AG1178" s="457">
        <v>0</v>
      </c>
      <c r="AH1178" s="457">
        <v>0</v>
      </c>
    </row>
    <row r="1179" spans="1:34" ht="14.25">
      <c r="A1179" s="14" t="s">
        <v>4602</v>
      </c>
      <c r="B1179" s="24" t="s">
        <v>2768</v>
      </c>
      <c r="C1179" s="142" t="s">
        <v>2786</v>
      </c>
      <c r="D1179" s="14" t="s">
        <v>2911</v>
      </c>
      <c r="E1179" s="14" t="s">
        <v>4603</v>
      </c>
      <c r="F1179" s="13">
        <v>18.96</v>
      </c>
      <c r="G1179" s="14" t="s">
        <v>3704</v>
      </c>
      <c r="H1179" s="13" t="s">
        <v>2973</v>
      </c>
      <c r="I1179" s="14" t="s">
        <v>4542</v>
      </c>
      <c r="J1179" s="14" t="s">
        <v>4543</v>
      </c>
      <c r="K1179" s="478">
        <v>0.26</v>
      </c>
      <c r="L1179" s="220">
        <v>4.8600000000000003</v>
      </c>
      <c r="M1179" s="568" t="s">
        <v>4544</v>
      </c>
      <c r="N1179" s="479" t="s">
        <v>2937</v>
      </c>
      <c r="O1179" s="569" t="s">
        <v>4604</v>
      </c>
      <c r="P1179" s="14" t="s">
        <v>3862</v>
      </c>
      <c r="Q1179" s="486" t="s">
        <v>3863</v>
      </c>
      <c r="R1179" s="14">
        <v>1</v>
      </c>
      <c r="S1179" s="14">
        <f t="shared" si="1195"/>
        <v>4.8600000000000004E-2</v>
      </c>
      <c r="T1179">
        <f>SUM(R1173:R1192)</f>
        <v>98.600000000000009</v>
      </c>
      <c r="U1179">
        <f t="shared" si="1111"/>
        <v>1.0141987829614603</v>
      </c>
      <c r="V1179" s="220">
        <f>U1179*100/SUM(U1173:U1177,U1179:U1192)</f>
        <v>1.0351966873706004</v>
      </c>
      <c r="W1179" s="14" t="s">
        <v>4161</v>
      </c>
      <c r="X1179">
        <f t="shared" si="1239"/>
        <v>0.2691511387163561</v>
      </c>
      <c r="Y1179" s="499">
        <f t="shared" ref="Y1179:AA1179" si="1244">X1179</f>
        <v>0.2691511387163561</v>
      </c>
      <c r="Z1179" s="220">
        <f t="shared" si="1244"/>
        <v>0.2691511387163561</v>
      </c>
      <c r="AA1179" s="792">
        <f t="shared" si="1244"/>
        <v>0.2691511387163561</v>
      </c>
      <c r="AB1179" s="466" t="s">
        <v>2662</v>
      </c>
      <c r="AC1179" s="13" t="s">
        <v>208</v>
      </c>
      <c r="AD1179" s="13" t="s">
        <v>3864</v>
      </c>
      <c r="AE1179" s="12">
        <v>6.399192301960112E-3</v>
      </c>
      <c r="AF1179" s="12">
        <v>0.12411340117772937</v>
      </c>
      <c r="AG1179" s="12">
        <v>9.8749999999999988E-5</v>
      </c>
      <c r="AH1179" s="12">
        <v>3.8580927353216109E-4</v>
      </c>
    </row>
    <row r="1180" spans="1:34" ht="14.25">
      <c r="A1180" s="14" t="s">
        <v>4602</v>
      </c>
      <c r="B1180" s="24" t="s">
        <v>2768</v>
      </c>
      <c r="C1180" s="142" t="s">
        <v>2786</v>
      </c>
      <c r="D1180" s="14" t="s">
        <v>2911</v>
      </c>
      <c r="E1180" s="14" t="s">
        <v>4603</v>
      </c>
      <c r="F1180" s="13">
        <v>18.96</v>
      </c>
      <c r="G1180" s="14" t="s">
        <v>3704</v>
      </c>
      <c r="H1180" s="13" t="s">
        <v>2973</v>
      </c>
      <c r="I1180" s="14" t="s">
        <v>4542</v>
      </c>
      <c r="J1180" s="14" t="s">
        <v>4543</v>
      </c>
      <c r="K1180" s="478">
        <v>0.26</v>
      </c>
      <c r="L1180" s="220">
        <v>4.8600000000000003</v>
      </c>
      <c r="M1180" s="568" t="s">
        <v>4544</v>
      </c>
      <c r="N1180" s="479" t="s">
        <v>2937</v>
      </c>
      <c r="O1180" s="569" t="s">
        <v>4604</v>
      </c>
      <c r="P1180" s="655" t="s">
        <v>3005</v>
      </c>
      <c r="Q1180" s="486" t="s">
        <v>4549</v>
      </c>
      <c r="R1180" s="14">
        <v>1</v>
      </c>
      <c r="S1180" s="14">
        <f t="shared" si="1195"/>
        <v>4.8600000000000004E-2</v>
      </c>
      <c r="T1180" s="487">
        <f>SUM(R1173:R1192)</f>
        <v>98.600000000000009</v>
      </c>
      <c r="U1180">
        <f t="shared" si="1111"/>
        <v>1.0141987829614603</v>
      </c>
      <c r="V1180" s="220">
        <f>U1180*100/SUM(U1173:U1177,U1179:U1192)</f>
        <v>1.0351966873706004</v>
      </c>
      <c r="W1180" s="14" t="s">
        <v>2779</v>
      </c>
      <c r="X1180">
        <f t="shared" si="1239"/>
        <v>0.2691511387163561</v>
      </c>
      <c r="Y1180" s="220" t="s">
        <v>1666</v>
      </c>
      <c r="Z1180" s="220" t="str">
        <f t="shared" ref="Z1180:AH1180" si="1245">Y1180</f>
        <v>*</v>
      </c>
      <c r="AA1180" s="792" t="str">
        <f t="shared" si="1245"/>
        <v>*</v>
      </c>
      <c r="AB1180" s="466" t="str">
        <f t="shared" si="1245"/>
        <v>*</v>
      </c>
      <c r="AC1180" s="831" t="str">
        <f t="shared" si="1245"/>
        <v>*</v>
      </c>
      <c r="AD1180" s="831" t="str">
        <f t="shared" si="1245"/>
        <v>*</v>
      </c>
      <c r="AE1180" s="454" t="str">
        <f t="shared" si="1245"/>
        <v>*</v>
      </c>
      <c r="AF1180" s="454" t="str">
        <f t="shared" si="1245"/>
        <v>*</v>
      </c>
      <c r="AG1180" s="454" t="str">
        <f t="shared" si="1245"/>
        <v>*</v>
      </c>
      <c r="AH1180" s="454" t="str">
        <f t="shared" si="1245"/>
        <v>*</v>
      </c>
    </row>
    <row r="1181" spans="1:34" ht="14.25">
      <c r="A1181" s="14" t="s">
        <v>4602</v>
      </c>
      <c r="B1181" s="24" t="s">
        <v>2768</v>
      </c>
      <c r="C1181" s="142" t="s">
        <v>2786</v>
      </c>
      <c r="D1181" s="14" t="s">
        <v>2911</v>
      </c>
      <c r="E1181" s="14" t="s">
        <v>4603</v>
      </c>
      <c r="F1181" s="13">
        <v>18.96</v>
      </c>
      <c r="G1181" s="14" t="s">
        <v>3704</v>
      </c>
      <c r="H1181" s="13" t="s">
        <v>2973</v>
      </c>
      <c r="I1181" s="14" t="s">
        <v>4542</v>
      </c>
      <c r="J1181" s="14" t="s">
        <v>4543</v>
      </c>
      <c r="K1181" s="478">
        <v>0.26</v>
      </c>
      <c r="L1181" s="220">
        <v>4.8600000000000003</v>
      </c>
      <c r="M1181" s="568" t="s">
        <v>4544</v>
      </c>
      <c r="N1181" s="479" t="s">
        <v>2937</v>
      </c>
      <c r="O1181" s="569" t="s">
        <v>4604</v>
      </c>
      <c r="P1181" s="655" t="s">
        <v>2977</v>
      </c>
      <c r="Q1181" s="527" t="s">
        <v>2978</v>
      </c>
      <c r="R1181" s="14">
        <v>1</v>
      </c>
      <c r="S1181" s="14">
        <f t="shared" si="1195"/>
        <v>4.8600000000000004E-2</v>
      </c>
      <c r="T1181" s="220">
        <f>SUM(R1173:R1192)</f>
        <v>98.600000000000009</v>
      </c>
      <c r="U1181">
        <f t="shared" si="1111"/>
        <v>1.0141987829614603</v>
      </c>
      <c r="V1181" s="220">
        <f>U1181*100/SUM(U1173:U1177,U1179:U1192)</f>
        <v>1.0351966873706004</v>
      </c>
      <c r="W1181" s="14" t="s">
        <v>227</v>
      </c>
      <c r="X1181">
        <f t="shared" si="1239"/>
        <v>0.2691511387163561</v>
      </c>
      <c r="Y1181" s="220" t="s">
        <v>1624</v>
      </c>
      <c r="Z1181" s="220">
        <f>SUM(X1181,X1183)</f>
        <v>0.5383022774327122</v>
      </c>
      <c r="AA1181" s="792">
        <f t="shared" ref="AA1181:AA1183" si="1246">Z1181</f>
        <v>0.5383022774327122</v>
      </c>
      <c r="AB1181" s="466" t="s">
        <v>227</v>
      </c>
      <c r="AC1181" s="13" t="s">
        <v>55</v>
      </c>
      <c r="AD1181" s="13" t="s">
        <v>2979</v>
      </c>
      <c r="AE1181" s="12">
        <v>2.5055367220000002E-3</v>
      </c>
      <c r="AF1181" s="12">
        <v>3.8459841414181101E-2</v>
      </c>
      <c r="AG1181" s="12">
        <v>1.1035422343324251E-4</v>
      </c>
      <c r="AH1181" s="12">
        <v>8.109653861711444E-4</v>
      </c>
    </row>
    <row r="1182" spans="1:34" ht="14.25">
      <c r="A1182" s="14" t="s">
        <v>4602</v>
      </c>
      <c r="B1182" s="24" t="s">
        <v>2768</v>
      </c>
      <c r="C1182" s="142" t="s">
        <v>2786</v>
      </c>
      <c r="D1182" s="14" t="s">
        <v>2911</v>
      </c>
      <c r="E1182" s="14" t="s">
        <v>4603</v>
      </c>
      <c r="F1182" s="13">
        <v>18.96</v>
      </c>
      <c r="G1182" s="14" t="s">
        <v>3704</v>
      </c>
      <c r="H1182" s="13" t="s">
        <v>2973</v>
      </c>
      <c r="I1182" s="14" t="s">
        <v>4542</v>
      </c>
      <c r="J1182" s="14" t="s">
        <v>4543</v>
      </c>
      <c r="K1182" s="478">
        <v>0.26</v>
      </c>
      <c r="L1182" s="220">
        <v>4.8600000000000003</v>
      </c>
      <c r="M1182" s="568" t="s">
        <v>4544</v>
      </c>
      <c r="N1182" s="479" t="s">
        <v>2937</v>
      </c>
      <c r="O1182" s="569" t="s">
        <v>4604</v>
      </c>
      <c r="P1182" s="14" t="s">
        <v>2962</v>
      </c>
      <c r="Q1182" s="435" t="s">
        <v>2963</v>
      </c>
      <c r="R1182" s="14">
        <v>1</v>
      </c>
      <c r="S1182" s="14">
        <f t="shared" si="1195"/>
        <v>4.8600000000000004E-2</v>
      </c>
      <c r="T1182" s="487">
        <f>SUM(R1173:R1192)</f>
        <v>98.600000000000009</v>
      </c>
      <c r="U1182">
        <f t="shared" si="1111"/>
        <v>1.0141987829614603</v>
      </c>
      <c r="V1182" s="220">
        <f>U1182*100/SUM(U1173:U1177,U1179:U1192)</f>
        <v>1.0351966873706004</v>
      </c>
      <c r="W1182" s="14" t="s">
        <v>425</v>
      </c>
      <c r="X1182">
        <f t="shared" si="1239"/>
        <v>0.2691511387163561</v>
      </c>
      <c r="Y1182" s="220" t="s">
        <v>1624</v>
      </c>
      <c r="Z1182" s="220" t="s">
        <v>1666</v>
      </c>
      <c r="AA1182" s="792" t="str">
        <f t="shared" si="1246"/>
        <v>*</v>
      </c>
      <c r="AB1182" s="466" t="str">
        <f t="shared" ref="AB1182:AH1182" si="1247">AA1182</f>
        <v>*</v>
      </c>
      <c r="AC1182" s="831" t="str">
        <f t="shared" si="1247"/>
        <v>*</v>
      </c>
      <c r="AD1182" s="831" t="str">
        <f t="shared" si="1247"/>
        <v>*</v>
      </c>
      <c r="AE1182" s="454" t="str">
        <f t="shared" si="1247"/>
        <v>*</v>
      </c>
      <c r="AF1182" s="454" t="str">
        <f t="shared" si="1247"/>
        <v>*</v>
      </c>
      <c r="AG1182" s="454" t="str">
        <f t="shared" si="1247"/>
        <v>*</v>
      </c>
      <c r="AH1182" s="454" t="str">
        <f t="shared" si="1247"/>
        <v>*</v>
      </c>
    </row>
    <row r="1183" spans="1:34" ht="14.25">
      <c r="A1183" s="14" t="s">
        <v>4602</v>
      </c>
      <c r="B1183" s="24" t="s">
        <v>2768</v>
      </c>
      <c r="C1183" s="142" t="s">
        <v>2786</v>
      </c>
      <c r="D1183" s="14" t="s">
        <v>2911</v>
      </c>
      <c r="E1183" s="14" t="s">
        <v>4603</v>
      </c>
      <c r="F1183" s="13">
        <v>18.96</v>
      </c>
      <c r="G1183" s="14" t="s">
        <v>3704</v>
      </c>
      <c r="H1183" s="13" t="s">
        <v>2973</v>
      </c>
      <c r="I1183" s="14" t="s">
        <v>4542</v>
      </c>
      <c r="J1183" s="14" t="s">
        <v>4543</v>
      </c>
      <c r="K1183" s="478">
        <v>0.26</v>
      </c>
      <c r="L1183" s="220">
        <v>4.8600000000000003</v>
      </c>
      <c r="M1183" s="568" t="s">
        <v>4544</v>
      </c>
      <c r="N1183" s="479" t="s">
        <v>2937</v>
      </c>
      <c r="O1183" s="569" t="s">
        <v>4604</v>
      </c>
      <c r="P1183" s="655" t="s">
        <v>2977</v>
      </c>
      <c r="Q1183" s="486" t="s">
        <v>4550</v>
      </c>
      <c r="R1183" s="14">
        <v>1</v>
      </c>
      <c r="S1183" s="14">
        <f t="shared" si="1195"/>
        <v>4.8600000000000004E-2</v>
      </c>
      <c r="T1183" s="487">
        <f>SUM(R1173:R1192)</f>
        <v>98.600000000000009</v>
      </c>
      <c r="U1183">
        <f t="shared" si="1111"/>
        <v>1.0141987829614603</v>
      </c>
      <c r="V1183" s="220">
        <f>U1183*100/SUM(U1173:U1177,U1179:U1192)</f>
        <v>1.0351966873706004</v>
      </c>
      <c r="W1183" s="14" t="s">
        <v>227</v>
      </c>
      <c r="X1183">
        <f t="shared" si="1239"/>
        <v>0.2691511387163561</v>
      </c>
      <c r="Y1183" s="220" t="s">
        <v>1624</v>
      </c>
      <c r="Z1183" s="220" t="s">
        <v>1666</v>
      </c>
      <c r="AA1183" s="792" t="str">
        <f t="shared" si="1246"/>
        <v>*</v>
      </c>
      <c r="AB1183" s="466" t="str">
        <f t="shared" ref="AB1183:AH1183" si="1248">AA1183</f>
        <v>*</v>
      </c>
      <c r="AC1183" s="831" t="str">
        <f t="shared" si="1248"/>
        <v>*</v>
      </c>
      <c r="AD1183" s="831" t="str">
        <f t="shared" si="1248"/>
        <v>*</v>
      </c>
      <c r="AE1183" s="454" t="str">
        <f t="shared" si="1248"/>
        <v>*</v>
      </c>
      <c r="AF1183" s="454" t="str">
        <f t="shared" si="1248"/>
        <v>*</v>
      </c>
      <c r="AG1183" s="454" t="str">
        <f t="shared" si="1248"/>
        <v>*</v>
      </c>
      <c r="AH1183" s="454" t="str">
        <f t="shared" si="1248"/>
        <v>*</v>
      </c>
    </row>
    <row r="1184" spans="1:34" ht="14.25">
      <c r="A1184" s="14" t="s">
        <v>4602</v>
      </c>
      <c r="B1184" s="24" t="s">
        <v>2768</v>
      </c>
      <c r="C1184" s="142" t="s">
        <v>2786</v>
      </c>
      <c r="D1184" s="14" t="s">
        <v>2911</v>
      </c>
      <c r="E1184" s="14" t="s">
        <v>4603</v>
      </c>
      <c r="F1184" s="13">
        <v>18.96</v>
      </c>
      <c r="G1184" s="14" t="s">
        <v>3704</v>
      </c>
      <c r="H1184" s="13" t="s">
        <v>2973</v>
      </c>
      <c r="I1184" s="14" t="s">
        <v>4542</v>
      </c>
      <c r="J1184" s="14" t="s">
        <v>4543</v>
      </c>
      <c r="K1184" s="478">
        <v>0.26</v>
      </c>
      <c r="L1184" s="220">
        <v>4.8600000000000003</v>
      </c>
      <c r="M1184" s="568" t="s">
        <v>4544</v>
      </c>
      <c r="N1184" s="479" t="s">
        <v>2937</v>
      </c>
      <c r="O1184" s="569" t="s">
        <v>4604</v>
      </c>
      <c r="P1184" s="14" t="s">
        <v>2945</v>
      </c>
      <c r="Q1184" s="14" t="s">
        <v>4551</v>
      </c>
      <c r="R1184" s="14">
        <v>0.5</v>
      </c>
      <c r="S1184" s="14">
        <f t="shared" si="1195"/>
        <v>2.4300000000000002E-2</v>
      </c>
      <c r="T1184" s="487">
        <f>SUM(R1173:R1192)</f>
        <v>98.600000000000009</v>
      </c>
      <c r="U1184">
        <f t="shared" si="1111"/>
        <v>0.50709939148073013</v>
      </c>
      <c r="V1184" s="220">
        <f>U1184*100/SUM(U1173:U1177,U1179:U1192)</f>
        <v>0.51759834368530022</v>
      </c>
      <c r="W1184" s="14" t="s">
        <v>433</v>
      </c>
      <c r="X1184">
        <f t="shared" si="1239"/>
        <v>0.13457556935817805</v>
      </c>
      <c r="Y1184" s="220" t="s">
        <v>1666</v>
      </c>
      <c r="Z1184" s="220" t="str">
        <f t="shared" ref="Z1184:AH1184" si="1249">Y1184</f>
        <v>*</v>
      </c>
      <c r="AA1184" s="792" t="str">
        <f t="shared" si="1249"/>
        <v>*</v>
      </c>
      <c r="AB1184" s="466" t="str">
        <f t="shared" si="1249"/>
        <v>*</v>
      </c>
      <c r="AC1184" s="831" t="str">
        <f t="shared" si="1249"/>
        <v>*</v>
      </c>
      <c r="AD1184" s="831" t="str">
        <f t="shared" si="1249"/>
        <v>*</v>
      </c>
      <c r="AE1184" s="454" t="str">
        <f t="shared" si="1249"/>
        <v>*</v>
      </c>
      <c r="AF1184" s="454" t="str">
        <f t="shared" si="1249"/>
        <v>*</v>
      </c>
      <c r="AG1184" s="454" t="str">
        <f t="shared" si="1249"/>
        <v>*</v>
      </c>
      <c r="AH1184" s="454" t="str">
        <f t="shared" si="1249"/>
        <v>*</v>
      </c>
    </row>
    <row r="1185" spans="1:34" ht="14.25">
      <c r="A1185" s="14" t="s">
        <v>4602</v>
      </c>
      <c r="B1185" s="24" t="s">
        <v>2768</v>
      </c>
      <c r="C1185" s="142" t="s">
        <v>2786</v>
      </c>
      <c r="D1185" s="14" t="s">
        <v>2911</v>
      </c>
      <c r="E1185" s="14" t="s">
        <v>4603</v>
      </c>
      <c r="F1185" s="13">
        <v>18.96</v>
      </c>
      <c r="G1185" s="14" t="s">
        <v>3704</v>
      </c>
      <c r="H1185" s="13" t="s">
        <v>2973</v>
      </c>
      <c r="I1185" s="14" t="s">
        <v>4542</v>
      </c>
      <c r="J1185" s="14" t="s">
        <v>4543</v>
      </c>
      <c r="K1185" s="478">
        <v>0.26</v>
      </c>
      <c r="L1185" s="220">
        <v>4.8600000000000003</v>
      </c>
      <c r="M1185" s="568" t="s">
        <v>4544</v>
      </c>
      <c r="N1185" s="479" t="s">
        <v>2937</v>
      </c>
      <c r="O1185" s="569" t="s">
        <v>4604</v>
      </c>
      <c r="P1185" s="655" t="s">
        <v>2987</v>
      </c>
      <c r="Q1185" s="491" t="s">
        <v>2981</v>
      </c>
      <c r="R1185" s="14">
        <v>8</v>
      </c>
      <c r="S1185" s="14">
        <f t="shared" si="1195"/>
        <v>0.38880000000000003</v>
      </c>
      <c r="T1185" s="487">
        <f>SUM(R1173:R1192)</f>
        <v>98.600000000000009</v>
      </c>
      <c r="U1185">
        <f t="shared" si="1111"/>
        <v>8.1135902636916821</v>
      </c>
      <c r="V1185" s="220">
        <f>U1185*100/SUM(U1173:U1177,U1179:U1192)</f>
        <v>8.2815734989648035</v>
      </c>
      <c r="W1185" s="14" t="s">
        <v>349</v>
      </c>
      <c r="X1185">
        <f t="shared" si="1239"/>
        <v>2.1532091097308488</v>
      </c>
      <c r="Y1185" s="220">
        <f>SUM(X1185,X1186,X1187,X1190,X1192)</f>
        <v>3.8952898550724639</v>
      </c>
      <c r="Z1185" s="220">
        <f>SUM(X1185:X1187,X1190,X1192)</f>
        <v>3.8952898550724639</v>
      </c>
      <c r="AA1185" s="792">
        <f>Z1185</f>
        <v>3.8952898550724639</v>
      </c>
      <c r="AB1185" s="466" t="s">
        <v>2787</v>
      </c>
      <c r="AC1185" s="13" t="s">
        <v>2982</v>
      </c>
      <c r="AD1185" s="13" t="s">
        <v>2983</v>
      </c>
      <c r="AE1185" s="12">
        <v>2.9691872042618299E-2</v>
      </c>
      <c r="AF1185" s="12">
        <v>7.5368545517799299E-2</v>
      </c>
      <c r="AG1185" s="12">
        <v>2.9014018691588786E-4</v>
      </c>
      <c r="AH1185" s="12">
        <v>1.4770983615231311E-3</v>
      </c>
    </row>
    <row r="1186" spans="1:34" ht="14.25">
      <c r="A1186" s="14" t="s">
        <v>4602</v>
      </c>
      <c r="B1186" s="24" t="s">
        <v>2768</v>
      </c>
      <c r="C1186" s="142" t="s">
        <v>2786</v>
      </c>
      <c r="D1186" s="14" t="s">
        <v>2911</v>
      </c>
      <c r="E1186" s="14" t="s">
        <v>4603</v>
      </c>
      <c r="F1186" s="13">
        <v>18.96</v>
      </c>
      <c r="G1186" s="14" t="s">
        <v>3704</v>
      </c>
      <c r="H1186" s="13" t="s">
        <v>2973</v>
      </c>
      <c r="I1186" s="14" t="s">
        <v>4542</v>
      </c>
      <c r="J1186" s="14" t="s">
        <v>4543</v>
      </c>
      <c r="K1186" s="478">
        <v>0.26</v>
      </c>
      <c r="L1186" s="220">
        <v>4.8600000000000003</v>
      </c>
      <c r="M1186" s="568" t="s">
        <v>4544</v>
      </c>
      <c r="N1186" s="479" t="s">
        <v>2937</v>
      </c>
      <c r="O1186" s="569" t="s">
        <v>4604</v>
      </c>
      <c r="P1186" s="489" t="s">
        <v>4121</v>
      </c>
      <c r="Q1186" s="563" t="s">
        <v>4552</v>
      </c>
      <c r="R1186" s="14">
        <f>5.3*0.72</f>
        <v>3.8159999999999998</v>
      </c>
      <c r="S1186" s="14">
        <f t="shared" si="1195"/>
        <v>0.1854576</v>
      </c>
      <c r="T1186" s="487">
        <f>SUM(R1173:R1192)</f>
        <v>98.600000000000009</v>
      </c>
      <c r="U1186">
        <f t="shared" si="1111"/>
        <v>3.8701825557809322</v>
      </c>
      <c r="V1186" s="220">
        <f>U1186*100/SUM(U1173:U1177,U1179:U1192)</f>
        <v>3.9503105590062111</v>
      </c>
      <c r="W1186" s="14" t="s">
        <v>346</v>
      </c>
      <c r="X1186">
        <f t="shared" si="1239"/>
        <v>1.0270807453416149</v>
      </c>
      <c r="Y1186" s="220" t="s">
        <v>1666</v>
      </c>
      <c r="Z1186" s="220" t="str">
        <f t="shared" ref="Z1186:AH1186" si="1250">Y1186</f>
        <v>*</v>
      </c>
      <c r="AA1186" s="792" t="str">
        <f t="shared" si="1250"/>
        <v>*</v>
      </c>
      <c r="AB1186" s="466" t="str">
        <f t="shared" si="1250"/>
        <v>*</v>
      </c>
      <c r="AC1186" s="831" t="str">
        <f t="shared" si="1250"/>
        <v>*</v>
      </c>
      <c r="AD1186" s="831" t="str">
        <f t="shared" si="1250"/>
        <v>*</v>
      </c>
      <c r="AE1186" s="454" t="str">
        <f t="shared" si="1250"/>
        <v>*</v>
      </c>
      <c r="AF1186" s="454" t="str">
        <f t="shared" si="1250"/>
        <v>*</v>
      </c>
      <c r="AG1186" s="454" t="str">
        <f t="shared" si="1250"/>
        <v>*</v>
      </c>
      <c r="AH1186" s="454" t="str">
        <f t="shared" si="1250"/>
        <v>*</v>
      </c>
    </row>
    <row r="1187" spans="1:34" ht="14.25">
      <c r="A1187" s="14" t="s">
        <v>4602</v>
      </c>
      <c r="B1187" s="24" t="s">
        <v>2768</v>
      </c>
      <c r="C1187" s="142" t="s">
        <v>2786</v>
      </c>
      <c r="D1187" s="14" t="s">
        <v>2911</v>
      </c>
      <c r="E1187" s="14" t="s">
        <v>4603</v>
      </c>
      <c r="F1187" s="13">
        <v>18.96</v>
      </c>
      <c r="G1187" s="14" t="s">
        <v>3704</v>
      </c>
      <c r="H1187" s="13" t="s">
        <v>2973</v>
      </c>
      <c r="I1187" s="14" t="s">
        <v>4542</v>
      </c>
      <c r="J1187" s="14" t="s">
        <v>4543</v>
      </c>
      <c r="K1187" s="478">
        <v>0.26</v>
      </c>
      <c r="L1187" s="220">
        <v>4.8600000000000003</v>
      </c>
      <c r="M1187" s="568" t="s">
        <v>4544</v>
      </c>
      <c r="N1187" s="479" t="s">
        <v>2937</v>
      </c>
      <c r="O1187" s="569" t="s">
        <v>4604</v>
      </c>
      <c r="P1187" s="14" t="s">
        <v>4121</v>
      </c>
      <c r="Q1187" s="486" t="s">
        <v>4553</v>
      </c>
      <c r="R1187" s="14">
        <f>5.3*0.105</f>
        <v>0.55649999999999999</v>
      </c>
      <c r="S1187" s="14">
        <f t="shared" si="1195"/>
        <v>2.7045900000000001E-2</v>
      </c>
      <c r="T1187" s="487">
        <f>SUM(R1173:R1192)</f>
        <v>98.600000000000009</v>
      </c>
      <c r="U1187">
        <f t="shared" si="1111"/>
        <v>0.56440162271805272</v>
      </c>
      <c r="V1187" s="220">
        <f>U1187*100/SUM(U1173:U1177,U1179:U1192)</f>
        <v>0.57608695652173925</v>
      </c>
      <c r="W1187" s="14" t="s">
        <v>349</v>
      </c>
      <c r="X1187">
        <f t="shared" si="1239"/>
        <v>0.14978260869565221</v>
      </c>
      <c r="Y1187" s="220" t="s">
        <v>1666</v>
      </c>
      <c r="Z1187" s="220" t="str">
        <f t="shared" ref="Z1187:AH1187" si="1251">Y1187</f>
        <v>*</v>
      </c>
      <c r="AA1187" s="792" t="str">
        <f t="shared" si="1251"/>
        <v>*</v>
      </c>
      <c r="AB1187" s="466" t="str">
        <f t="shared" si="1251"/>
        <v>*</v>
      </c>
      <c r="AC1187" s="831" t="str">
        <f t="shared" si="1251"/>
        <v>*</v>
      </c>
      <c r="AD1187" s="831" t="str">
        <f t="shared" si="1251"/>
        <v>*</v>
      </c>
      <c r="AE1187" s="454" t="str">
        <f t="shared" si="1251"/>
        <v>*</v>
      </c>
      <c r="AF1187" s="454" t="str">
        <f t="shared" si="1251"/>
        <v>*</v>
      </c>
      <c r="AG1187" s="454" t="str">
        <f t="shared" si="1251"/>
        <v>*</v>
      </c>
      <c r="AH1187" s="454" t="str">
        <f t="shared" si="1251"/>
        <v>*</v>
      </c>
    </row>
    <row r="1188" spans="1:34" ht="14.25">
      <c r="A1188" s="14" t="s">
        <v>4602</v>
      </c>
      <c r="B1188" s="24" t="s">
        <v>2768</v>
      </c>
      <c r="C1188" s="142" t="s">
        <v>2786</v>
      </c>
      <c r="D1188" s="14" t="s">
        <v>2911</v>
      </c>
      <c r="E1188" s="14" t="s">
        <v>4603</v>
      </c>
      <c r="F1188" s="13">
        <v>18.96</v>
      </c>
      <c r="G1188" s="14" t="s">
        <v>3704</v>
      </c>
      <c r="H1188" s="13" t="s">
        <v>2973</v>
      </c>
      <c r="I1188" s="14" t="s">
        <v>4542</v>
      </c>
      <c r="J1188" s="14" t="s">
        <v>4543</v>
      </c>
      <c r="K1188" s="478">
        <v>0.26</v>
      </c>
      <c r="L1188" s="220">
        <v>4.8600000000000003</v>
      </c>
      <c r="M1188" s="568" t="s">
        <v>4544</v>
      </c>
      <c r="N1188" s="479" t="s">
        <v>2937</v>
      </c>
      <c r="O1188" s="569" t="s">
        <v>4604</v>
      </c>
      <c r="P1188" s="14" t="s">
        <v>4121</v>
      </c>
      <c r="Q1188" s="486" t="s">
        <v>4554</v>
      </c>
      <c r="R1188" s="14">
        <f>5.3*0.09</f>
        <v>0.47699999999999998</v>
      </c>
      <c r="S1188" s="14">
        <f t="shared" si="1195"/>
        <v>2.31822E-2</v>
      </c>
      <c r="T1188" s="487">
        <f>SUM(R1173:R1192)</f>
        <v>98.600000000000009</v>
      </c>
      <c r="U1188">
        <f t="shared" si="1111"/>
        <v>0.48377281947261652</v>
      </c>
      <c r="V1188" s="220">
        <f>U1188*100/SUM(U1173:U1177,U1179:U1192)</f>
        <v>0.49378881987577639</v>
      </c>
      <c r="W1188" s="14" t="s">
        <v>337</v>
      </c>
      <c r="X1188">
        <f t="shared" si="1239"/>
        <v>0.12838509316770186</v>
      </c>
      <c r="Y1188" s="499">
        <f t="shared" ref="Y1188:AA1188" si="1252">X1188</f>
        <v>0.12838509316770186</v>
      </c>
      <c r="Z1188" s="220">
        <f t="shared" si="1252"/>
        <v>0.12838509316770186</v>
      </c>
      <c r="AA1188" s="792">
        <f t="shared" si="1252"/>
        <v>0.12838509316770186</v>
      </c>
      <c r="AB1188" s="466" t="s">
        <v>332</v>
      </c>
      <c r="AC1188" s="13" t="s">
        <v>18</v>
      </c>
      <c r="AD1188" s="13" t="s">
        <v>3144</v>
      </c>
      <c r="AE1188" s="12">
        <v>2.3E-3</v>
      </c>
      <c r="AF1188" s="12">
        <v>4.7879999999999999E-2</v>
      </c>
      <c r="AG1188" s="12">
        <v>9.9999999999999995E-7</v>
      </c>
      <c r="AH1188" s="12">
        <v>4.4092488403675551E-4</v>
      </c>
    </row>
    <row r="1189" spans="1:34" ht="14.25">
      <c r="A1189" s="14" t="s">
        <v>4602</v>
      </c>
      <c r="B1189" s="24" t="s">
        <v>2768</v>
      </c>
      <c r="C1189" s="142" t="s">
        <v>2786</v>
      </c>
      <c r="D1189" s="14" t="s">
        <v>2911</v>
      </c>
      <c r="E1189" s="14" t="s">
        <v>4603</v>
      </c>
      <c r="F1189" s="13">
        <v>18.96</v>
      </c>
      <c r="G1189" s="14" t="s">
        <v>3704</v>
      </c>
      <c r="H1189" s="13" t="s">
        <v>2973</v>
      </c>
      <c r="I1189" s="14" t="s">
        <v>4542</v>
      </c>
      <c r="J1189" s="14" t="s">
        <v>4543</v>
      </c>
      <c r="K1189" s="478">
        <v>0.26</v>
      </c>
      <c r="L1189" s="220">
        <v>4.8600000000000003</v>
      </c>
      <c r="M1189" s="568" t="s">
        <v>4544</v>
      </c>
      <c r="N1189" s="479" t="s">
        <v>2937</v>
      </c>
      <c r="O1189" s="569" t="s">
        <v>4604</v>
      </c>
      <c r="P1189" s="490" t="s">
        <v>4121</v>
      </c>
      <c r="Q1189" s="491" t="s">
        <v>4555</v>
      </c>
      <c r="R1189" s="510">
        <f>5.3*0.085</f>
        <v>0.45050000000000001</v>
      </c>
      <c r="S1189" s="14">
        <f t="shared" si="1195"/>
        <v>2.1894300000000002E-2</v>
      </c>
      <c r="T1189" s="487">
        <f>SUM(R1173:R1192)</f>
        <v>98.600000000000009</v>
      </c>
      <c r="U1189">
        <f t="shared" si="1111"/>
        <v>0.45689655172413796</v>
      </c>
      <c r="V1189" s="220">
        <f>U1189*100/SUM(U1173:U1177,U1179:U1192)</f>
        <v>0.4663561076604556</v>
      </c>
      <c r="W1189" s="14" t="s">
        <v>2521</v>
      </c>
      <c r="X1189">
        <f t="shared" si="1239"/>
        <v>0.12125258799171847</v>
      </c>
      <c r="Y1189" s="499">
        <f t="shared" ref="Y1189:AA1189" si="1253">X1189</f>
        <v>0.12125258799171847</v>
      </c>
      <c r="Z1189" s="220">
        <f t="shared" si="1253"/>
        <v>0.12125258799171847</v>
      </c>
      <c r="AA1189" s="792">
        <f t="shared" si="1253"/>
        <v>0.12125258799171847</v>
      </c>
      <c r="AB1189" s="466" t="s">
        <v>324</v>
      </c>
      <c r="AC1189" s="13" t="s">
        <v>18</v>
      </c>
      <c r="AD1189" s="13" t="s">
        <v>3144</v>
      </c>
      <c r="AE1189" s="12">
        <v>1.0652903141570055E-3</v>
      </c>
      <c r="AF1189" s="12">
        <v>1.7273631840796021E-2</v>
      </c>
      <c r="AG1189" s="12">
        <v>1.3582399999999999E-4</v>
      </c>
      <c r="AH1189" s="12">
        <v>2.14E-3</v>
      </c>
    </row>
    <row r="1190" spans="1:34" ht="14.25">
      <c r="A1190" s="14" t="s">
        <v>4602</v>
      </c>
      <c r="B1190" s="24" t="s">
        <v>2768</v>
      </c>
      <c r="C1190" s="142" t="s">
        <v>2786</v>
      </c>
      <c r="D1190" s="14" t="s">
        <v>2911</v>
      </c>
      <c r="E1190" s="14" t="s">
        <v>4603</v>
      </c>
      <c r="F1190" s="13">
        <v>18.96</v>
      </c>
      <c r="G1190" s="14" t="s">
        <v>3704</v>
      </c>
      <c r="H1190" s="13" t="s">
        <v>2973</v>
      </c>
      <c r="I1190" s="14" t="s">
        <v>4542</v>
      </c>
      <c r="J1190" s="14" t="s">
        <v>4543</v>
      </c>
      <c r="K1190" s="478">
        <v>0.26</v>
      </c>
      <c r="L1190" s="220">
        <v>4.8600000000000003</v>
      </c>
      <c r="M1190" s="568" t="s">
        <v>4544</v>
      </c>
      <c r="N1190" s="479" t="s">
        <v>2937</v>
      </c>
      <c r="O1190" s="569" t="s">
        <v>4604</v>
      </c>
      <c r="P1190" s="14" t="s">
        <v>3072</v>
      </c>
      <c r="Q1190" s="14" t="s">
        <v>3073</v>
      </c>
      <c r="R1190" s="14">
        <v>0.5</v>
      </c>
      <c r="S1190" s="14">
        <f t="shared" si="1195"/>
        <v>2.4300000000000002E-2</v>
      </c>
      <c r="T1190" s="487">
        <f>SUM(R1173:R1192)</f>
        <v>98.600000000000009</v>
      </c>
      <c r="U1190">
        <f t="shared" si="1111"/>
        <v>0.50709939148073013</v>
      </c>
      <c r="V1190" s="220">
        <f>U1190*100/SUM(U1173:U1177,U1179:U1192)</f>
        <v>0.51759834368530022</v>
      </c>
      <c r="W1190" s="14" t="s">
        <v>343</v>
      </c>
      <c r="X1190">
        <f t="shared" si="1239"/>
        <v>0.13457556935817805</v>
      </c>
      <c r="Y1190" s="220" t="s">
        <v>1666</v>
      </c>
      <c r="Z1190" s="220" t="str">
        <f t="shared" ref="Z1190:AH1190" si="1254">Y1190</f>
        <v>*</v>
      </c>
      <c r="AA1190" s="792" t="str">
        <f t="shared" si="1254"/>
        <v>*</v>
      </c>
      <c r="AB1190" s="466" t="str">
        <f t="shared" si="1254"/>
        <v>*</v>
      </c>
      <c r="AC1190" s="831" t="str">
        <f t="shared" si="1254"/>
        <v>*</v>
      </c>
      <c r="AD1190" s="831" t="str">
        <f t="shared" si="1254"/>
        <v>*</v>
      </c>
      <c r="AE1190" s="454" t="str">
        <f t="shared" si="1254"/>
        <v>*</v>
      </c>
      <c r="AF1190" s="454" t="str">
        <f t="shared" si="1254"/>
        <v>*</v>
      </c>
      <c r="AG1190" s="454" t="str">
        <f t="shared" si="1254"/>
        <v>*</v>
      </c>
      <c r="AH1190" s="454" t="str">
        <f t="shared" si="1254"/>
        <v>*</v>
      </c>
    </row>
    <row r="1191" spans="1:34" ht="14.25">
      <c r="A1191" s="14" t="s">
        <v>4602</v>
      </c>
      <c r="B1191" s="24" t="s">
        <v>2768</v>
      </c>
      <c r="C1191" s="142" t="s">
        <v>2786</v>
      </c>
      <c r="D1191" s="14" t="s">
        <v>2911</v>
      </c>
      <c r="E1191" s="14" t="s">
        <v>4603</v>
      </c>
      <c r="F1191" s="13">
        <v>18.96</v>
      </c>
      <c r="G1191" s="14" t="s">
        <v>3704</v>
      </c>
      <c r="H1191" s="13" t="s">
        <v>2973</v>
      </c>
      <c r="I1191" s="14" t="s">
        <v>4542</v>
      </c>
      <c r="J1191" s="14" t="s">
        <v>4543</v>
      </c>
      <c r="K1191" s="478">
        <v>0.26</v>
      </c>
      <c r="L1191" s="220">
        <v>4.8600000000000003</v>
      </c>
      <c r="M1191" s="568" t="s">
        <v>4544</v>
      </c>
      <c r="N1191" s="479" t="s">
        <v>2937</v>
      </c>
      <c r="O1191" s="569" t="s">
        <v>4604</v>
      </c>
      <c r="P1191" s="14" t="s">
        <v>139</v>
      </c>
      <c r="Q1191" s="14" t="s">
        <v>3020</v>
      </c>
      <c r="R1191" s="14">
        <v>10.5</v>
      </c>
      <c r="S1191" s="14">
        <f t="shared" si="1195"/>
        <v>0.51029999999999998</v>
      </c>
      <c r="T1191" s="487">
        <f>SUM(R1173:R1192)</f>
        <v>98.600000000000009</v>
      </c>
      <c r="U1191">
        <f t="shared" si="1111"/>
        <v>10.649087221095334</v>
      </c>
      <c r="V1191" s="220">
        <f>U1191*100/SUM(U1173:U1177,U1179:U1192)</f>
        <v>10.869565217391305</v>
      </c>
      <c r="W1191" s="14" t="s">
        <v>139</v>
      </c>
      <c r="X1191">
        <f t="shared" si="1239"/>
        <v>2.8260869565217392</v>
      </c>
      <c r="Y1191" s="220">
        <f>SUM(X1191,X1195)</f>
        <v>8.1075420042942739</v>
      </c>
      <c r="Z1191" s="220">
        <f t="shared" ref="Z1191:AA1191" si="1255">Y1191</f>
        <v>8.1075420042942739</v>
      </c>
      <c r="AA1191" s="792">
        <f t="shared" si="1255"/>
        <v>8.1075420042942739</v>
      </c>
      <c r="AB1191" s="458" t="s">
        <v>139</v>
      </c>
      <c r="AC1191" s="13" t="s">
        <v>138</v>
      </c>
      <c r="AD1191" s="13" t="s">
        <v>3019</v>
      </c>
      <c r="AE1191" s="12">
        <v>4.0165275294130297E-3</v>
      </c>
      <c r="AF1191" s="12">
        <v>3.2725331200335404E-2</v>
      </c>
      <c r="AG1191" s="12">
        <v>2.4399999999999999E-4</v>
      </c>
      <c r="AH1191" s="12">
        <v>2.0392735E-3</v>
      </c>
    </row>
    <row r="1192" spans="1:34" ht="14.25">
      <c r="A1192" s="14" t="s">
        <v>4602</v>
      </c>
      <c r="B1192" s="24" t="s">
        <v>2768</v>
      </c>
      <c r="C1192" s="142" t="s">
        <v>2786</v>
      </c>
      <c r="D1192" s="14" t="s">
        <v>2911</v>
      </c>
      <c r="E1192" s="14" t="s">
        <v>4603</v>
      </c>
      <c r="F1192" s="13">
        <v>18.96</v>
      </c>
      <c r="G1192" s="14" t="s">
        <v>3704</v>
      </c>
      <c r="H1192" s="13" t="s">
        <v>2973</v>
      </c>
      <c r="I1192" s="135" t="s">
        <v>4542</v>
      </c>
      <c r="J1192" s="135" t="s">
        <v>4543</v>
      </c>
      <c r="K1192" s="475">
        <v>0.26</v>
      </c>
      <c r="L1192" s="476">
        <v>4.8600000000000003</v>
      </c>
      <c r="M1192" s="570" t="s">
        <v>4544</v>
      </c>
      <c r="N1192" s="493" t="s">
        <v>2937</v>
      </c>
      <c r="O1192" s="571" t="s">
        <v>4604</v>
      </c>
      <c r="P1192" s="135" t="s">
        <v>3021</v>
      </c>
      <c r="Q1192" s="495" t="s">
        <v>3022</v>
      </c>
      <c r="R1192" s="135">
        <v>1.6</v>
      </c>
      <c r="S1192" s="135">
        <f t="shared" si="1195"/>
        <v>7.776000000000001E-2</v>
      </c>
      <c r="T1192" s="581">
        <f>SUM(R1173:R1192)</f>
        <v>98.600000000000009</v>
      </c>
      <c r="U1192" s="135">
        <f t="shared" si="1111"/>
        <v>1.6227180527383365</v>
      </c>
      <c r="V1192" s="476">
        <f>U1192*100/SUM(U1173:U1177,U1179:U1192)</f>
        <v>1.6563146997929608</v>
      </c>
      <c r="W1192" s="135" t="s">
        <v>346</v>
      </c>
      <c r="X1192">
        <f t="shared" si="1239"/>
        <v>0.43064182194616979</v>
      </c>
      <c r="Y1192" s="220" t="s">
        <v>1666</v>
      </c>
      <c r="Z1192" s="220" t="str">
        <f t="shared" ref="Z1192:AH1192" si="1256">Y1192</f>
        <v>*</v>
      </c>
      <c r="AA1192" s="792" t="str">
        <f t="shared" si="1256"/>
        <v>*</v>
      </c>
      <c r="AB1192" s="466" t="str">
        <f t="shared" si="1256"/>
        <v>*</v>
      </c>
      <c r="AC1192" s="831" t="str">
        <f t="shared" si="1256"/>
        <v>*</v>
      </c>
      <c r="AD1192" s="831" t="str">
        <f t="shared" si="1256"/>
        <v>*</v>
      </c>
      <c r="AE1192" s="454" t="str">
        <f t="shared" si="1256"/>
        <v>*</v>
      </c>
      <c r="AF1192" s="454" t="str">
        <f t="shared" si="1256"/>
        <v>*</v>
      </c>
      <c r="AG1192" s="454" t="str">
        <f t="shared" si="1256"/>
        <v>*</v>
      </c>
      <c r="AH1192" s="454" t="str">
        <f t="shared" si="1256"/>
        <v>*</v>
      </c>
    </row>
    <row r="1193" spans="1:34" ht="14.25">
      <c r="A1193" s="14" t="s">
        <v>4602</v>
      </c>
      <c r="B1193" s="24" t="s">
        <v>2768</v>
      </c>
      <c r="C1193" s="142" t="s">
        <v>2786</v>
      </c>
      <c r="D1193" s="14" t="s">
        <v>2911</v>
      </c>
      <c r="E1193" s="14" t="s">
        <v>4603</v>
      </c>
      <c r="F1193" s="13">
        <v>18.96</v>
      </c>
      <c r="G1193" s="14" t="s">
        <v>3704</v>
      </c>
      <c r="H1193" s="13" t="s">
        <v>2973</v>
      </c>
      <c r="I1193" s="655" t="s">
        <v>4605</v>
      </c>
      <c r="J1193" s="14" t="s">
        <v>4606</v>
      </c>
      <c r="K1193" s="478">
        <v>0.62</v>
      </c>
      <c r="L1193" s="220">
        <v>11.83</v>
      </c>
      <c r="M1193" s="568" t="s">
        <v>1624</v>
      </c>
      <c r="N1193" s="479" t="s">
        <v>2937</v>
      </c>
      <c r="O1193" s="569" t="s">
        <v>4604</v>
      </c>
      <c r="P1193" s="14" t="s">
        <v>3008</v>
      </c>
      <c r="Q1193" s="486" t="s">
        <v>3009</v>
      </c>
      <c r="R1193" s="14">
        <v>16.27</v>
      </c>
      <c r="S1193" s="14">
        <f t="shared" si="1195"/>
        <v>1.924741</v>
      </c>
      <c r="T1193">
        <f>SUM(R1193:R1199)</f>
        <v>86.86999999999999</v>
      </c>
      <c r="U1193">
        <f t="shared" si="1111"/>
        <v>18.729135489812364</v>
      </c>
      <c r="V1193" s="220"/>
      <c r="W1193" s="14" t="s">
        <v>1588</v>
      </c>
      <c r="X1193">
        <f t="shared" ref="X1193:X1200" si="1257">U1193*K1193</f>
        <v>11.612064003683665</v>
      </c>
      <c r="Y1193" s="220" t="s">
        <v>1666</v>
      </c>
      <c r="Z1193" s="220">
        <f>X1193</f>
        <v>11.612064003683665</v>
      </c>
      <c r="AA1193" s="792">
        <f>Z1193</f>
        <v>11.612064003683665</v>
      </c>
      <c r="AB1193" s="466" t="s">
        <v>1588</v>
      </c>
      <c r="AC1193" s="831" t="str">
        <f t="shared" ref="AC1193:AD1193" si="1258">AB1193</f>
        <v>brown sugar</v>
      </c>
      <c r="AD1193" s="831" t="str">
        <f t="shared" si="1258"/>
        <v>brown sugar</v>
      </c>
      <c r="AE1193" s="12">
        <v>2.9559941486988851E-4</v>
      </c>
      <c r="AF1193" s="12">
        <v>1.227390180878553E-2</v>
      </c>
      <c r="AG1193" s="12">
        <v>5.0880902043692758E-4</v>
      </c>
      <c r="AH1193" s="12">
        <v>3.9359045321580248E-4</v>
      </c>
    </row>
    <row r="1194" spans="1:34" ht="14.25">
      <c r="A1194" s="14" t="s">
        <v>4602</v>
      </c>
      <c r="B1194" s="24" t="s">
        <v>2768</v>
      </c>
      <c r="C1194" s="142" t="s">
        <v>2786</v>
      </c>
      <c r="D1194" s="14" t="s">
        <v>2911</v>
      </c>
      <c r="E1194" s="14" t="s">
        <v>4603</v>
      </c>
      <c r="F1194" s="13">
        <v>18.96</v>
      </c>
      <c r="G1194" s="14" t="s">
        <v>3704</v>
      </c>
      <c r="H1194" s="13" t="s">
        <v>2973</v>
      </c>
      <c r="I1194" s="655" t="s">
        <v>4605</v>
      </c>
      <c r="J1194" s="14" t="s">
        <v>4606</v>
      </c>
      <c r="K1194" s="478">
        <v>0.62</v>
      </c>
      <c r="L1194" s="220">
        <v>11.83</v>
      </c>
      <c r="M1194" s="568" t="s">
        <v>1624</v>
      </c>
      <c r="N1194" s="479" t="s">
        <v>2937</v>
      </c>
      <c r="O1194" s="569" t="s">
        <v>4604</v>
      </c>
      <c r="P1194" s="14" t="s">
        <v>2945</v>
      </c>
      <c r="Q1194" s="435" t="s">
        <v>2946</v>
      </c>
      <c r="R1194" s="14">
        <v>14.8</v>
      </c>
      <c r="S1194" s="14">
        <f t="shared" si="1195"/>
        <v>1.7508400000000002</v>
      </c>
      <c r="T1194">
        <f>SUM(R1193:R1199)</f>
        <v>86.86999999999999</v>
      </c>
      <c r="U1194">
        <f t="shared" si="1111"/>
        <v>17.036951767008176</v>
      </c>
      <c r="V1194" s="220"/>
      <c r="W1194" s="14" t="s">
        <v>433</v>
      </c>
      <c r="X1194">
        <f t="shared" si="1257"/>
        <v>10.562910095545069</v>
      </c>
      <c r="Y1194" s="220" t="s">
        <v>1666</v>
      </c>
      <c r="Z1194" s="220" t="str">
        <f t="shared" ref="Z1194:AH1194" si="1259">Y1194</f>
        <v>*</v>
      </c>
      <c r="AA1194" s="792" t="str">
        <f t="shared" si="1259"/>
        <v>*</v>
      </c>
      <c r="AB1194" s="466" t="str">
        <f t="shared" si="1259"/>
        <v>*</v>
      </c>
      <c r="AC1194" s="831" t="str">
        <f t="shared" si="1259"/>
        <v>*</v>
      </c>
      <c r="AD1194" s="831" t="str">
        <f t="shared" si="1259"/>
        <v>*</v>
      </c>
      <c r="AE1194" s="454" t="str">
        <f t="shared" si="1259"/>
        <v>*</v>
      </c>
      <c r="AF1194" s="454" t="str">
        <f t="shared" si="1259"/>
        <v>*</v>
      </c>
      <c r="AG1194" s="454" t="str">
        <f t="shared" si="1259"/>
        <v>*</v>
      </c>
      <c r="AH1194" s="454" t="str">
        <f t="shared" si="1259"/>
        <v>*</v>
      </c>
    </row>
    <row r="1195" spans="1:34" ht="14.25">
      <c r="A1195" s="14" t="s">
        <v>4602</v>
      </c>
      <c r="B1195" s="24" t="s">
        <v>2768</v>
      </c>
      <c r="C1195" s="142" t="s">
        <v>2786</v>
      </c>
      <c r="D1195" s="14" t="s">
        <v>2911</v>
      </c>
      <c r="E1195" s="14" t="s">
        <v>4603</v>
      </c>
      <c r="F1195" s="13">
        <v>18.96</v>
      </c>
      <c r="G1195" s="14" t="s">
        <v>3704</v>
      </c>
      <c r="H1195" s="13" t="s">
        <v>2973</v>
      </c>
      <c r="I1195" s="655" t="s">
        <v>4605</v>
      </c>
      <c r="J1195" s="14" t="s">
        <v>4606</v>
      </c>
      <c r="K1195" s="478">
        <v>0.62</v>
      </c>
      <c r="L1195" s="220">
        <v>11.83</v>
      </c>
      <c r="M1195" s="568" t="s">
        <v>1624</v>
      </c>
      <c r="N1195" s="479" t="s">
        <v>2937</v>
      </c>
      <c r="O1195" s="569" t="s">
        <v>4604</v>
      </c>
      <c r="P1195" s="14" t="s">
        <v>139</v>
      </c>
      <c r="Q1195" s="14" t="s">
        <v>3020</v>
      </c>
      <c r="R1195" s="14">
        <v>7.4</v>
      </c>
      <c r="S1195" s="14">
        <f t="shared" si="1195"/>
        <v>0.87542000000000009</v>
      </c>
      <c r="T1195">
        <f>SUM(R1193:R1199)</f>
        <v>86.86999999999999</v>
      </c>
      <c r="U1195">
        <f t="shared" si="1111"/>
        <v>8.5184758835040881</v>
      </c>
      <c r="V1195" s="220"/>
      <c r="W1195" s="14" t="s">
        <v>139</v>
      </c>
      <c r="X1195">
        <f t="shared" si="1257"/>
        <v>5.2814550477725346</v>
      </c>
      <c r="Y1195" s="220" t="s">
        <v>1666</v>
      </c>
      <c r="Z1195" s="220" t="str">
        <f t="shared" ref="Z1195:AH1195" si="1260">Y1195</f>
        <v>*</v>
      </c>
      <c r="AA1195" s="792" t="str">
        <f t="shared" si="1260"/>
        <v>*</v>
      </c>
      <c r="AB1195" s="466" t="str">
        <f t="shared" si="1260"/>
        <v>*</v>
      </c>
      <c r="AC1195" s="831" t="str">
        <f t="shared" si="1260"/>
        <v>*</v>
      </c>
      <c r="AD1195" s="831" t="str">
        <f t="shared" si="1260"/>
        <v>*</v>
      </c>
      <c r="AE1195" s="454" t="str">
        <f t="shared" si="1260"/>
        <v>*</v>
      </c>
      <c r="AF1195" s="454" t="str">
        <f t="shared" si="1260"/>
        <v>*</v>
      </c>
      <c r="AG1195" s="454" t="str">
        <f t="shared" si="1260"/>
        <v>*</v>
      </c>
      <c r="AH1195" s="454" t="str">
        <f t="shared" si="1260"/>
        <v>*</v>
      </c>
    </row>
    <row r="1196" spans="1:34" ht="14.25">
      <c r="A1196" s="14" t="s">
        <v>4602</v>
      </c>
      <c r="B1196" s="24" t="s">
        <v>2768</v>
      </c>
      <c r="C1196" s="142" t="s">
        <v>2786</v>
      </c>
      <c r="D1196" s="14" t="s">
        <v>2911</v>
      </c>
      <c r="E1196" s="14" t="s">
        <v>4603</v>
      </c>
      <c r="F1196" s="13">
        <v>18.96</v>
      </c>
      <c r="G1196" s="14" t="s">
        <v>3704</v>
      </c>
      <c r="H1196" s="13" t="s">
        <v>2973</v>
      </c>
      <c r="I1196" s="655" t="s">
        <v>4605</v>
      </c>
      <c r="J1196" s="14" t="s">
        <v>4606</v>
      </c>
      <c r="K1196" s="478">
        <v>0.62</v>
      </c>
      <c r="L1196" s="220">
        <v>11.83</v>
      </c>
      <c r="M1196" s="568" t="s">
        <v>1624</v>
      </c>
      <c r="N1196" s="479" t="s">
        <v>2937</v>
      </c>
      <c r="O1196" s="569" t="s">
        <v>4604</v>
      </c>
      <c r="P1196" s="655" t="s">
        <v>3005</v>
      </c>
      <c r="Q1196" s="486" t="s">
        <v>3006</v>
      </c>
      <c r="R1196" s="14">
        <v>19.2</v>
      </c>
      <c r="S1196" s="14">
        <f t="shared" si="1195"/>
        <v>2.27136</v>
      </c>
      <c r="T1196" s="487">
        <f>SUM(R1193:R1199)</f>
        <v>86.86999999999999</v>
      </c>
      <c r="U1196">
        <f t="shared" si="1111"/>
        <v>22.10199148152412</v>
      </c>
      <c r="V1196" s="220"/>
      <c r="W1196" s="14" t="s">
        <v>2526</v>
      </c>
      <c r="X1196">
        <f t="shared" si="1257"/>
        <v>13.703234718544955</v>
      </c>
      <c r="Y1196" s="220" t="s">
        <v>1666</v>
      </c>
      <c r="Z1196" s="220" t="str">
        <f t="shared" ref="Z1196:AH1196" si="1261">Y1196</f>
        <v>*</v>
      </c>
      <c r="AA1196" s="792" t="str">
        <f t="shared" si="1261"/>
        <v>*</v>
      </c>
      <c r="AB1196" s="466" t="str">
        <f t="shared" si="1261"/>
        <v>*</v>
      </c>
      <c r="AC1196" s="831" t="str">
        <f t="shared" si="1261"/>
        <v>*</v>
      </c>
      <c r="AD1196" s="831" t="str">
        <f t="shared" si="1261"/>
        <v>*</v>
      </c>
      <c r="AE1196" s="454" t="str">
        <f t="shared" si="1261"/>
        <v>*</v>
      </c>
      <c r="AF1196" s="454" t="str">
        <f t="shared" si="1261"/>
        <v>*</v>
      </c>
      <c r="AG1196" s="454" t="str">
        <f t="shared" si="1261"/>
        <v>*</v>
      </c>
      <c r="AH1196" s="454" t="str">
        <f t="shared" si="1261"/>
        <v>*</v>
      </c>
    </row>
    <row r="1197" spans="1:34" ht="14.25">
      <c r="A1197" s="14" t="s">
        <v>4602</v>
      </c>
      <c r="B1197" s="24" t="s">
        <v>2768</v>
      </c>
      <c r="C1197" s="142" t="s">
        <v>2786</v>
      </c>
      <c r="D1197" s="14" t="s">
        <v>2911</v>
      </c>
      <c r="E1197" s="14" t="s">
        <v>4603</v>
      </c>
      <c r="F1197" s="13">
        <v>18.96</v>
      </c>
      <c r="G1197" s="14" t="s">
        <v>3704</v>
      </c>
      <c r="H1197" s="13" t="s">
        <v>2973</v>
      </c>
      <c r="I1197" s="655" t="s">
        <v>4605</v>
      </c>
      <c r="J1197" s="14" t="s">
        <v>4606</v>
      </c>
      <c r="K1197" s="478">
        <v>0.62</v>
      </c>
      <c r="L1197" s="220">
        <v>11.83</v>
      </c>
      <c r="M1197" s="568" t="s">
        <v>1624</v>
      </c>
      <c r="N1197" s="479" t="s">
        <v>2937</v>
      </c>
      <c r="O1197" s="569" t="s">
        <v>4604</v>
      </c>
      <c r="P1197" s="14" t="s">
        <v>83</v>
      </c>
      <c r="Q1197" s="527" t="s">
        <v>3430</v>
      </c>
      <c r="R1197" s="14">
        <v>0.4</v>
      </c>
      <c r="S1197" s="14">
        <f t="shared" si="1195"/>
        <v>4.7320000000000001E-2</v>
      </c>
      <c r="T1197" s="487">
        <f>SUM(R1193:R1199)</f>
        <v>86.86999999999999</v>
      </c>
      <c r="U1197">
        <f t="shared" si="1111"/>
        <v>0.46045815586508582</v>
      </c>
      <c r="V1197" s="220"/>
      <c r="W1197" s="14" t="s">
        <v>83</v>
      </c>
      <c r="X1197">
        <f t="shared" si="1257"/>
        <v>0.28548405663635318</v>
      </c>
      <c r="Y1197" s="499">
        <f t="shared" ref="Y1197:AA1197" si="1262">X1197</f>
        <v>0.28548405663635318</v>
      </c>
      <c r="Z1197" s="220">
        <f t="shared" si="1262"/>
        <v>0.28548405663635318</v>
      </c>
      <c r="AA1197" s="792">
        <f t="shared" si="1262"/>
        <v>0.28548405663635318</v>
      </c>
      <c r="AB1197" s="458" t="s">
        <v>83</v>
      </c>
      <c r="AC1197" s="14" t="s">
        <v>83</v>
      </c>
      <c r="AD1197" s="14" t="s">
        <v>2951</v>
      </c>
      <c r="AE1197" s="12">
        <v>0</v>
      </c>
      <c r="AF1197" s="12">
        <v>0</v>
      </c>
      <c r="AG1197" s="12">
        <v>0</v>
      </c>
      <c r="AH1197" s="12">
        <v>0</v>
      </c>
    </row>
    <row r="1198" spans="1:34" ht="14.25">
      <c r="A1198" s="14" t="s">
        <v>4602</v>
      </c>
      <c r="B1198" s="24" t="s">
        <v>2768</v>
      </c>
      <c r="C1198" s="142" t="s">
        <v>2786</v>
      </c>
      <c r="D1198" s="14" t="s">
        <v>2911</v>
      </c>
      <c r="E1198" s="14" t="s">
        <v>4603</v>
      </c>
      <c r="F1198" s="13">
        <v>18.96</v>
      </c>
      <c r="G1198" s="14" t="s">
        <v>3704</v>
      </c>
      <c r="H1198" s="13" t="s">
        <v>2973</v>
      </c>
      <c r="I1198" s="655" t="s">
        <v>4605</v>
      </c>
      <c r="J1198" s="14" t="s">
        <v>4606</v>
      </c>
      <c r="K1198" s="478">
        <v>0.62</v>
      </c>
      <c r="L1198" s="220">
        <v>11.83</v>
      </c>
      <c r="M1198" s="568" t="s">
        <v>1624</v>
      </c>
      <c r="N1198" s="479" t="s">
        <v>2937</v>
      </c>
      <c r="O1198" s="569" t="s">
        <v>4604</v>
      </c>
      <c r="P1198" s="14" t="s">
        <v>2688</v>
      </c>
      <c r="Q1198" s="14" t="s">
        <v>4114</v>
      </c>
      <c r="R1198" s="14">
        <v>16.2</v>
      </c>
      <c r="S1198" s="14">
        <f t="shared" si="1195"/>
        <v>1.9164600000000001</v>
      </c>
      <c r="T1198" s="487">
        <f>SUM(R1193:R1199)</f>
        <v>86.86999999999999</v>
      </c>
      <c r="U1198">
        <f t="shared" si="1111"/>
        <v>18.648555312535976</v>
      </c>
      <c r="V1198" s="220"/>
      <c r="W1198" s="14" t="s">
        <v>2688</v>
      </c>
      <c r="X1198">
        <f t="shared" si="1257"/>
        <v>11.562104293772306</v>
      </c>
      <c r="Y1198" s="220">
        <f t="shared" ref="Y1198:AA1198" si="1263">X1198</f>
        <v>11.562104293772306</v>
      </c>
      <c r="Z1198" s="220">
        <f t="shared" si="1263"/>
        <v>11.562104293772306</v>
      </c>
      <c r="AA1198" s="792">
        <f t="shared" si="1263"/>
        <v>11.562104293772306</v>
      </c>
      <c r="AB1198" s="458" t="s">
        <v>2688</v>
      </c>
      <c r="AC1198" s="13" t="s">
        <v>4115</v>
      </c>
      <c r="AD1198" s="13" t="s">
        <v>4116</v>
      </c>
      <c r="AE1198" s="12">
        <v>3.2210986719999998E-3</v>
      </c>
      <c r="AF1198" s="12">
        <v>3.9434345900000001E-2</v>
      </c>
      <c r="AG1198" s="12">
        <v>2.4510000000000001E-3</v>
      </c>
      <c r="AH1198" s="12">
        <v>9.0389601229999995E-4</v>
      </c>
    </row>
    <row r="1199" spans="1:34" ht="14.25">
      <c r="A1199" s="14" t="s">
        <v>4602</v>
      </c>
      <c r="B1199" s="24" t="s">
        <v>2768</v>
      </c>
      <c r="C1199" s="142" t="s">
        <v>2786</v>
      </c>
      <c r="D1199" s="14" t="s">
        <v>2911</v>
      </c>
      <c r="E1199" s="14" t="s">
        <v>4603</v>
      </c>
      <c r="F1199" s="13">
        <v>18.96</v>
      </c>
      <c r="G1199" s="14" t="s">
        <v>3704</v>
      </c>
      <c r="H1199" s="13" t="s">
        <v>2973</v>
      </c>
      <c r="I1199" s="848" t="s">
        <v>4605</v>
      </c>
      <c r="J1199" s="135" t="s">
        <v>4606</v>
      </c>
      <c r="K1199" s="475">
        <v>0.62</v>
      </c>
      <c r="L1199" s="476">
        <v>11.83</v>
      </c>
      <c r="M1199" s="570" t="s">
        <v>1624</v>
      </c>
      <c r="N1199" s="493" t="s">
        <v>2937</v>
      </c>
      <c r="O1199" s="571" t="s">
        <v>4604</v>
      </c>
      <c r="P1199" s="135" t="s">
        <v>3023</v>
      </c>
      <c r="Q1199" s="435" t="s">
        <v>4506</v>
      </c>
      <c r="R1199" s="135">
        <v>12.6</v>
      </c>
      <c r="S1199" s="135">
        <f t="shared" si="1195"/>
        <v>1.49058</v>
      </c>
      <c r="T1199" s="582">
        <f>SUM(R1193:R1199)</f>
        <v>86.86999999999999</v>
      </c>
      <c r="U1199" s="135">
        <f t="shared" si="1111"/>
        <v>14.504431909750203</v>
      </c>
      <c r="V1199" s="476"/>
      <c r="W1199" s="135" t="s">
        <v>410</v>
      </c>
      <c r="X1199">
        <f t="shared" si="1257"/>
        <v>8.9927477840451253</v>
      </c>
      <c r="Y1199" s="220" t="s">
        <v>1666</v>
      </c>
      <c r="Z1199" s="220">
        <f>X1199</f>
        <v>8.9927477840451253</v>
      </c>
      <c r="AA1199" s="792">
        <f>Z1199</f>
        <v>8.9927477840451253</v>
      </c>
      <c r="AB1199" s="458" t="s">
        <v>410</v>
      </c>
      <c r="AC1199" s="13" t="s">
        <v>4508</v>
      </c>
      <c r="AD1199" s="13" t="s">
        <v>4509</v>
      </c>
      <c r="AE1199" s="12">
        <v>3.372204299368619E-2</v>
      </c>
      <c r="AF1199" s="12">
        <v>6.4584205812988751E-2</v>
      </c>
      <c r="AG1199" s="12">
        <v>3.9999999999999998E-6</v>
      </c>
      <c r="AH1199" s="12">
        <v>1.477309663377164E-3</v>
      </c>
    </row>
    <row r="1200" spans="1:34" ht="12.75">
      <c r="A1200" s="617" t="s">
        <v>4602</v>
      </c>
      <c r="B1200" s="799" t="s">
        <v>2768</v>
      </c>
      <c r="C1200" s="799" t="s">
        <v>2786</v>
      </c>
      <c r="D1200" s="617" t="s">
        <v>2911</v>
      </c>
      <c r="E1200" s="617" t="s">
        <v>4603</v>
      </c>
      <c r="F1200" s="799">
        <v>18.96</v>
      </c>
      <c r="G1200" s="617" t="s">
        <v>3704</v>
      </c>
      <c r="H1200" s="799" t="s">
        <v>2973</v>
      </c>
      <c r="I1200" s="617" t="s">
        <v>3013</v>
      </c>
      <c r="J1200" s="617" t="s">
        <v>3104</v>
      </c>
      <c r="K1200" s="838">
        <v>0.12</v>
      </c>
      <c r="L1200" s="725">
        <v>2.27</v>
      </c>
      <c r="M1200" s="911" t="s">
        <v>3105</v>
      </c>
      <c r="N1200" s="911"/>
      <c r="O1200" s="912"/>
      <c r="P1200" s="617" t="s">
        <v>3013</v>
      </c>
      <c r="Q1200" s="520" t="s">
        <v>3014</v>
      </c>
      <c r="R1200" s="617">
        <v>100</v>
      </c>
      <c r="S1200" s="617">
        <f t="shared" si="1195"/>
        <v>2.27</v>
      </c>
      <c r="T1200" s="617">
        <f>SUM(R1200)</f>
        <v>100</v>
      </c>
      <c r="U1200" s="617">
        <f t="shared" si="1111"/>
        <v>100</v>
      </c>
      <c r="V1200" s="725"/>
      <c r="W1200" s="617" t="s">
        <v>88</v>
      </c>
      <c r="X1200" s="617">
        <f t="shared" si="1257"/>
        <v>12</v>
      </c>
      <c r="Y1200" s="725">
        <f t="shared" ref="Y1200:AA1200" si="1264">X1200</f>
        <v>12</v>
      </c>
      <c r="Z1200" s="725">
        <f t="shared" si="1264"/>
        <v>12</v>
      </c>
      <c r="AA1200" s="455">
        <f t="shared" si="1264"/>
        <v>12</v>
      </c>
      <c r="AB1200" s="821" t="s">
        <v>88</v>
      </c>
      <c r="AC1200" s="799" t="s">
        <v>3015</v>
      </c>
      <c r="AD1200" s="799" t="s">
        <v>3016</v>
      </c>
      <c r="AE1200" s="635">
        <v>5.5280749052132698E-2</v>
      </c>
      <c r="AF1200" s="635">
        <v>0.16253532298578199</v>
      </c>
      <c r="AG1200" s="635">
        <v>1.0836239353080568E-3</v>
      </c>
      <c r="AH1200" s="635">
        <v>1.0196349526066351E-2</v>
      </c>
    </row>
    <row r="1201" spans="1:34" ht="14.25">
      <c r="A1201" s="14" t="s">
        <v>4607</v>
      </c>
      <c r="B1201" s="24" t="s">
        <v>2768</v>
      </c>
      <c r="C1201" s="14" t="s">
        <v>2788</v>
      </c>
      <c r="D1201" s="14" t="s">
        <v>2911</v>
      </c>
      <c r="E1201" s="14" t="s">
        <v>4608</v>
      </c>
      <c r="F1201" s="13">
        <v>42</v>
      </c>
      <c r="G1201" s="14" t="s">
        <v>3255</v>
      </c>
      <c r="H1201" s="567" t="s">
        <v>2934</v>
      </c>
      <c r="I1201" s="14" t="s">
        <v>4608</v>
      </c>
      <c r="J1201" s="14" t="s">
        <v>4609</v>
      </c>
      <c r="K1201" s="478">
        <v>1</v>
      </c>
      <c r="L1201" s="220">
        <v>42</v>
      </c>
      <c r="M1201" s="568" t="s">
        <v>4610</v>
      </c>
      <c r="N1201" s="479" t="s">
        <v>2937</v>
      </c>
      <c r="O1201" s="569" t="s">
        <v>2976</v>
      </c>
      <c r="P1201" s="655" t="s">
        <v>3005</v>
      </c>
      <c r="Q1201" s="486" t="s">
        <v>3006</v>
      </c>
      <c r="R1201" s="14">
        <v>24</v>
      </c>
      <c r="S1201" s="14">
        <f t="shared" si="1195"/>
        <v>10.08</v>
      </c>
      <c r="T1201" s="487">
        <f>SUM(R1201:R1232)</f>
        <v>99.449999999999974</v>
      </c>
      <c r="U1201">
        <f t="shared" si="1111"/>
        <v>24.132730015082963</v>
      </c>
      <c r="V1201" s="220">
        <f>U1201*100/SUM(U1201:U1203,U1205:U1232)</f>
        <v>27.133973996608262</v>
      </c>
      <c r="W1201" s="14" t="s">
        <v>2526</v>
      </c>
      <c r="X1201">
        <f t="shared" ref="X1201:X1266" si="1265">V1201*K1201</f>
        <v>27.133973996608262</v>
      </c>
      <c r="Y1201" s="220">
        <f>SUM(X1201,X1220,X1231)</f>
        <v>27.529677784058801</v>
      </c>
      <c r="Z1201" s="220">
        <f>SUM(X1201,X1220)</f>
        <v>27.473148671565866</v>
      </c>
      <c r="AA1201" s="792">
        <f>Z1201</f>
        <v>27.473148671565866</v>
      </c>
      <c r="AB1201" s="18" t="s">
        <v>2526</v>
      </c>
      <c r="AC1201" s="13" t="s">
        <v>215</v>
      </c>
      <c r="AD1201" s="13" t="s">
        <v>3007</v>
      </c>
      <c r="AE1201" s="12">
        <v>5.0851930036188197E-3</v>
      </c>
      <c r="AF1201" s="12">
        <v>5.9995417730640897E-2</v>
      </c>
      <c r="AG1201" s="12">
        <v>3.4699999999999998E-4</v>
      </c>
      <c r="AH1201" s="12">
        <v>2.9762429672480995E-4</v>
      </c>
    </row>
    <row r="1202" spans="1:34" ht="14.25">
      <c r="A1202" s="14" t="s">
        <v>4607</v>
      </c>
      <c r="B1202" s="24" t="s">
        <v>2768</v>
      </c>
      <c r="C1202" s="14" t="s">
        <v>2788</v>
      </c>
      <c r="D1202" s="14" t="s">
        <v>2911</v>
      </c>
      <c r="E1202" s="14" t="s">
        <v>4608</v>
      </c>
      <c r="F1202" s="13">
        <v>42</v>
      </c>
      <c r="G1202" s="14" t="s">
        <v>3255</v>
      </c>
      <c r="H1202" s="567" t="s">
        <v>2934</v>
      </c>
      <c r="I1202" s="14" t="s">
        <v>4608</v>
      </c>
      <c r="J1202" s="14" t="s">
        <v>4609</v>
      </c>
      <c r="K1202" s="478">
        <v>1</v>
      </c>
      <c r="L1202" s="220">
        <v>42</v>
      </c>
      <c r="M1202" s="568" t="s">
        <v>4610</v>
      </c>
      <c r="N1202" s="479" t="s">
        <v>2937</v>
      </c>
      <c r="O1202" s="569" t="s">
        <v>2976</v>
      </c>
      <c r="P1202" s="14" t="s">
        <v>2945</v>
      </c>
      <c r="Q1202" s="435" t="s">
        <v>2946</v>
      </c>
      <c r="R1202" s="14">
        <v>18</v>
      </c>
      <c r="S1202" s="14">
        <f t="shared" si="1195"/>
        <v>7.56</v>
      </c>
      <c r="T1202" s="487">
        <f>SUM(R1201:R1232)</f>
        <v>99.449999999999974</v>
      </c>
      <c r="U1202">
        <f t="shared" si="1111"/>
        <v>18.09954751131222</v>
      </c>
      <c r="V1202" s="220">
        <f>U1202*100/SUM(U1201:U1203,U1205:U1232)</f>
        <v>20.350480497456196</v>
      </c>
      <c r="W1202" s="14" t="s">
        <v>433</v>
      </c>
      <c r="X1202">
        <f t="shared" si="1265"/>
        <v>20.350480497456196</v>
      </c>
      <c r="Y1202" s="220">
        <f t="shared" ref="Y1202:AA1202" si="1266">X1202</f>
        <v>20.350480497456196</v>
      </c>
      <c r="Z1202" s="220">
        <f t="shared" si="1266"/>
        <v>20.350480497456196</v>
      </c>
      <c r="AA1202" s="792">
        <f t="shared" si="1266"/>
        <v>20.350480497456196</v>
      </c>
      <c r="AB1202" s="18" t="s">
        <v>433</v>
      </c>
      <c r="AC1202" s="13" t="s">
        <v>433</v>
      </c>
      <c r="AD1202" s="13" t="s">
        <v>2947</v>
      </c>
      <c r="AE1202" s="12">
        <v>3.0104466724907065E-4</v>
      </c>
      <c r="AF1202" s="12">
        <v>1.2500000000000001E-2</v>
      </c>
      <c r="AG1202" s="12">
        <v>5.1818181818181835E-4</v>
      </c>
      <c r="AH1202" s="12">
        <v>4.0084080366977777E-4</v>
      </c>
    </row>
    <row r="1203" spans="1:34" ht="14.25">
      <c r="A1203" s="14" t="s">
        <v>4607</v>
      </c>
      <c r="B1203" s="24" t="s">
        <v>2768</v>
      </c>
      <c r="C1203" s="14" t="s">
        <v>2788</v>
      </c>
      <c r="D1203" s="14" t="s">
        <v>2911</v>
      </c>
      <c r="E1203" s="14" t="s">
        <v>4608</v>
      </c>
      <c r="F1203" s="13">
        <v>42</v>
      </c>
      <c r="G1203" s="14" t="s">
        <v>3255</v>
      </c>
      <c r="H1203" s="567" t="s">
        <v>2934</v>
      </c>
      <c r="I1203" s="14" t="s">
        <v>4608</v>
      </c>
      <c r="J1203" s="14" t="s">
        <v>4609</v>
      </c>
      <c r="K1203" s="478">
        <v>1</v>
      </c>
      <c r="L1203" s="220">
        <v>42</v>
      </c>
      <c r="M1203" s="568" t="s">
        <v>4610</v>
      </c>
      <c r="N1203" s="479" t="s">
        <v>2937</v>
      </c>
      <c r="O1203" s="569" t="s">
        <v>2976</v>
      </c>
      <c r="P1203" s="14" t="s">
        <v>2962</v>
      </c>
      <c r="Q1203" s="14" t="s">
        <v>4611</v>
      </c>
      <c r="R1203" s="14">
        <v>8</v>
      </c>
      <c r="S1203" s="14">
        <f t="shared" si="1195"/>
        <v>3.36</v>
      </c>
      <c r="T1203" s="487">
        <f>SUM(R1201:R1232)</f>
        <v>99.449999999999974</v>
      </c>
      <c r="U1203">
        <f t="shared" si="1111"/>
        <v>8.044243338360987</v>
      </c>
      <c r="V1203" s="220">
        <f>U1203*100/SUM(U1201:U1203,U1205:U1232)</f>
        <v>9.04465799886942</v>
      </c>
      <c r="W1203" s="14" t="s">
        <v>425</v>
      </c>
      <c r="X1203">
        <f t="shared" si="1265"/>
        <v>9.04465799886942</v>
      </c>
      <c r="Y1203" s="220">
        <f>SUM(X1203,X1229,X1230)</f>
        <v>9.2142453363482204</v>
      </c>
      <c r="Z1203" s="220">
        <f>SUM(X1203,X1229,X1230)</f>
        <v>9.2142453363482204</v>
      </c>
      <c r="AA1203" s="792">
        <f>Z1203</f>
        <v>9.2142453363482204</v>
      </c>
      <c r="AB1203" s="18" t="s">
        <v>425</v>
      </c>
      <c r="AC1203" s="13" t="s">
        <v>2964</v>
      </c>
      <c r="AD1203" s="13" t="s">
        <v>2965</v>
      </c>
      <c r="AE1203" s="12">
        <v>3.8102374934982654E-3</v>
      </c>
      <c r="AF1203" s="12">
        <v>0.20470422547079484</v>
      </c>
      <c r="AG1203" s="12">
        <v>1.210810810810811E-4</v>
      </c>
      <c r="AH1203" s="12">
        <v>1.0002400855855065E-3</v>
      </c>
    </row>
    <row r="1204" spans="1:34" ht="14.25">
      <c r="A1204" s="14" t="s">
        <v>4607</v>
      </c>
      <c r="B1204" s="24" t="s">
        <v>2768</v>
      </c>
      <c r="C1204" s="14" t="s">
        <v>2788</v>
      </c>
      <c r="D1204" s="14" t="s">
        <v>2911</v>
      </c>
      <c r="E1204" s="14" t="s">
        <v>4608</v>
      </c>
      <c r="F1204" s="13">
        <v>42</v>
      </c>
      <c r="G1204" s="14" t="s">
        <v>3255</v>
      </c>
      <c r="H1204" s="567" t="s">
        <v>2934</v>
      </c>
      <c r="I1204" s="14" t="s">
        <v>4608</v>
      </c>
      <c r="J1204" s="14" t="s">
        <v>4609</v>
      </c>
      <c r="K1204" s="478">
        <v>1</v>
      </c>
      <c r="L1204" s="220">
        <v>42</v>
      </c>
      <c r="M1204" s="568" t="s">
        <v>4610</v>
      </c>
      <c r="N1204" s="479" t="s">
        <v>2937</v>
      </c>
      <c r="O1204" s="569" t="s">
        <v>2976</v>
      </c>
      <c r="P1204" s="14" t="s">
        <v>2938</v>
      </c>
      <c r="Q1204" s="435" t="s">
        <v>2939</v>
      </c>
      <c r="R1204" s="14">
        <v>11</v>
      </c>
      <c r="S1204" s="14">
        <f t="shared" si="1195"/>
        <v>4.62</v>
      </c>
      <c r="T1204" s="487">
        <f>SUM(R1201:R1232)</f>
        <v>99.449999999999974</v>
      </c>
      <c r="U1204">
        <f t="shared" si="1111"/>
        <v>11.060834590246358</v>
      </c>
      <c r="V1204" s="481">
        <f>U1204</f>
        <v>11.060834590246358</v>
      </c>
      <c r="W1204" s="482" t="s">
        <v>72</v>
      </c>
      <c r="X1204" s="482">
        <f t="shared" si="1265"/>
        <v>11.060834590246358</v>
      </c>
      <c r="Y1204" s="481">
        <f t="shared" ref="Y1204:AA1204" si="1267">X1204</f>
        <v>11.060834590246358</v>
      </c>
      <c r="Z1204" s="481">
        <f t="shared" si="1267"/>
        <v>11.060834590246358</v>
      </c>
      <c r="AA1204" s="810">
        <f t="shared" si="1267"/>
        <v>11.060834590246358</v>
      </c>
      <c r="AB1204" s="456" t="s">
        <v>72</v>
      </c>
      <c r="AC1204" s="469" t="s">
        <v>2938</v>
      </c>
      <c r="AD1204" s="469" t="s">
        <v>2940</v>
      </c>
      <c r="AE1204" s="457">
        <v>0</v>
      </c>
      <c r="AF1204" s="457">
        <v>0</v>
      </c>
      <c r="AG1204" s="457">
        <v>0</v>
      </c>
      <c r="AH1204" s="457">
        <v>0</v>
      </c>
    </row>
    <row r="1205" spans="1:34" ht="14.25">
      <c r="A1205" s="14" t="s">
        <v>4607</v>
      </c>
      <c r="B1205" s="24" t="s">
        <v>2768</v>
      </c>
      <c r="C1205" s="14" t="s">
        <v>2788</v>
      </c>
      <c r="D1205" s="14" t="s">
        <v>2911</v>
      </c>
      <c r="E1205" s="14" t="s">
        <v>4608</v>
      </c>
      <c r="F1205" s="13">
        <v>42</v>
      </c>
      <c r="G1205" s="14" t="s">
        <v>3255</v>
      </c>
      <c r="H1205" s="567" t="s">
        <v>2934</v>
      </c>
      <c r="I1205" s="14" t="s">
        <v>4608</v>
      </c>
      <c r="J1205" s="14" t="s">
        <v>4609</v>
      </c>
      <c r="K1205" s="478">
        <v>1</v>
      </c>
      <c r="L1205" s="220">
        <v>42</v>
      </c>
      <c r="M1205" s="568" t="s">
        <v>4610</v>
      </c>
      <c r="N1205" s="479" t="s">
        <v>2937</v>
      </c>
      <c r="O1205" s="569" t="s">
        <v>2976</v>
      </c>
      <c r="P1205" s="14" t="s">
        <v>330</v>
      </c>
      <c r="Q1205" s="486" t="s">
        <v>3113</v>
      </c>
      <c r="R1205" s="14">
        <v>7</v>
      </c>
      <c r="S1205" s="14">
        <f t="shared" si="1195"/>
        <v>2.9400000000000004</v>
      </c>
      <c r="T1205" s="487">
        <f>SUM(R1201:R1232)</f>
        <v>99.449999999999974</v>
      </c>
      <c r="U1205">
        <f t="shared" si="1111"/>
        <v>7.0387129210658639</v>
      </c>
      <c r="V1205" s="220">
        <f>U1205*100/SUM(U1201:U1203,U1205:U1232)</f>
        <v>7.9140757490107418</v>
      </c>
      <c r="W1205" s="14" t="s">
        <v>332</v>
      </c>
      <c r="X1205">
        <f t="shared" si="1265"/>
        <v>7.9140757490107418</v>
      </c>
      <c r="Y1205" s="220">
        <f>SUM(X1205,X1206,X1210,X1232)</f>
        <v>19.276427360090452</v>
      </c>
      <c r="Z1205" s="220">
        <f>SUM(X1205,X1206,X1232)</f>
        <v>17.015262860373095</v>
      </c>
      <c r="AA1205" s="792">
        <f>Z1205</f>
        <v>17.015262860373095</v>
      </c>
      <c r="AB1205" s="18" t="s">
        <v>2789</v>
      </c>
      <c r="AC1205" s="13"/>
      <c r="AD1205" s="13"/>
      <c r="AE1205" s="12">
        <v>2.3E-3</v>
      </c>
      <c r="AF1205" s="12">
        <v>4.7879999999999999E-2</v>
      </c>
      <c r="AG1205" s="12">
        <v>9.9999999999999995E-7</v>
      </c>
      <c r="AH1205" s="12">
        <v>4.4092488403675551E-4</v>
      </c>
    </row>
    <row r="1206" spans="1:34" ht="14.25">
      <c r="A1206" s="14" t="s">
        <v>4607</v>
      </c>
      <c r="B1206" s="24" t="s">
        <v>2768</v>
      </c>
      <c r="C1206" s="14" t="s">
        <v>2788</v>
      </c>
      <c r="D1206" s="14" t="s">
        <v>2911</v>
      </c>
      <c r="E1206" s="14" t="s">
        <v>4608</v>
      </c>
      <c r="F1206" s="13">
        <v>42</v>
      </c>
      <c r="G1206" s="14" t="s">
        <v>3255</v>
      </c>
      <c r="H1206" s="567" t="s">
        <v>2934</v>
      </c>
      <c r="I1206" s="14" t="s">
        <v>4608</v>
      </c>
      <c r="J1206" s="14" t="s">
        <v>4609</v>
      </c>
      <c r="K1206" s="478">
        <v>1</v>
      </c>
      <c r="L1206" s="220">
        <v>42</v>
      </c>
      <c r="M1206" s="568" t="s">
        <v>4610</v>
      </c>
      <c r="N1206" s="479" t="s">
        <v>2937</v>
      </c>
      <c r="O1206" s="569" t="s">
        <v>2976</v>
      </c>
      <c r="P1206" s="14" t="s">
        <v>4612</v>
      </c>
      <c r="Q1206" s="486" t="s">
        <v>4613</v>
      </c>
      <c r="R1206" s="14">
        <v>8</v>
      </c>
      <c r="S1206" s="14">
        <f t="shared" si="1195"/>
        <v>3.36</v>
      </c>
      <c r="T1206" s="487">
        <f>SUM(R1201:R1232)</f>
        <v>99.449999999999974</v>
      </c>
      <c r="U1206">
        <f t="shared" si="1111"/>
        <v>8.044243338360987</v>
      </c>
      <c r="V1206" s="220">
        <f>U1206*100/SUM(U1201:U1203,U1205:U1232)</f>
        <v>9.04465799886942</v>
      </c>
      <c r="W1206" s="14" t="s">
        <v>334</v>
      </c>
      <c r="X1206">
        <f t="shared" si="1265"/>
        <v>9.04465799886942</v>
      </c>
      <c r="Y1206" s="220" t="s">
        <v>1666</v>
      </c>
      <c r="Z1206" s="220" t="str">
        <f t="shared" ref="Z1206:AH1206" si="1268">Y1206</f>
        <v>*</v>
      </c>
      <c r="AA1206" s="792" t="str">
        <f t="shared" si="1268"/>
        <v>*</v>
      </c>
      <c r="AB1206" s="466" t="str">
        <f t="shared" si="1268"/>
        <v>*</v>
      </c>
      <c r="AC1206" s="831" t="str">
        <f t="shared" si="1268"/>
        <v>*</v>
      </c>
      <c r="AD1206" s="831" t="str">
        <f t="shared" si="1268"/>
        <v>*</v>
      </c>
      <c r="AE1206" s="454" t="str">
        <f t="shared" si="1268"/>
        <v>*</v>
      </c>
      <c r="AF1206" s="454" t="str">
        <f t="shared" si="1268"/>
        <v>*</v>
      </c>
      <c r="AG1206" s="454" t="str">
        <f t="shared" si="1268"/>
        <v>*</v>
      </c>
      <c r="AH1206" s="454" t="str">
        <f t="shared" si="1268"/>
        <v>*</v>
      </c>
    </row>
    <row r="1207" spans="1:34" ht="14.25">
      <c r="A1207" s="14" t="s">
        <v>4607</v>
      </c>
      <c r="B1207" s="24" t="s">
        <v>2768</v>
      </c>
      <c r="C1207" s="14" t="s">
        <v>2788</v>
      </c>
      <c r="D1207" s="14" t="s">
        <v>2911</v>
      </c>
      <c r="E1207" s="14" t="s">
        <v>4608</v>
      </c>
      <c r="F1207" s="13">
        <v>42</v>
      </c>
      <c r="G1207" s="14" t="s">
        <v>3255</v>
      </c>
      <c r="H1207" s="567" t="s">
        <v>2934</v>
      </c>
      <c r="I1207" s="14" t="s">
        <v>4608</v>
      </c>
      <c r="J1207" s="14" t="s">
        <v>4609</v>
      </c>
      <c r="K1207" s="478">
        <v>1</v>
      </c>
      <c r="L1207" s="220">
        <v>42</v>
      </c>
      <c r="M1207" s="568" t="s">
        <v>4610</v>
      </c>
      <c r="N1207" s="479" t="s">
        <v>2937</v>
      </c>
      <c r="O1207" s="569" t="s">
        <v>2976</v>
      </c>
      <c r="P1207" s="14" t="s">
        <v>3021</v>
      </c>
      <c r="Q1207" s="491" t="s">
        <v>3022</v>
      </c>
      <c r="R1207" s="14">
        <v>3</v>
      </c>
      <c r="S1207" s="14">
        <f t="shared" si="1195"/>
        <v>1.26</v>
      </c>
      <c r="T1207" s="487">
        <f>SUM(R1201:R1232)</f>
        <v>99.449999999999974</v>
      </c>
      <c r="U1207">
        <f t="shared" si="1111"/>
        <v>3.0165912518853704</v>
      </c>
      <c r="V1207" s="220">
        <f>U1207*100/SUM(U1201:U1203,U1205:U1232)</f>
        <v>3.3917467495760327</v>
      </c>
      <c r="W1207" s="14" t="s">
        <v>346</v>
      </c>
      <c r="X1207">
        <f t="shared" si="1265"/>
        <v>3.3917467495760327</v>
      </c>
      <c r="Y1207" s="220">
        <f>SUM(X1207,X1208,X1226,X1213,X1218)</f>
        <v>7.9706048615036762</v>
      </c>
      <c r="Z1207" s="220">
        <f>SUM(X1207,X1208,X1218,X1226)</f>
        <v>5.7094403617863208</v>
      </c>
      <c r="AA1207" s="792">
        <f>Z1207</f>
        <v>5.7094403617863208</v>
      </c>
      <c r="AB1207" s="18" t="s">
        <v>2790</v>
      </c>
      <c r="AC1207" s="13" t="s">
        <v>2982</v>
      </c>
      <c r="AD1207" s="13" t="s">
        <v>2983</v>
      </c>
      <c r="AE1207" s="12">
        <v>2.9691872042618299E-2</v>
      </c>
      <c r="AF1207" s="12">
        <v>7.5368545517799299E-2</v>
      </c>
      <c r="AG1207" s="12">
        <v>2.9014018691588786E-4</v>
      </c>
      <c r="AH1207" s="12">
        <v>1.4770983615231311E-3</v>
      </c>
    </row>
    <row r="1208" spans="1:34" ht="14.25">
      <c r="A1208" s="14" t="s">
        <v>4607</v>
      </c>
      <c r="B1208" s="24" t="s">
        <v>2768</v>
      </c>
      <c r="C1208" s="14" t="s">
        <v>2788</v>
      </c>
      <c r="D1208" s="14" t="s">
        <v>2911</v>
      </c>
      <c r="E1208" s="14" t="s">
        <v>4608</v>
      </c>
      <c r="F1208" s="13">
        <v>42</v>
      </c>
      <c r="G1208" s="14" t="s">
        <v>3255</v>
      </c>
      <c r="H1208" s="567" t="s">
        <v>2934</v>
      </c>
      <c r="I1208" s="14" t="s">
        <v>4608</v>
      </c>
      <c r="J1208" s="14" t="s">
        <v>4609</v>
      </c>
      <c r="K1208" s="478">
        <v>1</v>
      </c>
      <c r="L1208" s="220">
        <v>42</v>
      </c>
      <c r="M1208" s="568" t="s">
        <v>4610</v>
      </c>
      <c r="N1208" s="479" t="s">
        <v>2937</v>
      </c>
      <c r="O1208" s="569" t="s">
        <v>2976</v>
      </c>
      <c r="P1208" s="489" t="s">
        <v>2980</v>
      </c>
      <c r="Q1208" s="486" t="s">
        <v>4127</v>
      </c>
      <c r="R1208" s="14">
        <f t="shared" ref="R1208:R1209" si="1269">2/2</f>
        <v>1</v>
      </c>
      <c r="S1208" s="14">
        <f t="shared" si="1195"/>
        <v>0.42</v>
      </c>
      <c r="T1208" s="487">
        <f>SUM(R1201:R1232)</f>
        <v>99.449999999999974</v>
      </c>
      <c r="U1208">
        <f t="shared" si="1111"/>
        <v>1.0055304172951234</v>
      </c>
      <c r="V1208" s="220">
        <f>U1208*100/SUM(U1201:U1203,U1205:U1232)</f>
        <v>1.1305822498586775</v>
      </c>
      <c r="W1208" s="14" t="s">
        <v>349</v>
      </c>
      <c r="X1208">
        <f t="shared" si="1265"/>
        <v>1.1305822498586775</v>
      </c>
      <c r="Y1208" s="220" t="s">
        <v>1666</v>
      </c>
      <c r="Z1208" s="220" t="str">
        <f t="shared" ref="Z1208:AH1208" si="1270">Y1208</f>
        <v>*</v>
      </c>
      <c r="AA1208" s="792" t="str">
        <f t="shared" si="1270"/>
        <v>*</v>
      </c>
      <c r="AB1208" s="466" t="str">
        <f t="shared" si="1270"/>
        <v>*</v>
      </c>
      <c r="AC1208" s="831" t="str">
        <f t="shared" si="1270"/>
        <v>*</v>
      </c>
      <c r="AD1208" s="831" t="str">
        <f t="shared" si="1270"/>
        <v>*</v>
      </c>
      <c r="AE1208" s="454" t="str">
        <f t="shared" si="1270"/>
        <v>*</v>
      </c>
      <c r="AF1208" s="454" t="str">
        <f t="shared" si="1270"/>
        <v>*</v>
      </c>
      <c r="AG1208" s="454" t="str">
        <f t="shared" si="1270"/>
        <v>*</v>
      </c>
      <c r="AH1208" s="454" t="str">
        <f t="shared" si="1270"/>
        <v>*</v>
      </c>
    </row>
    <row r="1209" spans="1:34" ht="14.25">
      <c r="A1209" s="14" t="s">
        <v>4607</v>
      </c>
      <c r="B1209" s="24" t="s">
        <v>2768</v>
      </c>
      <c r="C1209" s="14" t="s">
        <v>2788</v>
      </c>
      <c r="D1209" s="14" t="s">
        <v>2911</v>
      </c>
      <c r="E1209" s="14" t="s">
        <v>4608</v>
      </c>
      <c r="F1209" s="13">
        <v>42</v>
      </c>
      <c r="G1209" s="14" t="s">
        <v>3255</v>
      </c>
      <c r="H1209" s="567" t="s">
        <v>2934</v>
      </c>
      <c r="I1209" s="14" t="s">
        <v>4608</v>
      </c>
      <c r="J1209" s="14" t="s">
        <v>4609</v>
      </c>
      <c r="K1209" s="478">
        <v>1</v>
      </c>
      <c r="L1209" s="220">
        <v>42</v>
      </c>
      <c r="M1209" s="568" t="s">
        <v>4610</v>
      </c>
      <c r="N1209" s="479" t="s">
        <v>2937</v>
      </c>
      <c r="O1209" s="569" t="s">
        <v>2976</v>
      </c>
      <c r="P1209" s="490" t="s">
        <v>2980</v>
      </c>
      <c r="Q1209" s="491" t="s">
        <v>4366</v>
      </c>
      <c r="R1209" s="14">
        <f t="shared" si="1269"/>
        <v>1</v>
      </c>
      <c r="S1209" s="14">
        <f t="shared" si="1195"/>
        <v>0.42</v>
      </c>
      <c r="T1209" s="487">
        <f>SUM(R1201:R1232)</f>
        <v>99.449999999999974</v>
      </c>
      <c r="U1209">
        <f t="shared" si="1111"/>
        <v>1.0055304172951234</v>
      </c>
      <c r="V1209" s="220">
        <f>U1209*100/SUM(U1201:U1203,U1205:U1232)</f>
        <v>1.1305822498586775</v>
      </c>
      <c r="W1209" s="14" t="s">
        <v>2521</v>
      </c>
      <c r="X1209">
        <f t="shared" si="1265"/>
        <v>1.1305822498586775</v>
      </c>
      <c r="Y1209" s="499">
        <f>SUM(X1209,X1227)</f>
        <v>1.1871113623516114</v>
      </c>
      <c r="Z1209" s="220">
        <f t="shared" ref="Z1209:AA1209" si="1271">Y1209</f>
        <v>1.1871113623516114</v>
      </c>
      <c r="AA1209" s="792">
        <f t="shared" si="1271"/>
        <v>1.1871113623516114</v>
      </c>
      <c r="AB1209" s="466" t="s">
        <v>324</v>
      </c>
      <c r="AC1209" s="13" t="s">
        <v>18</v>
      </c>
      <c r="AD1209" s="13" t="s">
        <v>3144</v>
      </c>
      <c r="AE1209" s="12">
        <v>1.0652903141570055E-3</v>
      </c>
      <c r="AF1209" s="12">
        <v>1.7273631840796021E-2</v>
      </c>
      <c r="AG1209" s="12">
        <v>1.3582399999999999E-4</v>
      </c>
      <c r="AH1209" s="12">
        <v>2.14E-3</v>
      </c>
    </row>
    <row r="1210" spans="1:34" ht="14.25">
      <c r="A1210" s="14" t="s">
        <v>4607</v>
      </c>
      <c r="B1210" s="24" t="s">
        <v>2768</v>
      </c>
      <c r="C1210" s="14" t="s">
        <v>2788</v>
      </c>
      <c r="D1210" s="14" t="s">
        <v>2911</v>
      </c>
      <c r="E1210" s="14" t="s">
        <v>4608</v>
      </c>
      <c r="F1210" s="13">
        <v>42</v>
      </c>
      <c r="G1210" s="14" t="s">
        <v>3255</v>
      </c>
      <c r="H1210" s="567" t="s">
        <v>2934</v>
      </c>
      <c r="I1210" s="14" t="s">
        <v>4608</v>
      </c>
      <c r="J1210" s="14" t="s">
        <v>4609</v>
      </c>
      <c r="K1210" s="478">
        <v>1</v>
      </c>
      <c r="L1210" s="220">
        <v>42</v>
      </c>
      <c r="M1210" s="568" t="s">
        <v>4610</v>
      </c>
      <c r="N1210" s="479" t="s">
        <v>2937</v>
      </c>
      <c r="O1210" s="569" t="s">
        <v>2976</v>
      </c>
      <c r="P1210" s="655" t="s">
        <v>2985</v>
      </c>
      <c r="Q1210" s="486" t="s">
        <v>2968</v>
      </c>
      <c r="R1210" s="14">
        <v>2</v>
      </c>
      <c r="S1210" s="14">
        <f t="shared" si="1195"/>
        <v>0.84</v>
      </c>
      <c r="T1210" s="487">
        <f>SUM(R1201:R1232)</f>
        <v>99.449999999999974</v>
      </c>
      <c r="U1210">
        <f t="shared" si="1111"/>
        <v>2.0110608345902468</v>
      </c>
      <c r="V1210" s="220">
        <f>U1210*100/SUM(U1201:U1203,U1205:U1232)</f>
        <v>2.261164499717355</v>
      </c>
      <c r="W1210" s="14" t="s">
        <v>2522</v>
      </c>
      <c r="X1210">
        <f t="shared" si="1265"/>
        <v>2.261164499717355</v>
      </c>
      <c r="Y1210" s="220" t="s">
        <v>1666</v>
      </c>
      <c r="Z1210" s="220">
        <f t="shared" ref="Z1210:Z1213" si="1272">X1210</f>
        <v>2.261164499717355</v>
      </c>
      <c r="AA1210" s="792">
        <f t="shared" ref="AA1210:AA1214" si="1273">Z1210</f>
        <v>2.261164499717355</v>
      </c>
      <c r="AB1210" s="18" t="s">
        <v>2791</v>
      </c>
      <c r="AC1210" s="13"/>
      <c r="AD1210" s="13"/>
      <c r="AE1210" s="12">
        <v>1.7000000000000001E-2</v>
      </c>
      <c r="AF1210" s="12">
        <v>3.15E-2</v>
      </c>
      <c r="AG1210" s="12">
        <v>9.9999999999999995E-7</v>
      </c>
      <c r="AH1210" s="12">
        <v>9.0389601227534877E-4</v>
      </c>
    </row>
    <row r="1211" spans="1:34" ht="14.25">
      <c r="A1211" s="14" t="s">
        <v>4607</v>
      </c>
      <c r="B1211" s="24" t="s">
        <v>2768</v>
      </c>
      <c r="C1211" s="14" t="s">
        <v>2788</v>
      </c>
      <c r="D1211" s="14" t="s">
        <v>2911</v>
      </c>
      <c r="E1211" s="14" t="s">
        <v>4608</v>
      </c>
      <c r="F1211" s="13">
        <v>42</v>
      </c>
      <c r="G1211" s="14" t="s">
        <v>3255</v>
      </c>
      <c r="H1211" s="567" t="s">
        <v>2934</v>
      </c>
      <c r="I1211" s="14" t="s">
        <v>4608</v>
      </c>
      <c r="J1211" s="14" t="s">
        <v>4609</v>
      </c>
      <c r="K1211" s="478">
        <v>1</v>
      </c>
      <c r="L1211" s="220">
        <v>42</v>
      </c>
      <c r="M1211" s="568" t="s">
        <v>4610</v>
      </c>
      <c r="N1211" s="479" t="s">
        <v>2937</v>
      </c>
      <c r="O1211" s="569" t="s">
        <v>2976</v>
      </c>
      <c r="P1211" s="14" t="s">
        <v>2992</v>
      </c>
      <c r="Q1211" s="486" t="s">
        <v>2966</v>
      </c>
      <c r="R1211" s="14">
        <v>2</v>
      </c>
      <c r="S1211" s="14">
        <f t="shared" si="1195"/>
        <v>0.84</v>
      </c>
      <c r="T1211" s="487">
        <f>SUM(R1201:R1232)</f>
        <v>99.449999999999974</v>
      </c>
      <c r="U1211">
        <f t="shared" si="1111"/>
        <v>2.0110608345902468</v>
      </c>
      <c r="V1211" s="220">
        <f>U1211*100/SUM(U1201:U1203,U1205:U1232)</f>
        <v>2.261164499717355</v>
      </c>
      <c r="W1211" s="14" t="s">
        <v>319</v>
      </c>
      <c r="X1211">
        <f t="shared" si="1265"/>
        <v>2.261164499717355</v>
      </c>
      <c r="Y1211" s="220">
        <f>X1211</f>
        <v>2.261164499717355</v>
      </c>
      <c r="Z1211" s="220">
        <f t="shared" si="1272"/>
        <v>2.261164499717355</v>
      </c>
      <c r="AA1211" s="792">
        <f t="shared" si="1273"/>
        <v>2.261164499717355</v>
      </c>
      <c r="AB1211" s="466" t="s">
        <v>319</v>
      </c>
      <c r="AC1211" s="13" t="s">
        <v>18</v>
      </c>
      <c r="AD1211" s="13" t="s">
        <v>2967</v>
      </c>
      <c r="AE1211" s="12">
        <v>1.4285714285714287E-2</v>
      </c>
      <c r="AF1211" s="12">
        <v>6.2E-2</v>
      </c>
      <c r="AG1211" s="12">
        <v>3.0000000000000001E-6</v>
      </c>
      <c r="AH1211" s="12">
        <v>8.9999999999999998E-4</v>
      </c>
    </row>
    <row r="1212" spans="1:34" ht="14.25">
      <c r="A1212" s="14" t="s">
        <v>4607</v>
      </c>
      <c r="B1212" s="24" t="s">
        <v>2768</v>
      </c>
      <c r="C1212" s="14" t="s">
        <v>2788</v>
      </c>
      <c r="D1212" s="14" t="s">
        <v>2911</v>
      </c>
      <c r="E1212" s="14" t="s">
        <v>4608</v>
      </c>
      <c r="F1212" s="13">
        <v>42</v>
      </c>
      <c r="G1212" s="14" t="s">
        <v>3255</v>
      </c>
      <c r="H1212" s="567" t="s">
        <v>2934</v>
      </c>
      <c r="I1212" s="14" t="s">
        <v>4608</v>
      </c>
      <c r="J1212" s="14" t="s">
        <v>4609</v>
      </c>
      <c r="K1212" s="478">
        <v>1</v>
      </c>
      <c r="L1212" s="220">
        <v>42</v>
      </c>
      <c r="M1212" s="568" t="s">
        <v>4610</v>
      </c>
      <c r="N1212" s="479" t="s">
        <v>2937</v>
      </c>
      <c r="O1212" s="569" t="s">
        <v>2976</v>
      </c>
      <c r="P1212" s="14" t="s">
        <v>2912</v>
      </c>
      <c r="Q1212" s="435" t="s">
        <v>2915</v>
      </c>
      <c r="R1212" s="14">
        <v>2</v>
      </c>
      <c r="S1212" s="14">
        <f t="shared" si="1195"/>
        <v>0.84</v>
      </c>
      <c r="T1212" s="487">
        <f>SUM(R1201:R1232)</f>
        <v>99.449999999999974</v>
      </c>
      <c r="U1212">
        <f t="shared" si="1111"/>
        <v>2.0110608345902468</v>
      </c>
      <c r="V1212" s="220">
        <f>U1212*100/SUM(U1201:U1203,U1205:U1232)</f>
        <v>2.261164499717355</v>
      </c>
      <c r="W1212" s="14" t="s">
        <v>124</v>
      </c>
      <c r="X1212">
        <f t="shared" si="1265"/>
        <v>2.261164499717355</v>
      </c>
      <c r="Y1212" s="220">
        <f>SUM(X1212,X1222)</f>
        <v>3.3917467495760327</v>
      </c>
      <c r="Z1212" s="220">
        <f t="shared" si="1272"/>
        <v>2.261164499717355</v>
      </c>
      <c r="AA1212" s="792">
        <f t="shared" si="1273"/>
        <v>2.261164499717355</v>
      </c>
      <c r="AB1212" s="466" t="s">
        <v>124</v>
      </c>
      <c r="AC1212" s="13" t="s">
        <v>877</v>
      </c>
      <c r="AD1212" s="14" t="s">
        <v>2916</v>
      </c>
      <c r="AE1212" s="12">
        <v>3.9416473933649287E-3</v>
      </c>
      <c r="AF1212" s="12">
        <v>1.1589150710900475E-2</v>
      </c>
      <c r="AG1212" s="12">
        <v>7.7264934597156404E-5</v>
      </c>
      <c r="AH1212" s="12">
        <v>7.2702369668246447E-4</v>
      </c>
    </row>
    <row r="1213" spans="1:34" ht="14.25">
      <c r="A1213" s="14" t="s">
        <v>4607</v>
      </c>
      <c r="B1213" s="24" t="s">
        <v>2768</v>
      </c>
      <c r="C1213" s="14" t="s">
        <v>2788</v>
      </c>
      <c r="D1213" s="14" t="s">
        <v>2911</v>
      </c>
      <c r="E1213" s="14" t="s">
        <v>4608</v>
      </c>
      <c r="F1213" s="13">
        <v>42</v>
      </c>
      <c r="G1213" s="14" t="s">
        <v>3255</v>
      </c>
      <c r="H1213" s="567" t="s">
        <v>2934</v>
      </c>
      <c r="I1213" s="14" t="s">
        <v>4608</v>
      </c>
      <c r="J1213" s="14" t="s">
        <v>4609</v>
      </c>
      <c r="K1213" s="478">
        <v>1</v>
      </c>
      <c r="L1213" s="220">
        <v>42</v>
      </c>
      <c r="M1213" s="568" t="s">
        <v>4610</v>
      </c>
      <c r="N1213" s="479" t="s">
        <v>2937</v>
      </c>
      <c r="O1213" s="569" t="s">
        <v>2976</v>
      </c>
      <c r="P1213" s="14" t="s">
        <v>2948</v>
      </c>
      <c r="Q1213" s="14" t="s">
        <v>2949</v>
      </c>
      <c r="R1213" s="14">
        <v>2</v>
      </c>
      <c r="S1213" s="14">
        <f t="shared" si="1195"/>
        <v>0.84</v>
      </c>
      <c r="T1213" s="487">
        <f>SUM(R1201:R1232)</f>
        <v>99.449999999999974</v>
      </c>
      <c r="U1213">
        <f t="shared" si="1111"/>
        <v>2.0110608345902468</v>
      </c>
      <c r="V1213" s="220">
        <f>U1213*100/SUM(U1201:U1203,U1205:U1232)</f>
        <v>2.261164499717355</v>
      </c>
      <c r="W1213" s="14" t="s">
        <v>305</v>
      </c>
      <c r="X1213">
        <f t="shared" si="1265"/>
        <v>2.261164499717355</v>
      </c>
      <c r="Y1213" s="220" t="s">
        <v>1666</v>
      </c>
      <c r="Z1213" s="220">
        <f t="shared" si="1272"/>
        <v>2.261164499717355</v>
      </c>
      <c r="AA1213" s="792">
        <f t="shared" si="1273"/>
        <v>2.261164499717355</v>
      </c>
      <c r="AB1213" s="18" t="s">
        <v>2684</v>
      </c>
      <c r="AC1213" s="13" t="s">
        <v>3485</v>
      </c>
      <c r="AD1213" s="13" t="s">
        <v>2944</v>
      </c>
      <c r="AE1213" s="12">
        <v>4.7062756261925113E-3</v>
      </c>
      <c r="AF1213" s="12">
        <v>3.8210906557435767E-2</v>
      </c>
      <c r="AG1213" s="12">
        <v>8.2999999999999998E-5</v>
      </c>
      <c r="AH1213" s="12">
        <v>5.9908272287602653E-4</v>
      </c>
    </row>
    <row r="1214" spans="1:34" ht="14.25">
      <c r="A1214" s="14" t="s">
        <v>4607</v>
      </c>
      <c r="B1214" s="24" t="s">
        <v>2768</v>
      </c>
      <c r="C1214" s="14" t="s">
        <v>2788</v>
      </c>
      <c r="D1214" s="14" t="s">
        <v>2911</v>
      </c>
      <c r="E1214" s="14" t="s">
        <v>4608</v>
      </c>
      <c r="F1214" s="13">
        <v>42</v>
      </c>
      <c r="G1214" s="14" t="s">
        <v>3255</v>
      </c>
      <c r="H1214" s="567" t="s">
        <v>2934</v>
      </c>
      <c r="I1214" s="14" t="s">
        <v>4608</v>
      </c>
      <c r="J1214" s="14" t="s">
        <v>4609</v>
      </c>
      <c r="K1214" s="478">
        <v>1</v>
      </c>
      <c r="L1214" s="220">
        <v>42</v>
      </c>
      <c r="M1214" s="568" t="s">
        <v>4610</v>
      </c>
      <c r="N1214" s="479" t="s">
        <v>2937</v>
      </c>
      <c r="O1214" s="569" t="s">
        <v>2976</v>
      </c>
      <c r="P1214" s="14" t="s">
        <v>3017</v>
      </c>
      <c r="Q1214" s="486" t="s">
        <v>3018</v>
      </c>
      <c r="R1214" s="14">
        <v>1.5</v>
      </c>
      <c r="S1214" s="14">
        <f t="shared" si="1195"/>
        <v>0.63</v>
      </c>
      <c r="T1214" s="487">
        <f>SUM(R1201:R1232)</f>
        <v>99.449999999999974</v>
      </c>
      <c r="U1214">
        <f t="shared" si="1111"/>
        <v>1.5082956259426852</v>
      </c>
      <c r="V1214" s="220">
        <f>U1214*100/SUM(U1201:U1203,U1205:U1232)</f>
        <v>1.6958733747880164</v>
      </c>
      <c r="W1214" s="14" t="s">
        <v>2792</v>
      </c>
      <c r="X1214">
        <f t="shared" si="1265"/>
        <v>1.6958733747880164</v>
      </c>
      <c r="Y1214" s="220">
        <f>SUM(X1214,X1224)</f>
        <v>2.261164499717355</v>
      </c>
      <c r="Z1214" s="220">
        <f>SUM(X1214,X1224)</f>
        <v>2.261164499717355</v>
      </c>
      <c r="AA1214" s="792">
        <f t="shared" si="1273"/>
        <v>2.261164499717355</v>
      </c>
      <c r="AB1214" s="466" t="s">
        <v>2792</v>
      </c>
      <c r="AC1214" s="831" t="s">
        <v>138</v>
      </c>
      <c r="AD1214" s="831" t="s">
        <v>3019</v>
      </c>
      <c r="AE1214" s="12">
        <v>4.0165275294130297E-3</v>
      </c>
      <c r="AF1214" s="12">
        <v>3.2725331200335404E-2</v>
      </c>
      <c r="AG1214" s="12">
        <v>2.4399999999999999E-4</v>
      </c>
      <c r="AH1214" s="12">
        <v>2.0392735E-3</v>
      </c>
    </row>
    <row r="1215" spans="1:34" ht="14.25">
      <c r="A1215" s="14" t="s">
        <v>4607</v>
      </c>
      <c r="B1215" s="24" t="s">
        <v>2768</v>
      </c>
      <c r="C1215" s="14" t="s">
        <v>2788</v>
      </c>
      <c r="D1215" s="14" t="s">
        <v>2911</v>
      </c>
      <c r="E1215" s="14" t="s">
        <v>4608</v>
      </c>
      <c r="F1215" s="13">
        <v>42</v>
      </c>
      <c r="G1215" s="14" t="s">
        <v>3255</v>
      </c>
      <c r="H1215" s="567" t="s">
        <v>2934</v>
      </c>
      <c r="I1215" s="14" t="s">
        <v>4608</v>
      </c>
      <c r="J1215" s="14" t="s">
        <v>4609</v>
      </c>
      <c r="K1215" s="478">
        <v>1</v>
      </c>
      <c r="L1215" s="220">
        <v>42</v>
      </c>
      <c r="M1215" s="568" t="s">
        <v>4610</v>
      </c>
      <c r="N1215" s="479" t="s">
        <v>2937</v>
      </c>
      <c r="O1215" s="569" t="s">
        <v>2976</v>
      </c>
      <c r="P1215" s="14" t="s">
        <v>421</v>
      </c>
      <c r="Q1215" s="435" t="s">
        <v>2952</v>
      </c>
      <c r="R1215" s="14">
        <v>0.9</v>
      </c>
      <c r="S1215" s="14">
        <f t="shared" si="1195"/>
        <v>0.37800000000000006</v>
      </c>
      <c r="T1215" s="487">
        <f>SUM(R1201:R1232)</f>
        <v>99.449999999999974</v>
      </c>
      <c r="U1215">
        <f t="shared" si="1111"/>
        <v>0.90497737556561109</v>
      </c>
      <c r="V1215" s="220">
        <f>U1215*100/SUM(U1201:U1203,U1205:U1232)</f>
        <v>1.0175240248728097</v>
      </c>
      <c r="W1215" s="14" t="s">
        <v>421</v>
      </c>
      <c r="X1215">
        <f t="shared" si="1265"/>
        <v>1.0175240248728097</v>
      </c>
      <c r="Y1215" s="499">
        <f t="shared" ref="Y1215:AA1215" si="1274">X1215</f>
        <v>1.0175240248728097</v>
      </c>
      <c r="Z1215" s="220">
        <f t="shared" si="1274"/>
        <v>1.0175240248728097</v>
      </c>
      <c r="AA1215" s="792">
        <f t="shared" si="1274"/>
        <v>1.0175240248728097</v>
      </c>
      <c r="AB1215" s="466" t="s">
        <v>421</v>
      </c>
      <c r="AC1215" s="14" t="s">
        <v>2953</v>
      </c>
      <c r="AD1215" s="14" t="s">
        <v>2954</v>
      </c>
      <c r="AE1215" s="12">
        <v>3.372204299368619E-2</v>
      </c>
      <c r="AF1215" s="12">
        <v>6.4584205812988751E-2</v>
      </c>
      <c r="AG1215" s="12">
        <v>3.9999999999999998E-6</v>
      </c>
      <c r="AH1215" s="12">
        <v>1.477309663377164E-3</v>
      </c>
    </row>
    <row r="1216" spans="1:34" ht="14.25">
      <c r="A1216" s="14" t="s">
        <v>4607</v>
      </c>
      <c r="B1216" s="24" t="s">
        <v>2768</v>
      </c>
      <c r="C1216" s="14" t="s">
        <v>2788</v>
      </c>
      <c r="D1216" s="14" t="s">
        <v>2911</v>
      </c>
      <c r="E1216" s="14" t="s">
        <v>4608</v>
      </c>
      <c r="F1216" s="13">
        <v>42</v>
      </c>
      <c r="G1216" s="14" t="s">
        <v>3255</v>
      </c>
      <c r="H1216" s="567" t="s">
        <v>2934</v>
      </c>
      <c r="I1216" s="14" t="s">
        <v>4608</v>
      </c>
      <c r="J1216" s="14" t="s">
        <v>4609</v>
      </c>
      <c r="K1216" s="478">
        <v>1</v>
      </c>
      <c r="L1216" s="220">
        <v>42</v>
      </c>
      <c r="M1216" s="568" t="s">
        <v>4610</v>
      </c>
      <c r="N1216" s="479" t="s">
        <v>2937</v>
      </c>
      <c r="O1216" s="569" t="s">
        <v>2976</v>
      </c>
      <c r="P1216" s="14" t="s">
        <v>4240</v>
      </c>
      <c r="Q1216" s="486" t="s">
        <v>4614</v>
      </c>
      <c r="R1216" s="14">
        <v>1</v>
      </c>
      <c r="S1216" s="14">
        <f t="shared" si="1195"/>
        <v>0.42</v>
      </c>
      <c r="T1216" s="487">
        <f>SUM(R1201:R1232)</f>
        <v>99.449999999999974</v>
      </c>
      <c r="U1216">
        <f t="shared" si="1111"/>
        <v>1.0055304172951234</v>
      </c>
      <c r="V1216" s="220">
        <f>U1216*100/SUM(U1201:U1203,U1205:U1232)</f>
        <v>1.1305822498586775</v>
      </c>
      <c r="W1216" s="14" t="s">
        <v>4242</v>
      </c>
      <c r="X1216">
        <f t="shared" si="1265"/>
        <v>1.1305822498586775</v>
      </c>
      <c r="Y1216" s="499">
        <f>SUM(X1216:X1217)</f>
        <v>1.6958733747880164</v>
      </c>
      <c r="Z1216" s="220">
        <f t="shared" ref="Z1216:AA1216" si="1275">Y1216</f>
        <v>1.6958733747880164</v>
      </c>
      <c r="AA1216" s="792">
        <f t="shared" si="1275"/>
        <v>1.6958733747880164</v>
      </c>
      <c r="AB1216" s="467" t="s">
        <v>2793</v>
      </c>
      <c r="AC1216" s="932" t="s">
        <v>3174</v>
      </c>
      <c r="AD1216" s="932" t="s">
        <v>3174</v>
      </c>
      <c r="AE1216" s="461">
        <v>2.2073766211046637E-2</v>
      </c>
      <c r="AF1216" s="461">
        <v>8.7246004352723297E-2</v>
      </c>
      <c r="AG1216" s="461">
        <v>5.8202330775582959E-4</v>
      </c>
      <c r="AH1216" s="461">
        <v>2.670351142205461E-3</v>
      </c>
    </row>
    <row r="1217" spans="1:34" ht="14.25">
      <c r="A1217" s="14" t="s">
        <v>4607</v>
      </c>
      <c r="B1217" s="24" t="s">
        <v>2768</v>
      </c>
      <c r="C1217" s="14" t="s">
        <v>2788</v>
      </c>
      <c r="D1217" s="14" t="s">
        <v>2911</v>
      </c>
      <c r="E1217" s="14" t="s">
        <v>4608</v>
      </c>
      <c r="F1217" s="13">
        <v>42</v>
      </c>
      <c r="G1217" s="14" t="s">
        <v>3255</v>
      </c>
      <c r="H1217" s="567" t="s">
        <v>2934</v>
      </c>
      <c r="I1217" s="14" t="s">
        <v>4608</v>
      </c>
      <c r="J1217" s="14" t="s">
        <v>4609</v>
      </c>
      <c r="K1217" s="478">
        <v>1</v>
      </c>
      <c r="L1217" s="220">
        <v>42</v>
      </c>
      <c r="M1217" s="568" t="s">
        <v>4610</v>
      </c>
      <c r="N1217" s="479" t="s">
        <v>2937</v>
      </c>
      <c r="O1217" s="569" t="s">
        <v>2976</v>
      </c>
      <c r="P1217" s="14" t="s">
        <v>4237</v>
      </c>
      <c r="Q1217" s="486" t="s">
        <v>4615</v>
      </c>
      <c r="R1217" s="14">
        <v>0.5</v>
      </c>
      <c r="S1217" s="14">
        <f t="shared" si="1195"/>
        <v>0.21</v>
      </c>
      <c r="T1217" s="487">
        <f>SUM(R1201:R1232)</f>
        <v>99.449999999999974</v>
      </c>
      <c r="U1217">
        <f t="shared" si="1111"/>
        <v>0.50276520864756169</v>
      </c>
      <c r="V1217" s="220">
        <f>U1217*100/SUM(U1201:U1203,U1205:U1232)</f>
        <v>0.56529112492933875</v>
      </c>
      <c r="W1217" s="14" t="s">
        <v>4239</v>
      </c>
      <c r="X1217">
        <f t="shared" si="1265"/>
        <v>0.56529112492933875</v>
      </c>
      <c r="Y1217" s="220" t="s">
        <v>1624</v>
      </c>
      <c r="Z1217" s="220" t="str">
        <f t="shared" ref="Z1217:AH1217" si="1276">Y1217</f>
        <v>-</v>
      </c>
      <c r="AA1217" s="792" t="str">
        <f t="shared" si="1276"/>
        <v>-</v>
      </c>
      <c r="AB1217" s="466" t="str">
        <f t="shared" si="1276"/>
        <v>-</v>
      </c>
      <c r="AC1217" s="831" t="str">
        <f t="shared" si="1276"/>
        <v>-</v>
      </c>
      <c r="AD1217" s="831" t="str">
        <f t="shared" si="1276"/>
        <v>-</v>
      </c>
      <c r="AE1217" s="454" t="str">
        <f t="shared" si="1276"/>
        <v>-</v>
      </c>
      <c r="AF1217" s="454" t="str">
        <f t="shared" si="1276"/>
        <v>-</v>
      </c>
      <c r="AG1217" s="454" t="str">
        <f t="shared" si="1276"/>
        <v>-</v>
      </c>
      <c r="AH1217" s="454" t="str">
        <f t="shared" si="1276"/>
        <v>-</v>
      </c>
    </row>
    <row r="1218" spans="1:34" ht="14.25">
      <c r="A1218" s="14" t="s">
        <v>4607</v>
      </c>
      <c r="B1218" s="24" t="s">
        <v>2768</v>
      </c>
      <c r="C1218" s="14" t="s">
        <v>2788</v>
      </c>
      <c r="D1218" s="14" t="s">
        <v>2911</v>
      </c>
      <c r="E1218" s="14" t="s">
        <v>4608</v>
      </c>
      <c r="F1218" s="13">
        <v>42</v>
      </c>
      <c r="G1218" s="14" t="s">
        <v>3255</v>
      </c>
      <c r="H1218" s="567" t="s">
        <v>2934</v>
      </c>
      <c r="I1218" s="14" t="s">
        <v>4608</v>
      </c>
      <c r="J1218" s="14" t="s">
        <v>4609</v>
      </c>
      <c r="K1218" s="478">
        <v>1</v>
      </c>
      <c r="L1218" s="220">
        <v>42</v>
      </c>
      <c r="M1218" s="568" t="s">
        <v>4610</v>
      </c>
      <c r="N1218" s="479" t="s">
        <v>2937</v>
      </c>
      <c r="O1218" s="569" t="s">
        <v>2976</v>
      </c>
      <c r="P1218" s="14" t="s">
        <v>3072</v>
      </c>
      <c r="Q1218" s="14" t="s">
        <v>3073</v>
      </c>
      <c r="R1218" s="14">
        <v>1</v>
      </c>
      <c r="S1218" s="14">
        <f t="shared" si="1195"/>
        <v>0.42</v>
      </c>
      <c r="T1218" s="487">
        <f>SUM(R1201:R1232)</f>
        <v>99.449999999999974</v>
      </c>
      <c r="U1218">
        <f t="shared" si="1111"/>
        <v>1.0055304172951234</v>
      </c>
      <c r="V1218" s="220">
        <f>U1218*100/SUM(U1201:U1203,U1205:U1232)</f>
        <v>1.1305822498586775</v>
      </c>
      <c r="W1218" s="14" t="s">
        <v>343</v>
      </c>
      <c r="X1218">
        <f t="shared" si="1265"/>
        <v>1.1305822498586775</v>
      </c>
      <c r="Y1218" s="220" t="s">
        <v>1666</v>
      </c>
      <c r="Z1218" s="220" t="str">
        <f t="shared" ref="Z1218:AH1218" si="1277">Y1218</f>
        <v>*</v>
      </c>
      <c r="AA1218" s="792" t="str">
        <f t="shared" si="1277"/>
        <v>*</v>
      </c>
      <c r="AB1218" s="466" t="str">
        <f t="shared" si="1277"/>
        <v>*</v>
      </c>
      <c r="AC1218" s="831" t="str">
        <f t="shared" si="1277"/>
        <v>*</v>
      </c>
      <c r="AD1218" s="831" t="str">
        <f t="shared" si="1277"/>
        <v>*</v>
      </c>
      <c r="AE1218" s="454" t="str">
        <f t="shared" si="1277"/>
        <v>*</v>
      </c>
      <c r="AF1218" s="454" t="str">
        <f t="shared" si="1277"/>
        <v>*</v>
      </c>
      <c r="AG1218" s="454" t="str">
        <f t="shared" si="1277"/>
        <v>*</v>
      </c>
      <c r="AH1218" s="454" t="str">
        <f t="shared" si="1277"/>
        <v>*</v>
      </c>
    </row>
    <row r="1219" spans="1:34" ht="14.25">
      <c r="A1219" s="14" t="s">
        <v>4607</v>
      </c>
      <c r="B1219" s="24" t="s">
        <v>2768</v>
      </c>
      <c r="C1219" s="14" t="s">
        <v>2788</v>
      </c>
      <c r="D1219" s="14" t="s">
        <v>2911</v>
      </c>
      <c r="E1219" s="14" t="s">
        <v>4608</v>
      </c>
      <c r="F1219" s="13">
        <v>42</v>
      </c>
      <c r="G1219" s="14" t="s">
        <v>3255</v>
      </c>
      <c r="H1219" s="567" t="s">
        <v>2934</v>
      </c>
      <c r="I1219" s="14" t="s">
        <v>4608</v>
      </c>
      <c r="J1219" s="14" t="s">
        <v>4609</v>
      </c>
      <c r="K1219" s="478">
        <v>1</v>
      </c>
      <c r="L1219" s="220">
        <v>42</v>
      </c>
      <c r="M1219" s="568" t="s">
        <v>4610</v>
      </c>
      <c r="N1219" s="479" t="s">
        <v>2937</v>
      </c>
      <c r="O1219" s="569" t="s">
        <v>2976</v>
      </c>
      <c r="P1219" s="655" t="s">
        <v>2977</v>
      </c>
      <c r="Q1219" s="486" t="s">
        <v>4616</v>
      </c>
      <c r="R1219" s="14">
        <v>1.7</v>
      </c>
      <c r="S1219" s="14">
        <f t="shared" si="1195"/>
        <v>0.71400000000000008</v>
      </c>
      <c r="T1219" s="487">
        <f>SUM(R1201:R1232)</f>
        <v>99.449999999999974</v>
      </c>
      <c r="U1219">
        <f t="shared" si="1111"/>
        <v>1.7094017094017098</v>
      </c>
      <c r="V1219" s="220">
        <f>U1219*100/SUM(U1201:U1203,U1205:U1232)</f>
        <v>1.9219898247597518</v>
      </c>
      <c r="W1219" s="14" t="s">
        <v>227</v>
      </c>
      <c r="X1219">
        <f t="shared" si="1265"/>
        <v>1.9219898247597518</v>
      </c>
      <c r="Y1219" s="220">
        <f>SUM(X1219,X1221)</f>
        <v>3.0525720746184293</v>
      </c>
      <c r="Z1219" s="220">
        <f t="shared" ref="Z1219:AA1219" si="1278">Y1219</f>
        <v>3.0525720746184293</v>
      </c>
      <c r="AA1219" s="792">
        <f t="shared" si="1278"/>
        <v>3.0525720746184293</v>
      </c>
      <c r="AB1219" s="18" t="s">
        <v>2530</v>
      </c>
      <c r="AC1219" s="13" t="s">
        <v>55</v>
      </c>
      <c r="AD1219" s="13" t="s">
        <v>2979</v>
      </c>
      <c r="AE1219" s="12">
        <v>2.5055367220000002E-3</v>
      </c>
      <c r="AF1219" s="12">
        <v>3.8459841414181101E-2</v>
      </c>
      <c r="AG1219" s="12">
        <v>1.1035422343324251E-4</v>
      </c>
      <c r="AH1219" s="12">
        <v>8.109653861711444E-4</v>
      </c>
    </row>
    <row r="1220" spans="1:34" ht="14.25">
      <c r="A1220" s="14" t="s">
        <v>4607</v>
      </c>
      <c r="B1220" s="24" t="s">
        <v>2768</v>
      </c>
      <c r="C1220" s="14" t="s">
        <v>2788</v>
      </c>
      <c r="D1220" s="14" t="s">
        <v>2911</v>
      </c>
      <c r="E1220" s="14" t="s">
        <v>4608</v>
      </c>
      <c r="F1220" s="13">
        <v>42</v>
      </c>
      <c r="G1220" s="14" t="s">
        <v>3255</v>
      </c>
      <c r="H1220" s="567" t="s">
        <v>2934</v>
      </c>
      <c r="I1220" s="14" t="s">
        <v>4608</v>
      </c>
      <c r="J1220" s="14" t="s">
        <v>4609</v>
      </c>
      <c r="K1220" s="478">
        <v>1</v>
      </c>
      <c r="L1220" s="220">
        <v>42</v>
      </c>
      <c r="M1220" s="568" t="s">
        <v>4610</v>
      </c>
      <c r="N1220" s="479" t="s">
        <v>2937</v>
      </c>
      <c r="O1220" s="569" t="s">
        <v>2976</v>
      </c>
      <c r="P1220" s="655" t="s">
        <v>3005</v>
      </c>
      <c r="Q1220" s="486" t="s">
        <v>4617</v>
      </c>
      <c r="R1220" s="14">
        <v>0.3</v>
      </c>
      <c r="S1220" s="14">
        <f t="shared" si="1195"/>
        <v>0.126</v>
      </c>
      <c r="T1220" s="487">
        <f>SUM(R1201:R1232)</f>
        <v>99.449999999999974</v>
      </c>
      <c r="U1220">
        <f t="shared" si="1111"/>
        <v>0.30165912518853705</v>
      </c>
      <c r="V1220" s="220">
        <f>U1220*100/SUM(U1201:U1203,U1205:U1232)</f>
        <v>0.33917467495760328</v>
      </c>
      <c r="W1220" s="14" t="s">
        <v>2526</v>
      </c>
      <c r="X1220">
        <f t="shared" si="1265"/>
        <v>0.33917467495760328</v>
      </c>
      <c r="Y1220" s="220" t="s">
        <v>1666</v>
      </c>
      <c r="Z1220" s="220" t="str">
        <f t="shared" ref="Z1220:AH1220" si="1279">Y1220</f>
        <v>*</v>
      </c>
      <c r="AA1220" s="792" t="str">
        <f t="shared" si="1279"/>
        <v>*</v>
      </c>
      <c r="AB1220" s="466" t="str">
        <f t="shared" si="1279"/>
        <v>*</v>
      </c>
      <c r="AC1220" s="831" t="str">
        <f t="shared" si="1279"/>
        <v>*</v>
      </c>
      <c r="AD1220" s="831" t="str">
        <f t="shared" si="1279"/>
        <v>*</v>
      </c>
      <c r="AE1220" s="454" t="str">
        <f t="shared" si="1279"/>
        <v>*</v>
      </c>
      <c r="AF1220" s="454" t="str">
        <f t="shared" si="1279"/>
        <v>*</v>
      </c>
      <c r="AG1220" s="454" t="str">
        <f t="shared" si="1279"/>
        <v>*</v>
      </c>
      <c r="AH1220" s="454" t="str">
        <f t="shared" si="1279"/>
        <v>*</v>
      </c>
    </row>
    <row r="1221" spans="1:34" ht="14.25">
      <c r="A1221" s="14" t="s">
        <v>4607</v>
      </c>
      <c r="B1221" s="24" t="s">
        <v>2768</v>
      </c>
      <c r="C1221" s="14" t="s">
        <v>2788</v>
      </c>
      <c r="D1221" s="14" t="s">
        <v>2911</v>
      </c>
      <c r="E1221" s="14" t="s">
        <v>4608</v>
      </c>
      <c r="F1221" s="13">
        <v>42</v>
      </c>
      <c r="G1221" s="14" t="s">
        <v>3255</v>
      </c>
      <c r="H1221" s="567" t="s">
        <v>2934</v>
      </c>
      <c r="I1221" s="14" t="s">
        <v>4608</v>
      </c>
      <c r="J1221" s="14" t="s">
        <v>4609</v>
      </c>
      <c r="K1221" s="478">
        <v>1</v>
      </c>
      <c r="L1221" s="220">
        <v>42</v>
      </c>
      <c r="M1221" s="568" t="s">
        <v>4610</v>
      </c>
      <c r="N1221" s="479" t="s">
        <v>2937</v>
      </c>
      <c r="O1221" s="569" t="s">
        <v>2976</v>
      </c>
      <c r="P1221" s="655" t="s">
        <v>2977</v>
      </c>
      <c r="Q1221" s="486" t="s">
        <v>4618</v>
      </c>
      <c r="R1221" s="14">
        <v>1</v>
      </c>
      <c r="S1221" s="14">
        <f t="shared" si="1195"/>
        <v>0.42</v>
      </c>
      <c r="T1221" s="487">
        <f>SUM(R1201:R1232)</f>
        <v>99.449999999999974</v>
      </c>
      <c r="U1221">
        <f t="shared" si="1111"/>
        <v>1.0055304172951234</v>
      </c>
      <c r="V1221" s="220">
        <f>U1221*100/SUM(U1201:U1203,U1205:U1232)</f>
        <v>1.1305822498586775</v>
      </c>
      <c r="W1221" s="14" t="s">
        <v>227</v>
      </c>
      <c r="X1221">
        <f t="shared" si="1265"/>
        <v>1.1305822498586775</v>
      </c>
      <c r="Y1221" s="220" t="s">
        <v>1666</v>
      </c>
      <c r="Z1221" s="220" t="str">
        <f t="shared" ref="Z1221:AH1221" si="1280">Y1221</f>
        <v>*</v>
      </c>
      <c r="AA1221" s="792" t="str">
        <f t="shared" si="1280"/>
        <v>*</v>
      </c>
      <c r="AB1221" s="466" t="str">
        <f t="shared" si="1280"/>
        <v>*</v>
      </c>
      <c r="AC1221" s="831" t="str">
        <f t="shared" si="1280"/>
        <v>*</v>
      </c>
      <c r="AD1221" s="831" t="str">
        <f t="shared" si="1280"/>
        <v>*</v>
      </c>
      <c r="AE1221" s="454" t="str">
        <f t="shared" si="1280"/>
        <v>*</v>
      </c>
      <c r="AF1221" s="454" t="str">
        <f t="shared" si="1280"/>
        <v>*</v>
      </c>
      <c r="AG1221" s="454" t="str">
        <f t="shared" si="1280"/>
        <v>*</v>
      </c>
      <c r="AH1221" s="454" t="str">
        <f t="shared" si="1280"/>
        <v>*</v>
      </c>
    </row>
    <row r="1222" spans="1:34" ht="14.25">
      <c r="A1222" s="14" t="s">
        <v>4607</v>
      </c>
      <c r="B1222" s="24" t="s">
        <v>2768</v>
      </c>
      <c r="C1222" s="14" t="s">
        <v>2788</v>
      </c>
      <c r="D1222" s="14" t="s">
        <v>2911</v>
      </c>
      <c r="E1222" s="14" t="s">
        <v>4608</v>
      </c>
      <c r="F1222" s="13">
        <v>42</v>
      </c>
      <c r="G1222" s="14" t="s">
        <v>3255</v>
      </c>
      <c r="H1222" s="567" t="s">
        <v>2934</v>
      </c>
      <c r="I1222" s="14" t="s">
        <v>4608</v>
      </c>
      <c r="J1222" s="14" t="s">
        <v>4609</v>
      </c>
      <c r="K1222" s="478">
        <v>1</v>
      </c>
      <c r="L1222" s="220">
        <v>42</v>
      </c>
      <c r="M1222" s="568" t="s">
        <v>4610</v>
      </c>
      <c r="N1222" s="479" t="s">
        <v>2937</v>
      </c>
      <c r="O1222" s="569" t="s">
        <v>2976</v>
      </c>
      <c r="P1222" s="14" t="s">
        <v>3051</v>
      </c>
      <c r="Q1222" s="486" t="s">
        <v>3084</v>
      </c>
      <c r="R1222" s="14">
        <v>1</v>
      </c>
      <c r="S1222" s="14">
        <f t="shared" si="1195"/>
        <v>0.42</v>
      </c>
      <c r="T1222" s="487">
        <f>SUM(R1201:R1232)</f>
        <v>99.449999999999974</v>
      </c>
      <c r="U1222">
        <f t="shared" si="1111"/>
        <v>1.0055304172951234</v>
      </c>
      <c r="V1222" s="220">
        <f>U1222*100/SUM(U1201:U1203,U1205:U1232)</f>
        <v>1.1305822498586775</v>
      </c>
      <c r="W1222" s="14" t="s">
        <v>4282</v>
      </c>
      <c r="X1222">
        <f t="shared" si="1265"/>
        <v>1.1305822498586775</v>
      </c>
      <c r="Y1222" s="220" t="s">
        <v>1666</v>
      </c>
      <c r="Z1222" s="220">
        <f>X1222</f>
        <v>1.1305822498586775</v>
      </c>
      <c r="AA1222" s="792">
        <f>Z1222</f>
        <v>1.1305822498586775</v>
      </c>
      <c r="AB1222" s="466" t="s">
        <v>2661</v>
      </c>
      <c r="AC1222" s="14" t="s">
        <v>134</v>
      </c>
      <c r="AD1222" s="14" t="s">
        <v>3053</v>
      </c>
      <c r="AE1222" s="12">
        <v>3.0177940758293843E-3</v>
      </c>
      <c r="AF1222" s="12">
        <v>8.8728561611374421E-3</v>
      </c>
      <c r="AG1222" s="12">
        <v>5.9155383175355464E-5</v>
      </c>
      <c r="AH1222" s="12">
        <v>5.56622037914692E-4</v>
      </c>
    </row>
    <row r="1223" spans="1:34" ht="14.25">
      <c r="A1223" s="14" t="s">
        <v>4607</v>
      </c>
      <c r="B1223" s="24" t="s">
        <v>2768</v>
      </c>
      <c r="C1223" s="14" t="s">
        <v>2788</v>
      </c>
      <c r="D1223" s="14" t="s">
        <v>2911</v>
      </c>
      <c r="E1223" s="14" t="s">
        <v>4608</v>
      </c>
      <c r="F1223" s="13">
        <v>42</v>
      </c>
      <c r="G1223" s="14" t="s">
        <v>3255</v>
      </c>
      <c r="H1223" s="567" t="s">
        <v>2934</v>
      </c>
      <c r="I1223" s="14" t="s">
        <v>4608</v>
      </c>
      <c r="J1223" s="14" t="s">
        <v>4609</v>
      </c>
      <c r="K1223" s="478">
        <v>1</v>
      </c>
      <c r="L1223" s="220">
        <v>42</v>
      </c>
      <c r="M1223" s="568" t="s">
        <v>4610</v>
      </c>
      <c r="N1223" s="479" t="s">
        <v>2937</v>
      </c>
      <c r="O1223" s="569" t="s">
        <v>2976</v>
      </c>
      <c r="P1223" s="14" t="s">
        <v>83</v>
      </c>
      <c r="Q1223" s="527" t="s">
        <v>3430</v>
      </c>
      <c r="R1223" s="14">
        <v>0.5</v>
      </c>
      <c r="S1223" s="14">
        <f t="shared" si="1195"/>
        <v>0.21</v>
      </c>
      <c r="T1223" s="487">
        <f>SUM(R1201:R1232)</f>
        <v>99.449999999999974</v>
      </c>
      <c r="U1223">
        <f t="shared" si="1111"/>
        <v>0.50276520864756169</v>
      </c>
      <c r="V1223" s="220">
        <f>U1223*100/SUM(U1201:U1203,U1205:U1232)</f>
        <v>0.56529112492933875</v>
      </c>
      <c r="W1223" s="14" t="s">
        <v>83</v>
      </c>
      <c r="X1223">
        <f t="shared" si="1265"/>
        <v>0.56529112492933875</v>
      </c>
      <c r="Y1223" s="499">
        <f t="shared" ref="Y1223:AA1223" si="1281">X1223</f>
        <v>0.56529112492933875</v>
      </c>
      <c r="Z1223" s="220">
        <f t="shared" si="1281"/>
        <v>0.56529112492933875</v>
      </c>
      <c r="AA1223" s="792">
        <f t="shared" si="1281"/>
        <v>0.56529112492933875</v>
      </c>
      <c r="AB1223" s="466" t="s">
        <v>83</v>
      </c>
      <c r="AC1223" s="14" t="s">
        <v>83</v>
      </c>
      <c r="AD1223" s="14" t="s">
        <v>2951</v>
      </c>
      <c r="AE1223" s="12">
        <v>0</v>
      </c>
      <c r="AF1223" s="12">
        <v>0</v>
      </c>
      <c r="AG1223" s="12">
        <v>0</v>
      </c>
      <c r="AH1223" s="12">
        <v>0</v>
      </c>
    </row>
    <row r="1224" spans="1:34" ht="14.25">
      <c r="A1224" s="14" t="s">
        <v>4607</v>
      </c>
      <c r="B1224" s="24" t="s">
        <v>2768</v>
      </c>
      <c r="C1224" s="14" t="s">
        <v>2788</v>
      </c>
      <c r="D1224" s="14" t="s">
        <v>2911</v>
      </c>
      <c r="E1224" s="14" t="s">
        <v>4608</v>
      </c>
      <c r="F1224" s="13">
        <v>42</v>
      </c>
      <c r="G1224" s="14" t="s">
        <v>3255</v>
      </c>
      <c r="H1224" s="567" t="s">
        <v>2934</v>
      </c>
      <c r="I1224" s="14" t="s">
        <v>4608</v>
      </c>
      <c r="J1224" s="14" t="s">
        <v>4609</v>
      </c>
      <c r="K1224" s="478">
        <v>1</v>
      </c>
      <c r="L1224" s="220">
        <v>42</v>
      </c>
      <c r="M1224" s="568" t="s">
        <v>4610</v>
      </c>
      <c r="N1224" s="479" t="s">
        <v>2937</v>
      </c>
      <c r="O1224" s="569" t="s">
        <v>2976</v>
      </c>
      <c r="P1224" s="14" t="s">
        <v>139</v>
      </c>
      <c r="Q1224" s="14" t="s">
        <v>3020</v>
      </c>
      <c r="R1224" s="14">
        <v>0.5</v>
      </c>
      <c r="S1224" s="14">
        <f t="shared" si="1195"/>
        <v>0.21</v>
      </c>
      <c r="T1224" s="487">
        <f>SUM(R1201:R1232)</f>
        <v>99.449999999999974</v>
      </c>
      <c r="U1224">
        <f t="shared" si="1111"/>
        <v>0.50276520864756169</v>
      </c>
      <c r="V1224" s="220">
        <f>U1224*100/SUM(U1201:U1203,U1205:U1232)</f>
        <v>0.56529112492933875</v>
      </c>
      <c r="W1224" s="14" t="s">
        <v>139</v>
      </c>
      <c r="X1224">
        <f t="shared" si="1265"/>
        <v>0.56529112492933875</v>
      </c>
      <c r="Y1224" s="220" t="s">
        <v>1666</v>
      </c>
      <c r="Z1224" s="220" t="str">
        <f t="shared" ref="Z1224:AH1224" si="1282">Y1224</f>
        <v>*</v>
      </c>
      <c r="AA1224" s="792" t="str">
        <f t="shared" si="1282"/>
        <v>*</v>
      </c>
      <c r="AB1224" s="466" t="str">
        <f t="shared" si="1282"/>
        <v>*</v>
      </c>
      <c r="AC1224" s="831" t="str">
        <f t="shared" si="1282"/>
        <v>*</v>
      </c>
      <c r="AD1224" s="831" t="str">
        <f t="shared" si="1282"/>
        <v>*</v>
      </c>
      <c r="AE1224" s="454" t="str">
        <f t="shared" si="1282"/>
        <v>*</v>
      </c>
      <c r="AF1224" s="454" t="str">
        <f t="shared" si="1282"/>
        <v>*</v>
      </c>
      <c r="AG1224" s="454" t="str">
        <f t="shared" si="1282"/>
        <v>*</v>
      </c>
      <c r="AH1224" s="454" t="str">
        <f t="shared" si="1282"/>
        <v>*</v>
      </c>
    </row>
    <row r="1225" spans="1:34" ht="14.25">
      <c r="A1225" s="14" t="s">
        <v>4607</v>
      </c>
      <c r="B1225" s="24" t="s">
        <v>2768</v>
      </c>
      <c r="C1225" s="14" t="s">
        <v>2788</v>
      </c>
      <c r="D1225" s="14" t="s">
        <v>2911</v>
      </c>
      <c r="E1225" s="14" t="s">
        <v>4608</v>
      </c>
      <c r="F1225" s="13">
        <v>42</v>
      </c>
      <c r="G1225" s="14" t="s">
        <v>3255</v>
      </c>
      <c r="H1225" s="567" t="s">
        <v>2934</v>
      </c>
      <c r="I1225" s="14" t="s">
        <v>4608</v>
      </c>
      <c r="J1225" s="14" t="s">
        <v>4609</v>
      </c>
      <c r="K1225" s="478">
        <v>1</v>
      </c>
      <c r="L1225" s="220">
        <v>42</v>
      </c>
      <c r="M1225" s="568" t="s">
        <v>4610</v>
      </c>
      <c r="N1225" s="479" t="s">
        <v>2937</v>
      </c>
      <c r="O1225" s="569" t="s">
        <v>2976</v>
      </c>
      <c r="P1225" s="14" t="s">
        <v>3041</v>
      </c>
      <c r="Q1225" s="491" t="s">
        <v>3089</v>
      </c>
      <c r="R1225" s="14">
        <v>0.1</v>
      </c>
      <c r="S1225" s="14">
        <f t="shared" si="1195"/>
        <v>4.2000000000000003E-2</v>
      </c>
      <c r="T1225" s="487">
        <f>SUM(R1201:R1232)</f>
        <v>99.449999999999974</v>
      </c>
      <c r="U1225">
        <f t="shared" si="1111"/>
        <v>0.10055304172951235</v>
      </c>
      <c r="V1225" s="220">
        <f>U1225*100/SUM(U1201:U1203,U1205:U1232)</f>
        <v>0.11305822498586776</v>
      </c>
      <c r="W1225" s="14" t="s">
        <v>81</v>
      </c>
      <c r="X1225">
        <f t="shared" si="1265"/>
        <v>0.11305822498586776</v>
      </c>
      <c r="Y1225" s="499">
        <f t="shared" ref="Y1225:AA1225" si="1283">X1225</f>
        <v>0.11305822498586776</v>
      </c>
      <c r="Z1225" s="220">
        <f t="shared" si="1283"/>
        <v>0.11305822498586776</v>
      </c>
      <c r="AA1225" s="792">
        <f t="shared" si="1283"/>
        <v>0.11305822498586776</v>
      </c>
      <c r="AB1225" s="466" t="s">
        <v>81</v>
      </c>
      <c r="AC1225" s="13" t="s">
        <v>18</v>
      </c>
      <c r="AD1225" s="13" t="s">
        <v>18</v>
      </c>
      <c r="AE1225" s="12">
        <v>1.9912385503783353E-2</v>
      </c>
      <c r="AF1225" s="12">
        <v>5.6949422540820388E-2</v>
      </c>
      <c r="AG1225" s="12">
        <v>3.8829151732377542E-3</v>
      </c>
      <c r="AH1225" s="12">
        <v>5.6321186778176026E-3</v>
      </c>
    </row>
    <row r="1226" spans="1:34" ht="14.25">
      <c r="A1226" s="14" t="s">
        <v>4607</v>
      </c>
      <c r="B1226" s="24" t="s">
        <v>2768</v>
      </c>
      <c r="C1226" s="14" t="s">
        <v>2788</v>
      </c>
      <c r="D1226" s="14" t="s">
        <v>2911</v>
      </c>
      <c r="E1226" s="14" t="s">
        <v>4608</v>
      </c>
      <c r="F1226" s="13">
        <v>42</v>
      </c>
      <c r="G1226" s="14" t="s">
        <v>3255</v>
      </c>
      <c r="H1226" s="567" t="s">
        <v>2934</v>
      </c>
      <c r="I1226" s="14" t="s">
        <v>4608</v>
      </c>
      <c r="J1226" s="14" t="s">
        <v>4609</v>
      </c>
      <c r="K1226" s="478">
        <v>1</v>
      </c>
      <c r="L1226" s="220">
        <v>42</v>
      </c>
      <c r="M1226" s="568" t="s">
        <v>4610</v>
      </c>
      <c r="N1226" s="479" t="s">
        <v>2937</v>
      </c>
      <c r="O1226" s="569" t="s">
        <v>2976</v>
      </c>
      <c r="P1226" s="489" t="s">
        <v>2980</v>
      </c>
      <c r="Q1226" s="563" t="s">
        <v>4586</v>
      </c>
      <c r="R1226" s="14">
        <f t="shared" ref="R1226:R1227" si="1284">0.1/2</f>
        <v>0.05</v>
      </c>
      <c r="S1226" s="14">
        <f t="shared" si="1195"/>
        <v>2.1000000000000001E-2</v>
      </c>
      <c r="T1226" s="487">
        <f>SUM(R1201:R1232)</f>
        <v>99.449999999999974</v>
      </c>
      <c r="U1226">
        <f t="shared" si="1111"/>
        <v>5.0276520864756175E-2</v>
      </c>
      <c r="V1226" s="220">
        <f>U1226*100/SUM(U1201:U1203,U1205:U1232)</f>
        <v>5.6529112492933881E-2</v>
      </c>
      <c r="W1226" s="14" t="s">
        <v>349</v>
      </c>
      <c r="X1226">
        <f t="shared" si="1265"/>
        <v>5.6529112492933881E-2</v>
      </c>
      <c r="Y1226" s="220" t="s">
        <v>1666</v>
      </c>
      <c r="Z1226" s="220" t="str">
        <f t="shared" ref="Z1226:AH1226" si="1285">Y1226</f>
        <v>*</v>
      </c>
      <c r="AA1226" s="792" t="str">
        <f t="shared" si="1285"/>
        <v>*</v>
      </c>
      <c r="AB1226" s="466" t="str">
        <f t="shared" si="1285"/>
        <v>*</v>
      </c>
      <c r="AC1226" s="831" t="str">
        <f t="shared" si="1285"/>
        <v>*</v>
      </c>
      <c r="AD1226" s="831" t="str">
        <f t="shared" si="1285"/>
        <v>*</v>
      </c>
      <c r="AE1226" s="454" t="str">
        <f t="shared" si="1285"/>
        <v>*</v>
      </c>
      <c r="AF1226" s="454" t="str">
        <f t="shared" si="1285"/>
        <v>*</v>
      </c>
      <c r="AG1226" s="454" t="str">
        <f t="shared" si="1285"/>
        <v>*</v>
      </c>
      <c r="AH1226" s="454" t="str">
        <f t="shared" si="1285"/>
        <v>*</v>
      </c>
    </row>
    <row r="1227" spans="1:34" ht="14.25">
      <c r="A1227" s="14" t="s">
        <v>4607</v>
      </c>
      <c r="B1227" s="24" t="s">
        <v>2768</v>
      </c>
      <c r="C1227" s="14" t="s">
        <v>2788</v>
      </c>
      <c r="D1227" s="14" t="s">
        <v>2911</v>
      </c>
      <c r="E1227" s="14" t="s">
        <v>4608</v>
      </c>
      <c r="F1227" s="13">
        <v>42</v>
      </c>
      <c r="G1227" s="14" t="s">
        <v>3255</v>
      </c>
      <c r="H1227" s="567" t="s">
        <v>2934</v>
      </c>
      <c r="I1227" s="14" t="s">
        <v>4608</v>
      </c>
      <c r="J1227" s="14" t="s">
        <v>4609</v>
      </c>
      <c r="K1227" s="478">
        <v>1</v>
      </c>
      <c r="L1227" s="220">
        <v>42</v>
      </c>
      <c r="M1227" s="568" t="s">
        <v>4610</v>
      </c>
      <c r="N1227" s="479" t="s">
        <v>2937</v>
      </c>
      <c r="O1227" s="569" t="s">
        <v>2976</v>
      </c>
      <c r="P1227" s="490" t="s">
        <v>2980</v>
      </c>
      <c r="Q1227" s="491" t="s">
        <v>4366</v>
      </c>
      <c r="R1227" s="14">
        <f t="shared" si="1284"/>
        <v>0.05</v>
      </c>
      <c r="S1227" s="14">
        <f t="shared" si="1195"/>
        <v>2.1000000000000001E-2</v>
      </c>
      <c r="T1227" s="487">
        <f>SUM(R1201:R1232)</f>
        <v>99.449999999999974</v>
      </c>
      <c r="U1227">
        <f t="shared" si="1111"/>
        <v>5.0276520864756175E-2</v>
      </c>
      <c r="V1227" s="220">
        <f>U1227*100/SUM(U1201:U1203,U1205:U1232)</f>
        <v>5.6529112492933881E-2</v>
      </c>
      <c r="W1227" s="14" t="s">
        <v>2521</v>
      </c>
      <c r="X1227">
        <f t="shared" si="1265"/>
        <v>5.6529112492933881E-2</v>
      </c>
      <c r="Y1227" s="220" t="s">
        <v>1624</v>
      </c>
      <c r="Z1227" s="220" t="s">
        <v>1666</v>
      </c>
      <c r="AA1227" s="792" t="str">
        <f>Z1227</f>
        <v>*</v>
      </c>
      <c r="AB1227" s="18" t="s">
        <v>1666</v>
      </c>
      <c r="AC1227" s="13" t="str">
        <f t="shared" ref="AC1227:AH1227" si="1286">AB1227</f>
        <v>*</v>
      </c>
      <c r="AD1227" s="13" t="str">
        <f t="shared" si="1286"/>
        <v>*</v>
      </c>
      <c r="AE1227" s="220" t="str">
        <f t="shared" si="1286"/>
        <v>*</v>
      </c>
      <c r="AF1227" s="220" t="str">
        <f t="shared" si="1286"/>
        <v>*</v>
      </c>
      <c r="AG1227" s="220" t="str">
        <f t="shared" si="1286"/>
        <v>*</v>
      </c>
      <c r="AH1227" s="220" t="str">
        <f t="shared" si="1286"/>
        <v>*</v>
      </c>
    </row>
    <row r="1228" spans="1:34" ht="14.25">
      <c r="A1228" s="14" t="s">
        <v>4607</v>
      </c>
      <c r="B1228" s="24" t="s">
        <v>2768</v>
      </c>
      <c r="C1228" s="14" t="s">
        <v>2788</v>
      </c>
      <c r="D1228" s="14" t="s">
        <v>2911</v>
      </c>
      <c r="E1228" s="14" t="s">
        <v>4608</v>
      </c>
      <c r="F1228" s="13">
        <v>42</v>
      </c>
      <c r="G1228" s="14" t="s">
        <v>3255</v>
      </c>
      <c r="H1228" s="567" t="s">
        <v>2934</v>
      </c>
      <c r="I1228" s="14" t="s">
        <v>4608</v>
      </c>
      <c r="J1228" s="14" t="s">
        <v>4609</v>
      </c>
      <c r="K1228" s="478">
        <v>1</v>
      </c>
      <c r="L1228" s="220">
        <v>42</v>
      </c>
      <c r="M1228" s="568" t="s">
        <v>4610</v>
      </c>
      <c r="N1228" s="479" t="s">
        <v>2937</v>
      </c>
      <c r="O1228" s="569" t="s">
        <v>2976</v>
      </c>
      <c r="P1228" s="14" t="s">
        <v>86</v>
      </c>
      <c r="Q1228" s="14" t="s">
        <v>3442</v>
      </c>
      <c r="R1228" s="14">
        <v>0.1</v>
      </c>
      <c r="S1228" s="14">
        <f t="shared" si="1195"/>
        <v>4.2000000000000003E-2</v>
      </c>
      <c r="T1228" s="487">
        <f>SUM(R1201:R1232)</f>
        <v>99.449999999999974</v>
      </c>
      <c r="U1228">
        <f t="shared" si="1111"/>
        <v>0.10055304172951235</v>
      </c>
      <c r="V1228" s="220">
        <f>U1228*100/SUM(U1201:U1203,U1205:U1232)</f>
        <v>0.11305822498586776</v>
      </c>
      <c r="W1228" s="14" t="s">
        <v>86</v>
      </c>
      <c r="X1228">
        <f t="shared" si="1265"/>
        <v>0.11305822498586776</v>
      </c>
      <c r="Y1228" s="499">
        <f t="shared" ref="Y1228:AA1228" si="1287">X1228</f>
        <v>0.11305822498586776</v>
      </c>
      <c r="Z1228" s="220">
        <f t="shared" si="1287"/>
        <v>0.11305822498586776</v>
      </c>
      <c r="AA1228" s="792">
        <f t="shared" si="1287"/>
        <v>0.11305822498586776</v>
      </c>
      <c r="AB1228" s="466" t="s">
        <v>86</v>
      </c>
      <c r="AC1228" s="13" t="s">
        <v>18</v>
      </c>
      <c r="AD1228" s="13" t="s">
        <v>18</v>
      </c>
      <c r="AE1228" s="12">
        <v>0</v>
      </c>
      <c r="AF1228" s="12">
        <v>0</v>
      </c>
      <c r="AG1228" s="12">
        <v>0</v>
      </c>
      <c r="AH1228" s="12">
        <v>0</v>
      </c>
    </row>
    <row r="1229" spans="1:34" ht="14.25">
      <c r="A1229" s="14" t="s">
        <v>4607</v>
      </c>
      <c r="B1229" s="24" t="s">
        <v>2768</v>
      </c>
      <c r="C1229" s="14" t="s">
        <v>2788</v>
      </c>
      <c r="D1229" s="14" t="s">
        <v>2911</v>
      </c>
      <c r="E1229" s="14" t="s">
        <v>4608</v>
      </c>
      <c r="F1229" s="13">
        <v>42</v>
      </c>
      <c r="G1229" s="14" t="s">
        <v>3255</v>
      </c>
      <c r="H1229" s="567" t="s">
        <v>2934</v>
      </c>
      <c r="I1229" s="14" t="s">
        <v>4608</v>
      </c>
      <c r="J1229" s="14" t="s">
        <v>4609</v>
      </c>
      <c r="K1229" s="478">
        <v>1</v>
      </c>
      <c r="L1229" s="220">
        <v>42</v>
      </c>
      <c r="M1229" s="568" t="s">
        <v>4610</v>
      </c>
      <c r="N1229" s="479" t="s">
        <v>2937</v>
      </c>
      <c r="O1229" s="569" t="s">
        <v>2976</v>
      </c>
      <c r="P1229" s="14" t="s">
        <v>2962</v>
      </c>
      <c r="Q1229" s="14" t="s">
        <v>4619</v>
      </c>
      <c r="R1229" s="14">
        <v>0.1</v>
      </c>
      <c r="S1229" s="14">
        <f t="shared" si="1195"/>
        <v>4.2000000000000003E-2</v>
      </c>
      <c r="T1229" s="487">
        <f>SUM(R1201:R1232)</f>
        <v>99.449999999999974</v>
      </c>
      <c r="U1229">
        <f t="shared" si="1111"/>
        <v>0.10055304172951235</v>
      </c>
      <c r="V1229" s="220">
        <f>U1229*100/SUM(U1201:U1203,U1205:U1232)</f>
        <v>0.11305822498586776</v>
      </c>
      <c r="W1229" s="14" t="s">
        <v>425</v>
      </c>
      <c r="X1229">
        <f t="shared" si="1265"/>
        <v>0.11305822498586776</v>
      </c>
      <c r="Y1229" s="220" t="s">
        <v>1666</v>
      </c>
      <c r="Z1229" s="220" t="str">
        <f t="shared" ref="Z1229:AH1229" si="1288">Y1229</f>
        <v>*</v>
      </c>
      <c r="AA1229" s="792" t="str">
        <f t="shared" si="1288"/>
        <v>*</v>
      </c>
      <c r="AB1229" s="466" t="str">
        <f t="shared" si="1288"/>
        <v>*</v>
      </c>
      <c r="AC1229" s="831" t="str">
        <f t="shared" si="1288"/>
        <v>*</v>
      </c>
      <c r="AD1229" s="831" t="str">
        <f t="shared" si="1288"/>
        <v>*</v>
      </c>
      <c r="AE1229" s="454" t="str">
        <f t="shared" si="1288"/>
        <v>*</v>
      </c>
      <c r="AF1229" s="454" t="str">
        <f t="shared" si="1288"/>
        <v>*</v>
      </c>
      <c r="AG1229" s="454" t="str">
        <f t="shared" si="1288"/>
        <v>*</v>
      </c>
      <c r="AH1229" s="454" t="str">
        <f t="shared" si="1288"/>
        <v>*</v>
      </c>
    </row>
    <row r="1230" spans="1:34" ht="14.25">
      <c r="A1230" s="14" t="s">
        <v>4607</v>
      </c>
      <c r="B1230" s="24" t="s">
        <v>2768</v>
      </c>
      <c r="C1230" s="14" t="s">
        <v>2788</v>
      </c>
      <c r="D1230" s="14" t="s">
        <v>2911</v>
      </c>
      <c r="E1230" s="14" t="s">
        <v>4608</v>
      </c>
      <c r="F1230" s="13">
        <v>42</v>
      </c>
      <c r="G1230" s="14" t="s">
        <v>3255</v>
      </c>
      <c r="H1230" s="567" t="s">
        <v>2934</v>
      </c>
      <c r="I1230" s="14" t="s">
        <v>4608</v>
      </c>
      <c r="J1230" s="14" t="s">
        <v>4609</v>
      </c>
      <c r="K1230" s="478">
        <v>1</v>
      </c>
      <c r="L1230" s="220">
        <v>42</v>
      </c>
      <c r="M1230" s="568" t="s">
        <v>4610</v>
      </c>
      <c r="N1230" s="479" t="s">
        <v>2937</v>
      </c>
      <c r="O1230" s="569" t="s">
        <v>2976</v>
      </c>
      <c r="P1230" s="655" t="s">
        <v>4232</v>
      </c>
      <c r="Q1230" s="486" t="s">
        <v>4620</v>
      </c>
      <c r="R1230" s="14">
        <v>0.05</v>
      </c>
      <c r="S1230" s="14">
        <f t="shared" si="1195"/>
        <v>2.1000000000000001E-2</v>
      </c>
      <c r="T1230" s="487">
        <f>SUM(R1201:R1232)</f>
        <v>99.449999999999974</v>
      </c>
      <c r="U1230">
        <f t="shared" si="1111"/>
        <v>5.0276520864756175E-2</v>
      </c>
      <c r="V1230" s="220">
        <f>U1230*100/SUM(U1201:U1203,U1205:U1232)</f>
        <v>5.6529112492933881E-2</v>
      </c>
      <c r="W1230" s="14" t="s">
        <v>4234</v>
      </c>
      <c r="X1230">
        <f t="shared" si="1265"/>
        <v>5.6529112492933881E-2</v>
      </c>
      <c r="Y1230" s="220" t="s">
        <v>1666</v>
      </c>
      <c r="Z1230" s="220" t="str">
        <f t="shared" ref="Z1230:AH1230" si="1289">Y1230</f>
        <v>*</v>
      </c>
      <c r="AA1230" s="792" t="str">
        <f t="shared" si="1289"/>
        <v>*</v>
      </c>
      <c r="AB1230" s="466" t="str">
        <f t="shared" si="1289"/>
        <v>*</v>
      </c>
      <c r="AC1230" s="831" t="str">
        <f t="shared" si="1289"/>
        <v>*</v>
      </c>
      <c r="AD1230" s="831" t="str">
        <f t="shared" si="1289"/>
        <v>*</v>
      </c>
      <c r="AE1230" s="454" t="str">
        <f t="shared" si="1289"/>
        <v>*</v>
      </c>
      <c r="AF1230" s="454" t="str">
        <f t="shared" si="1289"/>
        <v>*</v>
      </c>
      <c r="AG1230" s="454" t="str">
        <f t="shared" si="1289"/>
        <v>*</v>
      </c>
      <c r="AH1230" s="454" t="str">
        <f t="shared" si="1289"/>
        <v>*</v>
      </c>
    </row>
    <row r="1231" spans="1:34" ht="14.25">
      <c r="A1231" s="14" t="s">
        <v>4607</v>
      </c>
      <c r="B1231" s="24" t="s">
        <v>2768</v>
      </c>
      <c r="C1231" s="14" t="s">
        <v>2788</v>
      </c>
      <c r="D1231" s="14" t="s">
        <v>2911</v>
      </c>
      <c r="E1231" s="14" t="s">
        <v>4608</v>
      </c>
      <c r="F1231" s="13">
        <v>42</v>
      </c>
      <c r="G1231" s="14" t="s">
        <v>3255</v>
      </c>
      <c r="H1231" s="567" t="s">
        <v>2934</v>
      </c>
      <c r="I1231" s="14" t="s">
        <v>4608</v>
      </c>
      <c r="J1231" s="14" t="s">
        <v>4609</v>
      </c>
      <c r="K1231" s="478">
        <v>1</v>
      </c>
      <c r="L1231" s="220">
        <v>42</v>
      </c>
      <c r="M1231" s="568" t="s">
        <v>4610</v>
      </c>
      <c r="N1231" s="479" t="s">
        <v>2937</v>
      </c>
      <c r="O1231" s="569" t="s">
        <v>2976</v>
      </c>
      <c r="P1231" s="14" t="s">
        <v>4071</v>
      </c>
      <c r="Q1231" s="486" t="s">
        <v>4621</v>
      </c>
      <c r="R1231" s="14">
        <v>0.05</v>
      </c>
      <c r="S1231" s="14">
        <f t="shared" si="1195"/>
        <v>2.1000000000000001E-2</v>
      </c>
      <c r="T1231" s="487">
        <f>SUM(R1201:R1232)</f>
        <v>99.449999999999974</v>
      </c>
      <c r="U1231">
        <f t="shared" si="1111"/>
        <v>5.0276520864756175E-2</v>
      </c>
      <c r="V1231" s="220">
        <f>U1231*100/SUM(U1201:U1203,U1205:U1232)</f>
        <v>5.6529112492933881E-2</v>
      </c>
      <c r="W1231" s="14" t="s">
        <v>1166</v>
      </c>
      <c r="X1231">
        <f t="shared" si="1265"/>
        <v>5.6529112492933881E-2</v>
      </c>
      <c r="Y1231" s="220" t="s">
        <v>1666</v>
      </c>
      <c r="Z1231" s="220">
        <f>X1231</f>
        <v>5.6529112492933881E-2</v>
      </c>
      <c r="AA1231" s="792">
        <f>Z1231</f>
        <v>5.6529112492933881E-2</v>
      </c>
      <c r="AB1231" s="18" t="s">
        <v>2680</v>
      </c>
      <c r="AC1231" s="14" t="s">
        <v>4073</v>
      </c>
      <c r="AD1231" s="14" t="s">
        <v>4074</v>
      </c>
      <c r="AE1231" s="12">
        <v>2.5425965018094099E-4</v>
      </c>
      <c r="AF1231" s="12">
        <v>2.999770886532045E-3</v>
      </c>
      <c r="AG1231" s="12">
        <v>1.7349999999999998E-5</v>
      </c>
      <c r="AH1231" s="12">
        <v>1.4881214836240498E-5</v>
      </c>
    </row>
    <row r="1232" spans="1:34" ht="14.25">
      <c r="A1232" s="617" t="s">
        <v>4607</v>
      </c>
      <c r="B1232" s="794" t="s">
        <v>2768</v>
      </c>
      <c r="C1232" s="617" t="s">
        <v>2788</v>
      </c>
      <c r="D1232" s="617" t="s">
        <v>2911</v>
      </c>
      <c r="E1232" s="617" t="s">
        <v>4608</v>
      </c>
      <c r="F1232" s="799">
        <v>42</v>
      </c>
      <c r="G1232" s="617" t="s">
        <v>3255</v>
      </c>
      <c r="H1232" s="910" t="s">
        <v>2934</v>
      </c>
      <c r="I1232" s="617" t="s">
        <v>4608</v>
      </c>
      <c r="J1232" s="617" t="s">
        <v>4609</v>
      </c>
      <c r="K1232" s="838">
        <v>1</v>
      </c>
      <c r="L1232" s="725">
        <v>42</v>
      </c>
      <c r="M1232" s="911" t="s">
        <v>4610</v>
      </c>
      <c r="N1232" s="841" t="s">
        <v>2937</v>
      </c>
      <c r="O1232" s="912" t="s">
        <v>2976</v>
      </c>
      <c r="P1232" s="617" t="s">
        <v>4612</v>
      </c>
      <c r="Q1232" s="856" t="s">
        <v>4622</v>
      </c>
      <c r="R1232" s="617">
        <v>0.05</v>
      </c>
      <c r="S1232" s="617">
        <f t="shared" si="1195"/>
        <v>2.1000000000000001E-2</v>
      </c>
      <c r="T1232" s="933">
        <f>SUM(R1201:R1232)</f>
        <v>99.449999999999974</v>
      </c>
      <c r="U1232" s="617">
        <f t="shared" si="1111"/>
        <v>5.0276520864756175E-2</v>
      </c>
      <c r="V1232" s="725">
        <f>U1232*100/SUM(U1201:U1203,U1205:U1232)</f>
        <v>5.6529112492933881E-2</v>
      </c>
      <c r="W1232" s="617" t="s">
        <v>4623</v>
      </c>
      <c r="X1232" s="617">
        <f t="shared" si="1265"/>
        <v>5.6529112492933881E-2</v>
      </c>
      <c r="Y1232" s="725" t="s">
        <v>1666</v>
      </c>
      <c r="Z1232" s="725" t="str">
        <f t="shared" ref="Z1232:AH1232" si="1290">Y1232</f>
        <v>*</v>
      </c>
      <c r="AA1232" s="455" t="str">
        <f t="shared" si="1290"/>
        <v>*</v>
      </c>
      <c r="AB1232" s="819" t="str">
        <f t="shared" si="1290"/>
        <v>*</v>
      </c>
      <c r="AC1232" s="931" t="str">
        <f t="shared" si="1290"/>
        <v>*</v>
      </c>
      <c r="AD1232" s="931" t="str">
        <f t="shared" si="1290"/>
        <v>*</v>
      </c>
      <c r="AE1232" s="808" t="str">
        <f t="shared" si="1290"/>
        <v>*</v>
      </c>
      <c r="AF1232" s="808" t="str">
        <f t="shared" si="1290"/>
        <v>*</v>
      </c>
      <c r="AG1232" s="808" t="str">
        <f t="shared" si="1290"/>
        <v>*</v>
      </c>
      <c r="AH1232" s="808" t="str">
        <f t="shared" si="1290"/>
        <v>*</v>
      </c>
    </row>
    <row r="1233" spans="1:34" ht="14.25">
      <c r="A1233" s="14" t="s">
        <v>4624</v>
      </c>
      <c r="B1233" s="24" t="s">
        <v>2768</v>
      </c>
      <c r="C1233" s="14" t="s">
        <v>2794</v>
      </c>
      <c r="D1233" s="14" t="s">
        <v>2911</v>
      </c>
      <c r="E1233" s="14" t="s">
        <v>4625</v>
      </c>
      <c r="F1233" s="13">
        <v>80.2</v>
      </c>
      <c r="G1233" s="14" t="s">
        <v>3686</v>
      </c>
      <c r="H1233" s="567" t="s">
        <v>2973</v>
      </c>
      <c r="I1233" s="14" t="s">
        <v>4625</v>
      </c>
      <c r="J1233" s="14" t="s">
        <v>4626</v>
      </c>
      <c r="K1233" s="478">
        <v>0.96</v>
      </c>
      <c r="L1233" s="220">
        <v>77</v>
      </c>
      <c r="M1233" s="568" t="s">
        <v>4627</v>
      </c>
      <c r="N1233" s="479" t="s">
        <v>2937</v>
      </c>
      <c r="O1233" s="569" t="s">
        <v>2976</v>
      </c>
      <c r="P1233" s="14" t="s">
        <v>4628</v>
      </c>
      <c r="Q1233" s="486" t="s">
        <v>4629</v>
      </c>
      <c r="R1233" s="14">
        <f>16*0.486</f>
        <v>7.7759999999999998</v>
      </c>
      <c r="S1233" s="14">
        <f t="shared" si="1195"/>
        <v>5.98752</v>
      </c>
      <c r="T1233" s="487">
        <f>SUM(R1233:R1266)</f>
        <v>95.999999999999972</v>
      </c>
      <c r="U1233">
        <f t="shared" ref="U1233:U1266" si="1291">R1233/T1233*100</f>
        <v>8.1000000000000014</v>
      </c>
      <c r="V1233" s="220">
        <f>U1233*100/SUM(U1233:U1234,U1236:U1243,U1245:U1266)</f>
        <v>9.1793370478798746</v>
      </c>
      <c r="W1233" s="13" t="s">
        <v>433</v>
      </c>
      <c r="X1233">
        <f t="shared" si="1265"/>
        <v>8.8121635659646795</v>
      </c>
      <c r="Y1233" s="220">
        <f>SUM(X1233,X1240)</f>
        <v>33.743696288601377</v>
      </c>
      <c r="Z1233" s="220">
        <f t="shared" ref="Z1233:AA1233" si="1292">Y1233</f>
        <v>33.743696288601377</v>
      </c>
      <c r="AA1233" s="792">
        <f t="shared" si="1292"/>
        <v>33.743696288601377</v>
      </c>
      <c r="AB1233" s="18" t="s">
        <v>433</v>
      </c>
      <c r="AC1233" s="13" t="s">
        <v>433</v>
      </c>
      <c r="AD1233" s="13" t="s">
        <v>2947</v>
      </c>
      <c r="AE1233" s="12">
        <v>3.0104466724907065E-4</v>
      </c>
      <c r="AF1233" s="12">
        <v>1.2500000000000001E-2</v>
      </c>
      <c r="AG1233" s="12">
        <v>5.1818181818181835E-4</v>
      </c>
      <c r="AH1233" s="12">
        <v>4.0084080366977777E-4</v>
      </c>
    </row>
    <row r="1234" spans="1:34" ht="14.25">
      <c r="A1234" s="14" t="s">
        <v>4624</v>
      </c>
      <c r="B1234" s="24" t="s">
        <v>2768</v>
      </c>
      <c r="C1234" s="14" t="s">
        <v>2794</v>
      </c>
      <c r="D1234" s="14" t="s">
        <v>2911</v>
      </c>
      <c r="E1234" s="14" t="s">
        <v>4625</v>
      </c>
      <c r="F1234" s="13">
        <v>80.2</v>
      </c>
      <c r="G1234" s="14" t="s">
        <v>3686</v>
      </c>
      <c r="H1234" s="567" t="s">
        <v>2973</v>
      </c>
      <c r="I1234" s="14" t="s">
        <v>4625</v>
      </c>
      <c r="J1234" s="14" t="s">
        <v>4626</v>
      </c>
      <c r="K1234" s="478">
        <v>0.96</v>
      </c>
      <c r="L1234" s="220">
        <v>77</v>
      </c>
      <c r="M1234" s="568" t="s">
        <v>4627</v>
      </c>
      <c r="N1234" s="479" t="s">
        <v>2937</v>
      </c>
      <c r="O1234" s="569" t="s">
        <v>2976</v>
      </c>
      <c r="P1234" s="14" t="s">
        <v>4628</v>
      </c>
      <c r="Q1234" s="486" t="s">
        <v>4630</v>
      </c>
      <c r="R1234" s="14">
        <f>16*0.163</f>
        <v>2.6080000000000001</v>
      </c>
      <c r="S1234" s="14">
        <f t="shared" si="1195"/>
        <v>2.0081600000000002</v>
      </c>
      <c r="T1234" s="487">
        <f>SUM(R1233:R1266)</f>
        <v>95.999999999999972</v>
      </c>
      <c r="U1234">
        <f t="shared" si="1291"/>
        <v>2.7166666666666677</v>
      </c>
      <c r="V1234" s="220">
        <f>U1234*100/SUM(U1233:U1234,U1236:U1243,U1245:U1266)</f>
        <v>3.0786665407498348</v>
      </c>
      <c r="W1234" s="13" t="s">
        <v>349</v>
      </c>
      <c r="X1234">
        <f t="shared" si="1265"/>
        <v>2.9555198791198412</v>
      </c>
      <c r="Y1234" s="220">
        <f>SUM(X1234,X1245,X1248,X1249,X1250,X1266)</f>
        <v>6.8652375106242332</v>
      </c>
      <c r="Z1234" s="220">
        <f t="shared" ref="Z1234:AA1234" si="1293">Y1234</f>
        <v>6.8652375106242332</v>
      </c>
      <c r="AA1234" s="792">
        <f t="shared" si="1293"/>
        <v>6.8652375106242332</v>
      </c>
      <c r="AB1234" s="18" t="s">
        <v>2795</v>
      </c>
      <c r="AC1234" s="13" t="s">
        <v>2982</v>
      </c>
      <c r="AD1234" s="13" t="s">
        <v>2983</v>
      </c>
      <c r="AE1234" s="12">
        <v>2.9691872042618299E-2</v>
      </c>
      <c r="AF1234" s="12">
        <v>7.5368545517799299E-2</v>
      </c>
      <c r="AG1234" s="12">
        <v>2.9014018691588786E-4</v>
      </c>
      <c r="AH1234" s="12">
        <v>1.4770983615231311E-3</v>
      </c>
    </row>
    <row r="1235" spans="1:34" ht="14.25">
      <c r="A1235" s="14" t="s">
        <v>4624</v>
      </c>
      <c r="B1235" s="24" t="s">
        <v>2768</v>
      </c>
      <c r="C1235" s="14" t="s">
        <v>2794</v>
      </c>
      <c r="D1235" s="14" t="s">
        <v>2911</v>
      </c>
      <c r="E1235" s="14" t="s">
        <v>4625</v>
      </c>
      <c r="F1235" s="13">
        <v>80.2</v>
      </c>
      <c r="G1235" s="14" t="s">
        <v>3686</v>
      </c>
      <c r="H1235" s="567" t="s">
        <v>2973</v>
      </c>
      <c r="I1235" s="14" t="s">
        <v>4625</v>
      </c>
      <c r="J1235" s="14" t="s">
        <v>4626</v>
      </c>
      <c r="K1235" s="478">
        <v>0.96</v>
      </c>
      <c r="L1235" s="220">
        <v>77</v>
      </c>
      <c r="M1235" s="568" t="s">
        <v>4627</v>
      </c>
      <c r="N1235" s="479" t="s">
        <v>2937</v>
      </c>
      <c r="O1235" s="569" t="s">
        <v>2976</v>
      </c>
      <c r="P1235" s="14" t="s">
        <v>4628</v>
      </c>
      <c r="Q1235" s="486" t="s">
        <v>4631</v>
      </c>
      <c r="R1235" s="14">
        <f>16*0.143</f>
        <v>2.2879999999999998</v>
      </c>
      <c r="S1235" s="14">
        <f t="shared" si="1195"/>
        <v>1.7617599999999998</v>
      </c>
      <c r="T1235" s="487">
        <f>SUM(R1233:R1266)</f>
        <v>95.999999999999972</v>
      </c>
      <c r="U1235">
        <f t="shared" si="1291"/>
        <v>2.3833333333333337</v>
      </c>
      <c r="V1235" s="481">
        <f>U1235</f>
        <v>2.3833333333333337</v>
      </c>
      <c r="W1235" s="541" t="s">
        <v>72</v>
      </c>
      <c r="X1235" s="482">
        <f t="shared" si="1265"/>
        <v>2.2880000000000003</v>
      </c>
      <c r="Y1235" s="481">
        <f>SUM(X1235,X1244)</f>
        <v>11.288000000000004</v>
      </c>
      <c r="Z1235" s="481">
        <f t="shared" ref="Z1235:AA1235" si="1294">Y1235</f>
        <v>11.288000000000004</v>
      </c>
      <c r="AA1235" s="810">
        <f t="shared" si="1294"/>
        <v>11.288000000000004</v>
      </c>
      <c r="AB1235" s="456" t="s">
        <v>72</v>
      </c>
      <c r="AC1235" s="469" t="s">
        <v>2938</v>
      </c>
      <c r="AD1235" s="469" t="s">
        <v>2940</v>
      </c>
      <c r="AE1235" s="457">
        <v>0</v>
      </c>
      <c r="AF1235" s="457">
        <v>0</v>
      </c>
      <c r="AG1235" s="457">
        <v>0</v>
      </c>
      <c r="AH1235" s="457">
        <v>0</v>
      </c>
    </row>
    <row r="1236" spans="1:34" ht="14.25">
      <c r="A1236" s="14" t="s">
        <v>4624</v>
      </c>
      <c r="B1236" s="24" t="s">
        <v>2768</v>
      </c>
      <c r="C1236" s="14" t="s">
        <v>2794</v>
      </c>
      <c r="D1236" s="14" t="s">
        <v>2911</v>
      </c>
      <c r="E1236" s="14" t="s">
        <v>4625</v>
      </c>
      <c r="F1236" s="13">
        <v>80.2</v>
      </c>
      <c r="G1236" s="14" t="s">
        <v>3686</v>
      </c>
      <c r="H1236" s="567" t="s">
        <v>2973</v>
      </c>
      <c r="I1236" s="14" t="s">
        <v>4625</v>
      </c>
      <c r="J1236" s="14" t="s">
        <v>4626</v>
      </c>
      <c r="K1236" s="478">
        <v>0.96</v>
      </c>
      <c r="L1236" s="220">
        <v>77</v>
      </c>
      <c r="M1236" s="568" t="s">
        <v>4627</v>
      </c>
      <c r="N1236" s="479" t="s">
        <v>2937</v>
      </c>
      <c r="O1236" s="569" t="s">
        <v>2976</v>
      </c>
      <c r="P1236" s="14" t="s">
        <v>4628</v>
      </c>
      <c r="Q1236" s="486" t="s">
        <v>4632</v>
      </c>
      <c r="R1236" s="14">
        <f>16*0.1</f>
        <v>1.6</v>
      </c>
      <c r="S1236" s="14">
        <f t="shared" si="1195"/>
        <v>1.232</v>
      </c>
      <c r="T1236" s="487">
        <f>SUM(R1233:R1266)</f>
        <v>95.999999999999972</v>
      </c>
      <c r="U1236">
        <f t="shared" si="1291"/>
        <v>1.6666666666666674</v>
      </c>
      <c r="V1236" s="220">
        <f>U1236*100/SUM(U1233:U1234,U1236:U1243,U1245:U1266)</f>
        <v>1.8887524789876291</v>
      </c>
      <c r="W1236" s="13" t="s">
        <v>425</v>
      </c>
      <c r="X1236">
        <f t="shared" si="1265"/>
        <v>1.8132023798281238</v>
      </c>
      <c r="Y1236" s="220">
        <f>SUM(X1236,X1254,X1255,X1237,X1253,X1260)</f>
        <v>16.586268769477758</v>
      </c>
      <c r="Z1236" s="220">
        <f>SUM(X1236,X1254,X1255)</f>
        <v>8.6127113041835877</v>
      </c>
      <c r="AA1236" s="792">
        <f t="shared" ref="AA1236:AA1237" si="1295">Z1236</f>
        <v>8.6127113041835877</v>
      </c>
      <c r="AB1236" s="18" t="s">
        <v>2796</v>
      </c>
      <c r="AC1236" s="13" t="s">
        <v>2964</v>
      </c>
      <c r="AD1236" s="13" t="s">
        <v>2965</v>
      </c>
      <c r="AE1236" s="12">
        <v>3.8102374934982654E-3</v>
      </c>
      <c r="AF1236" s="12">
        <v>0.20470422547079484</v>
      </c>
      <c r="AG1236" s="12">
        <v>1.210810810810811E-4</v>
      </c>
      <c r="AH1236" s="12">
        <v>1.0002400855855065E-3</v>
      </c>
    </row>
    <row r="1237" spans="1:34" ht="14.25">
      <c r="A1237" s="14" t="s">
        <v>4624</v>
      </c>
      <c r="B1237" s="24" t="s">
        <v>2768</v>
      </c>
      <c r="C1237" s="14" t="s">
        <v>2794</v>
      </c>
      <c r="D1237" s="14" t="s">
        <v>2911</v>
      </c>
      <c r="E1237" s="14" t="s">
        <v>4625</v>
      </c>
      <c r="F1237" s="13">
        <v>80.2</v>
      </c>
      <c r="G1237" s="14" t="s">
        <v>3686</v>
      </c>
      <c r="H1237" s="567" t="s">
        <v>2973</v>
      </c>
      <c r="I1237" s="14" t="s">
        <v>4625</v>
      </c>
      <c r="J1237" s="14" t="s">
        <v>4626</v>
      </c>
      <c r="K1237" s="478">
        <v>0.96</v>
      </c>
      <c r="L1237" s="220">
        <v>77</v>
      </c>
      <c r="M1237" s="568" t="s">
        <v>4627</v>
      </c>
      <c r="N1237" s="479" t="s">
        <v>2937</v>
      </c>
      <c r="O1237" s="569" t="s">
        <v>2976</v>
      </c>
      <c r="P1237" s="14" t="s">
        <v>4628</v>
      </c>
      <c r="Q1237" s="486" t="s">
        <v>4633</v>
      </c>
      <c r="R1237" s="14">
        <f>16*0.096</f>
        <v>1.536</v>
      </c>
      <c r="S1237" s="14">
        <f t="shared" si="1195"/>
        <v>1.18272</v>
      </c>
      <c r="T1237" s="487">
        <f>SUM(R1233:R1266)</f>
        <v>95.999999999999972</v>
      </c>
      <c r="U1237">
        <f t="shared" si="1291"/>
        <v>1.6000000000000003</v>
      </c>
      <c r="V1237" s="220">
        <f>U1237*100/SUM(U1233:U1234,U1236:U1243,U1245:U1266)</f>
        <v>1.8132023798281234</v>
      </c>
      <c r="W1237" s="13" t="s">
        <v>227</v>
      </c>
      <c r="X1237">
        <f t="shared" si="1265"/>
        <v>1.7406742846349983</v>
      </c>
      <c r="Y1237" s="220" t="s">
        <v>1666</v>
      </c>
      <c r="Z1237" s="220">
        <f>SUM(X1237,X1253,X1260)</f>
        <v>7.9735574652941725</v>
      </c>
      <c r="AA1237" s="792">
        <f t="shared" si="1295"/>
        <v>7.9735574652941725</v>
      </c>
      <c r="AB1237" s="18" t="s">
        <v>227</v>
      </c>
      <c r="AC1237" s="13" t="s">
        <v>55</v>
      </c>
      <c r="AD1237" s="13" t="s">
        <v>2979</v>
      </c>
      <c r="AE1237" s="12">
        <v>2.5055367220000002E-3</v>
      </c>
      <c r="AF1237" s="12">
        <v>3.8459841414181101E-2</v>
      </c>
      <c r="AG1237" s="12">
        <v>1.1035422343324251E-4</v>
      </c>
      <c r="AH1237" s="12">
        <v>8.109653861711444E-4</v>
      </c>
    </row>
    <row r="1238" spans="1:34" ht="14.25">
      <c r="A1238" s="14" t="s">
        <v>4624</v>
      </c>
      <c r="B1238" s="24" t="s">
        <v>2768</v>
      </c>
      <c r="C1238" s="14" t="s">
        <v>2794</v>
      </c>
      <c r="D1238" s="14" t="s">
        <v>2911</v>
      </c>
      <c r="E1238" s="14" t="s">
        <v>4625</v>
      </c>
      <c r="F1238" s="13">
        <v>80.2</v>
      </c>
      <c r="G1238" s="14" t="s">
        <v>3686</v>
      </c>
      <c r="H1238" s="567" t="s">
        <v>2973</v>
      </c>
      <c r="I1238" s="14" t="s">
        <v>4625</v>
      </c>
      <c r="J1238" s="14" t="s">
        <v>4626</v>
      </c>
      <c r="K1238" s="478">
        <v>0.96</v>
      </c>
      <c r="L1238" s="220">
        <v>77</v>
      </c>
      <c r="M1238" s="568" t="s">
        <v>4627</v>
      </c>
      <c r="N1238" s="479" t="s">
        <v>2937</v>
      </c>
      <c r="O1238" s="569" t="s">
        <v>2976</v>
      </c>
      <c r="P1238" s="14" t="s">
        <v>4628</v>
      </c>
      <c r="Q1238" s="486" t="s">
        <v>4634</v>
      </c>
      <c r="R1238" s="14">
        <f t="shared" ref="R1238:R1239" si="1296">16*0.006</f>
        <v>9.6000000000000002E-2</v>
      </c>
      <c r="S1238" s="14">
        <f t="shared" si="1195"/>
        <v>7.392E-2</v>
      </c>
      <c r="T1238" s="487">
        <f>SUM(R1233:R1266)</f>
        <v>95.999999999999972</v>
      </c>
      <c r="U1238">
        <f t="shared" si="1291"/>
        <v>0.10000000000000002</v>
      </c>
      <c r="V1238" s="220">
        <f>U1238*100/SUM(U1233:U1234,U1236:U1243,U1245:U1266)</f>
        <v>0.11332514873925771</v>
      </c>
      <c r="W1238" s="13" t="s">
        <v>421</v>
      </c>
      <c r="X1238">
        <f t="shared" si="1265"/>
        <v>0.10879214278968739</v>
      </c>
      <c r="Y1238" s="499">
        <f>SUM(X1238,X1256)</f>
        <v>1.2420436301822646</v>
      </c>
      <c r="Z1238" s="220">
        <f t="shared" ref="Z1238:AA1238" si="1297">Y1238</f>
        <v>1.2420436301822646</v>
      </c>
      <c r="AA1238" s="792">
        <f t="shared" si="1297"/>
        <v>1.2420436301822646</v>
      </c>
      <c r="AB1238" s="18" t="s">
        <v>421</v>
      </c>
      <c r="AC1238" s="14" t="s">
        <v>2953</v>
      </c>
      <c r="AD1238" s="14" t="s">
        <v>2954</v>
      </c>
      <c r="AE1238" s="12">
        <v>3.372204299368619E-2</v>
      </c>
      <c r="AF1238" s="12">
        <v>6.4584205812988751E-2</v>
      </c>
      <c r="AG1238" s="12">
        <v>3.9999999999999998E-6</v>
      </c>
      <c r="AH1238" s="12">
        <v>1.477309663377164E-3</v>
      </c>
    </row>
    <row r="1239" spans="1:34" ht="14.25">
      <c r="A1239" s="14" t="s">
        <v>4624</v>
      </c>
      <c r="B1239" s="24" t="s">
        <v>2768</v>
      </c>
      <c r="C1239" s="14" t="s">
        <v>2794</v>
      </c>
      <c r="D1239" s="14" t="s">
        <v>2911</v>
      </c>
      <c r="E1239" s="14" t="s">
        <v>4625</v>
      </c>
      <c r="F1239" s="13">
        <v>80.2</v>
      </c>
      <c r="G1239" s="14" t="s">
        <v>3686</v>
      </c>
      <c r="H1239" s="567" t="s">
        <v>2973</v>
      </c>
      <c r="I1239" s="14" t="s">
        <v>4625</v>
      </c>
      <c r="J1239" s="14" t="s">
        <v>4626</v>
      </c>
      <c r="K1239" s="478">
        <v>0.96</v>
      </c>
      <c r="L1239" s="220">
        <v>77</v>
      </c>
      <c r="M1239" s="568" t="s">
        <v>4627</v>
      </c>
      <c r="N1239" s="479" t="s">
        <v>2937</v>
      </c>
      <c r="O1239" s="569" t="s">
        <v>2976</v>
      </c>
      <c r="P1239" s="490" t="s">
        <v>4628</v>
      </c>
      <c r="Q1239" s="491" t="s">
        <v>4635</v>
      </c>
      <c r="R1239" s="14">
        <f t="shared" si="1296"/>
        <v>9.6000000000000002E-2</v>
      </c>
      <c r="S1239" s="14">
        <f t="shared" si="1195"/>
        <v>7.392E-2</v>
      </c>
      <c r="T1239" s="487">
        <f>SUM(R1233:R1266)</f>
        <v>95.999999999999972</v>
      </c>
      <c r="U1239">
        <f t="shared" si="1291"/>
        <v>0.10000000000000002</v>
      </c>
      <c r="V1239" s="220">
        <f>U1239*100/SUM(U1233:U1234,U1236:U1243,U1245:U1266)</f>
        <v>0.11332514873925771</v>
      </c>
      <c r="W1239" s="13" t="s">
        <v>83</v>
      </c>
      <c r="X1239">
        <f t="shared" si="1265"/>
        <v>0.10879214278968739</v>
      </c>
      <c r="Y1239" s="499">
        <f>SUM(X1239,X1261)</f>
        <v>0.56209273774671831</v>
      </c>
      <c r="Z1239" s="220">
        <f t="shared" ref="Z1239:AA1239" si="1298">Y1239</f>
        <v>0.56209273774671831</v>
      </c>
      <c r="AA1239" s="792">
        <f t="shared" si="1298"/>
        <v>0.56209273774671831</v>
      </c>
      <c r="AB1239" s="18" t="s">
        <v>83</v>
      </c>
      <c r="AC1239" s="14" t="s">
        <v>83</v>
      </c>
      <c r="AD1239" s="14" t="s">
        <v>2951</v>
      </c>
      <c r="AE1239" s="12">
        <v>0</v>
      </c>
      <c r="AF1239" s="12">
        <v>0</v>
      </c>
      <c r="AG1239" s="12">
        <v>0</v>
      </c>
      <c r="AH1239" s="12">
        <v>0</v>
      </c>
    </row>
    <row r="1240" spans="1:34" ht="14.25">
      <c r="A1240" s="14" t="s">
        <v>4624</v>
      </c>
      <c r="B1240" s="24" t="s">
        <v>2768</v>
      </c>
      <c r="C1240" s="14" t="s">
        <v>2794</v>
      </c>
      <c r="D1240" s="14" t="s">
        <v>2911</v>
      </c>
      <c r="E1240" s="14" t="s">
        <v>4625</v>
      </c>
      <c r="F1240" s="13">
        <v>80.2</v>
      </c>
      <c r="G1240" s="14" t="s">
        <v>3686</v>
      </c>
      <c r="H1240" s="567" t="s">
        <v>2973</v>
      </c>
      <c r="I1240" s="14" t="s">
        <v>4625</v>
      </c>
      <c r="J1240" s="14" t="s">
        <v>4626</v>
      </c>
      <c r="K1240" s="478">
        <v>0.96</v>
      </c>
      <c r="L1240" s="220">
        <v>77</v>
      </c>
      <c r="M1240" s="568" t="s">
        <v>4627</v>
      </c>
      <c r="N1240" s="479" t="s">
        <v>2937</v>
      </c>
      <c r="O1240" s="569" t="s">
        <v>2976</v>
      </c>
      <c r="P1240" s="14" t="s">
        <v>2945</v>
      </c>
      <c r="Q1240" s="435" t="s">
        <v>2946</v>
      </c>
      <c r="R1240" s="14">
        <v>22</v>
      </c>
      <c r="S1240" s="14">
        <f t="shared" si="1195"/>
        <v>16.940000000000001</v>
      </c>
      <c r="T1240" s="487">
        <f>SUM(R1233:R1266)</f>
        <v>95.999999999999972</v>
      </c>
      <c r="U1240">
        <f t="shared" si="1291"/>
        <v>22.916666666666675</v>
      </c>
      <c r="V1240" s="220">
        <f>U1240*100/SUM(U1233:U1234,U1236:U1243,U1245:U1266)</f>
        <v>25.970346586079895</v>
      </c>
      <c r="W1240" s="13" t="s">
        <v>433</v>
      </c>
      <c r="X1240">
        <f t="shared" si="1265"/>
        <v>24.9315327226367</v>
      </c>
      <c r="Y1240" s="220" t="s">
        <v>1666</v>
      </c>
      <c r="Z1240" s="220" t="s">
        <v>1666</v>
      </c>
      <c r="AA1240" s="792" t="str">
        <f>Z1240</f>
        <v>*</v>
      </c>
      <c r="AB1240" s="18" t="s">
        <v>1666</v>
      </c>
      <c r="AC1240" s="13" t="str">
        <f t="shared" ref="AC1240:AH1240" si="1299">AB1240</f>
        <v>*</v>
      </c>
      <c r="AD1240" s="13" t="str">
        <f t="shared" si="1299"/>
        <v>*</v>
      </c>
      <c r="AE1240" s="220" t="str">
        <f t="shared" si="1299"/>
        <v>*</v>
      </c>
      <c r="AF1240" s="220" t="str">
        <f t="shared" si="1299"/>
        <v>*</v>
      </c>
      <c r="AG1240" s="220" t="str">
        <f t="shared" si="1299"/>
        <v>*</v>
      </c>
      <c r="AH1240" s="220" t="str">
        <f t="shared" si="1299"/>
        <v>*</v>
      </c>
    </row>
    <row r="1241" spans="1:34" ht="14.25">
      <c r="A1241" s="14" t="s">
        <v>4624</v>
      </c>
      <c r="B1241" s="24" t="s">
        <v>2768</v>
      </c>
      <c r="C1241" s="14" t="s">
        <v>2794</v>
      </c>
      <c r="D1241" s="14" t="s">
        <v>2911</v>
      </c>
      <c r="E1241" s="14" t="s">
        <v>4625</v>
      </c>
      <c r="F1241" s="13">
        <v>80.2</v>
      </c>
      <c r="G1241" s="14" t="s">
        <v>3686</v>
      </c>
      <c r="H1241" s="567" t="s">
        <v>2973</v>
      </c>
      <c r="I1241" s="14" t="s">
        <v>4625</v>
      </c>
      <c r="J1241" s="14" t="s">
        <v>4626</v>
      </c>
      <c r="K1241" s="478">
        <v>0.96</v>
      </c>
      <c r="L1241" s="220">
        <v>77</v>
      </c>
      <c r="M1241" s="568" t="s">
        <v>4627</v>
      </c>
      <c r="N1241" s="479" t="s">
        <v>2937</v>
      </c>
      <c r="O1241" s="569" t="s">
        <v>2976</v>
      </c>
      <c r="P1241" s="655" t="s">
        <v>3005</v>
      </c>
      <c r="Q1241" s="486" t="s">
        <v>3006</v>
      </c>
      <c r="R1241" s="14">
        <v>12</v>
      </c>
      <c r="S1241" s="14">
        <f t="shared" si="1195"/>
        <v>9.24</v>
      </c>
      <c r="T1241" s="487">
        <f>SUM(R1233:R1266)</f>
        <v>95.999999999999972</v>
      </c>
      <c r="U1241">
        <f t="shared" si="1291"/>
        <v>12.500000000000004</v>
      </c>
      <c r="V1241" s="237">
        <f>U1241*100/SUM(U1233:U1234,U1236:U1243,U1245:U1266)</f>
        <v>14.165643592407216</v>
      </c>
      <c r="W1241" s="24" t="s">
        <v>2526</v>
      </c>
      <c r="X1241">
        <f t="shared" si="1265"/>
        <v>13.599017848710927</v>
      </c>
      <c r="Y1241" s="220">
        <f>SUM(X1241,X1265)</f>
        <v>13.712342997450184</v>
      </c>
      <c r="Z1241" s="220">
        <f t="shared" ref="Z1241:AA1241" si="1300">Y1241</f>
        <v>13.712342997450184</v>
      </c>
      <c r="AA1241" s="792">
        <f t="shared" si="1300"/>
        <v>13.712342997450184</v>
      </c>
      <c r="AB1241" s="18" t="s">
        <v>2526</v>
      </c>
      <c r="AC1241" s="13" t="s">
        <v>215</v>
      </c>
      <c r="AD1241" s="13" t="s">
        <v>3007</v>
      </c>
      <c r="AE1241" s="12">
        <v>5.0851930036188197E-3</v>
      </c>
      <c r="AF1241" s="12">
        <v>5.9995417730640897E-2</v>
      </c>
      <c r="AG1241" s="12">
        <v>3.4699999999999998E-4</v>
      </c>
      <c r="AH1241" s="12">
        <v>2.9762429672480995E-4</v>
      </c>
    </row>
    <row r="1242" spans="1:34" ht="14.25">
      <c r="A1242" s="14" t="s">
        <v>4624</v>
      </c>
      <c r="B1242" s="24" t="s">
        <v>2768</v>
      </c>
      <c r="C1242" s="14" t="s">
        <v>2794</v>
      </c>
      <c r="D1242" s="14" t="s">
        <v>2911</v>
      </c>
      <c r="E1242" s="14" t="s">
        <v>4625</v>
      </c>
      <c r="F1242" s="13">
        <v>80.2</v>
      </c>
      <c r="G1242" s="14" t="s">
        <v>3686</v>
      </c>
      <c r="H1242" s="567" t="s">
        <v>2973</v>
      </c>
      <c r="I1242" s="14" t="s">
        <v>4625</v>
      </c>
      <c r="J1242" s="14" t="s">
        <v>4626</v>
      </c>
      <c r="K1242" s="478">
        <v>0.96</v>
      </c>
      <c r="L1242" s="220">
        <v>77</v>
      </c>
      <c r="M1242" s="568" t="s">
        <v>4627</v>
      </c>
      <c r="N1242" s="479" t="s">
        <v>2937</v>
      </c>
      <c r="O1242" s="569" t="s">
        <v>2976</v>
      </c>
      <c r="P1242" s="14" t="s">
        <v>139</v>
      </c>
      <c r="Q1242" s="14" t="s">
        <v>3020</v>
      </c>
      <c r="R1242" s="14">
        <v>10</v>
      </c>
      <c r="S1242" s="14">
        <f t="shared" si="1195"/>
        <v>7.7</v>
      </c>
      <c r="T1242" s="487">
        <f>SUM(R1233:R1266)</f>
        <v>95.999999999999972</v>
      </c>
      <c r="U1242">
        <f t="shared" si="1291"/>
        <v>10.41666666666667</v>
      </c>
      <c r="V1242" s="237">
        <f>U1242*100/SUM(U1233:U1234,U1236:U1243,U1245:U1266)</f>
        <v>11.804702993672679</v>
      </c>
      <c r="W1242" s="24" t="s">
        <v>139</v>
      </c>
      <c r="X1242">
        <f t="shared" si="1265"/>
        <v>11.332514873925771</v>
      </c>
      <c r="Y1242" s="220">
        <f t="shared" ref="Y1242:AA1242" si="1301">X1242</f>
        <v>11.332514873925771</v>
      </c>
      <c r="Z1242" s="220">
        <f t="shared" si="1301"/>
        <v>11.332514873925771</v>
      </c>
      <c r="AA1242" s="792">
        <f t="shared" si="1301"/>
        <v>11.332514873925771</v>
      </c>
      <c r="AB1242" s="18" t="s">
        <v>139</v>
      </c>
      <c r="AC1242" s="13" t="s">
        <v>138</v>
      </c>
      <c r="AD1242" s="13" t="s">
        <v>3019</v>
      </c>
      <c r="AE1242" s="12">
        <v>4.0165275294130297E-3</v>
      </c>
      <c r="AF1242" s="12">
        <v>3.2725331200335404E-2</v>
      </c>
      <c r="AG1242" s="12">
        <v>2.4399999999999999E-4</v>
      </c>
      <c r="AH1242" s="12">
        <v>2.0392735E-3</v>
      </c>
    </row>
    <row r="1243" spans="1:34" ht="14.25">
      <c r="A1243" s="14" t="s">
        <v>4624</v>
      </c>
      <c r="B1243" s="24" t="s">
        <v>2768</v>
      </c>
      <c r="C1243" s="14" t="s">
        <v>2794</v>
      </c>
      <c r="D1243" s="14" t="s">
        <v>2911</v>
      </c>
      <c r="E1243" s="14" t="s">
        <v>4625</v>
      </c>
      <c r="F1243" s="13">
        <v>80.2</v>
      </c>
      <c r="G1243" s="14" t="s">
        <v>3686</v>
      </c>
      <c r="H1243" s="567" t="s">
        <v>2973</v>
      </c>
      <c r="I1243" s="14" t="s">
        <v>4625</v>
      </c>
      <c r="J1243" s="14" t="s">
        <v>4626</v>
      </c>
      <c r="K1243" s="478">
        <v>0.96</v>
      </c>
      <c r="L1243" s="220">
        <v>77</v>
      </c>
      <c r="M1243" s="568" t="s">
        <v>4627</v>
      </c>
      <c r="N1243" s="479" t="s">
        <v>2937</v>
      </c>
      <c r="O1243" s="569" t="s">
        <v>2976</v>
      </c>
      <c r="P1243" s="14" t="s">
        <v>2912</v>
      </c>
      <c r="Q1243" s="435" t="s">
        <v>2915</v>
      </c>
      <c r="R1243" s="14">
        <v>4</v>
      </c>
      <c r="S1243" s="14">
        <f t="shared" si="1195"/>
        <v>3.08</v>
      </c>
      <c r="T1243" s="487">
        <f>SUM(R1233:R1266)</f>
        <v>95.999999999999972</v>
      </c>
      <c r="U1243">
        <f t="shared" si="1291"/>
        <v>4.1666666666666679</v>
      </c>
      <c r="V1243" s="237">
        <f>U1243*100/SUM(U1233:U1234,U1236:U1243,U1245:U1266)</f>
        <v>4.721881197469072</v>
      </c>
      <c r="W1243" s="24" t="s">
        <v>124</v>
      </c>
      <c r="X1243">
        <f t="shared" si="1265"/>
        <v>4.5330059495703088</v>
      </c>
      <c r="Y1243" s="220">
        <f>SUM(X1243,X1259,X1247)</f>
        <v>7.3661346680517514</v>
      </c>
      <c r="Z1243" s="220">
        <f>X1243</f>
        <v>4.5330059495703088</v>
      </c>
      <c r="AA1243" s="792">
        <f t="shared" ref="AA1243:AA1256" si="1302">Z1243</f>
        <v>4.5330059495703088</v>
      </c>
      <c r="AB1243" s="18" t="s">
        <v>124</v>
      </c>
      <c r="AC1243" s="13" t="s">
        <v>877</v>
      </c>
      <c r="AD1243" s="14" t="s">
        <v>2916</v>
      </c>
      <c r="AE1243" s="12">
        <v>3.9416473933649287E-3</v>
      </c>
      <c r="AF1243" s="12">
        <v>1.1589150710900475E-2</v>
      </c>
      <c r="AG1243" s="12">
        <v>7.7264934597156404E-5</v>
      </c>
      <c r="AH1243" s="12">
        <v>7.2702369668246447E-4</v>
      </c>
    </row>
    <row r="1244" spans="1:34" ht="14.25">
      <c r="A1244" s="14" t="s">
        <v>4624</v>
      </c>
      <c r="B1244" s="24" t="s">
        <v>2768</v>
      </c>
      <c r="C1244" s="14" t="s">
        <v>2794</v>
      </c>
      <c r="D1244" s="14" t="s">
        <v>2911</v>
      </c>
      <c r="E1244" s="14" t="s">
        <v>4625</v>
      </c>
      <c r="F1244" s="13">
        <v>80.2</v>
      </c>
      <c r="G1244" s="14" t="s">
        <v>3686</v>
      </c>
      <c r="H1244" s="567" t="s">
        <v>2973</v>
      </c>
      <c r="I1244" s="14" t="s">
        <v>4625</v>
      </c>
      <c r="J1244" s="14" t="s">
        <v>4626</v>
      </c>
      <c r="K1244" s="478">
        <v>0.96</v>
      </c>
      <c r="L1244" s="220">
        <v>77</v>
      </c>
      <c r="M1244" s="568" t="s">
        <v>4627</v>
      </c>
      <c r="N1244" s="479" t="s">
        <v>2937</v>
      </c>
      <c r="O1244" s="569" t="s">
        <v>2976</v>
      </c>
      <c r="P1244" s="14" t="s">
        <v>2938</v>
      </c>
      <c r="Q1244" s="435" t="s">
        <v>2939</v>
      </c>
      <c r="R1244" s="14">
        <v>9</v>
      </c>
      <c r="S1244" s="14">
        <f t="shared" si="1195"/>
        <v>6.93</v>
      </c>
      <c r="T1244" s="487">
        <f>SUM(R1233:R1266)</f>
        <v>95.999999999999972</v>
      </c>
      <c r="U1244">
        <f t="shared" si="1291"/>
        <v>9.3750000000000036</v>
      </c>
      <c r="V1244" s="481">
        <f>U1244</f>
        <v>9.3750000000000036</v>
      </c>
      <c r="W1244" s="541" t="s">
        <v>72</v>
      </c>
      <c r="X1244" s="502">
        <f t="shared" si="1265"/>
        <v>9.0000000000000036</v>
      </c>
      <c r="Y1244" s="470" t="s">
        <v>1666</v>
      </c>
      <c r="Z1244" s="220" t="s">
        <v>1666</v>
      </c>
      <c r="AA1244" s="792" t="str">
        <f t="shared" si="1302"/>
        <v>*</v>
      </c>
      <c r="AB1244" s="458" t="str">
        <f t="shared" ref="AB1244:AH1244" si="1303">AA1244</f>
        <v>*</v>
      </c>
      <c r="AC1244" s="458" t="str">
        <f t="shared" si="1303"/>
        <v>*</v>
      </c>
      <c r="AD1244" s="458" t="str">
        <f t="shared" si="1303"/>
        <v>*</v>
      </c>
      <c r="AE1244" s="462" t="str">
        <f t="shared" si="1303"/>
        <v>*</v>
      </c>
      <c r="AF1244" s="462" t="str">
        <f t="shared" si="1303"/>
        <v>*</v>
      </c>
      <c r="AG1244" s="462" t="str">
        <f t="shared" si="1303"/>
        <v>*</v>
      </c>
      <c r="AH1244" s="462" t="str">
        <f t="shared" si="1303"/>
        <v>*</v>
      </c>
    </row>
    <row r="1245" spans="1:34" ht="14.25">
      <c r="A1245" s="14" t="s">
        <v>4624</v>
      </c>
      <c r="B1245" s="24" t="s">
        <v>2768</v>
      </c>
      <c r="C1245" s="14" t="s">
        <v>2794</v>
      </c>
      <c r="D1245" s="14" t="s">
        <v>2911</v>
      </c>
      <c r="E1245" s="14" t="s">
        <v>4625</v>
      </c>
      <c r="F1245" s="13">
        <v>80.2</v>
      </c>
      <c r="G1245" s="14" t="s">
        <v>3686</v>
      </c>
      <c r="H1245" s="567" t="s">
        <v>2973</v>
      </c>
      <c r="I1245" s="14" t="s">
        <v>4625</v>
      </c>
      <c r="J1245" s="14" t="s">
        <v>4626</v>
      </c>
      <c r="K1245" s="478">
        <v>0.96</v>
      </c>
      <c r="L1245" s="220">
        <v>77</v>
      </c>
      <c r="M1245" s="568" t="s">
        <v>4627</v>
      </c>
      <c r="N1245" s="479" t="s">
        <v>2937</v>
      </c>
      <c r="O1245" s="569" t="s">
        <v>2976</v>
      </c>
      <c r="P1245" s="489" t="s">
        <v>2980</v>
      </c>
      <c r="Q1245" s="563" t="s">
        <v>4636</v>
      </c>
      <c r="R1245" s="14">
        <f t="shared" ref="R1245:R1246" si="1304">3.5/2</f>
        <v>1.75</v>
      </c>
      <c r="S1245" s="14">
        <f t="shared" si="1195"/>
        <v>1.3475000000000001</v>
      </c>
      <c r="T1245" s="487">
        <f>SUM(R1233:R1266)</f>
        <v>95.999999999999972</v>
      </c>
      <c r="U1245">
        <f t="shared" si="1291"/>
        <v>1.8229166666666672</v>
      </c>
      <c r="V1245" s="220">
        <f>U1245*100/SUM(U1233:U1234,U1236:U1243,U1245:U1266)</f>
        <v>2.0658230238927189</v>
      </c>
      <c r="W1245" s="13" t="s">
        <v>349</v>
      </c>
      <c r="X1245">
        <f t="shared" si="1265"/>
        <v>1.98319010293701</v>
      </c>
      <c r="Y1245" s="220" t="s">
        <v>1666</v>
      </c>
      <c r="Z1245" s="220" t="s">
        <v>1666</v>
      </c>
      <c r="AA1245" s="792" t="str">
        <f t="shared" si="1302"/>
        <v>*</v>
      </c>
      <c r="AB1245" s="458" t="str">
        <f t="shared" ref="AB1245:AH1245" si="1305">AA1245</f>
        <v>*</v>
      </c>
      <c r="AC1245" s="458" t="str">
        <f t="shared" si="1305"/>
        <v>*</v>
      </c>
      <c r="AD1245" s="458" t="str">
        <f t="shared" si="1305"/>
        <v>*</v>
      </c>
      <c r="AE1245" s="462" t="str">
        <f t="shared" si="1305"/>
        <v>*</v>
      </c>
      <c r="AF1245" s="462" t="str">
        <f t="shared" si="1305"/>
        <v>*</v>
      </c>
      <c r="AG1245" s="462" t="str">
        <f t="shared" si="1305"/>
        <v>*</v>
      </c>
      <c r="AH1245" s="462" t="str">
        <f t="shared" si="1305"/>
        <v>*</v>
      </c>
    </row>
    <row r="1246" spans="1:34" ht="14.25">
      <c r="A1246" s="14" t="s">
        <v>4624</v>
      </c>
      <c r="B1246" s="24" t="s">
        <v>2768</v>
      </c>
      <c r="C1246" s="14" t="s">
        <v>2794</v>
      </c>
      <c r="D1246" s="14" t="s">
        <v>2911</v>
      </c>
      <c r="E1246" s="14" t="s">
        <v>4625</v>
      </c>
      <c r="F1246" s="13">
        <v>80.2</v>
      </c>
      <c r="G1246" s="14" t="s">
        <v>3686</v>
      </c>
      <c r="H1246" s="567" t="s">
        <v>2973</v>
      </c>
      <c r="I1246" s="14" t="s">
        <v>4625</v>
      </c>
      <c r="J1246" s="14" t="s">
        <v>4626</v>
      </c>
      <c r="K1246" s="478">
        <v>0.96</v>
      </c>
      <c r="L1246" s="220">
        <v>77</v>
      </c>
      <c r="M1246" s="568" t="s">
        <v>4627</v>
      </c>
      <c r="N1246" s="479" t="s">
        <v>2937</v>
      </c>
      <c r="O1246" s="569" t="s">
        <v>2976</v>
      </c>
      <c r="P1246" s="490" t="s">
        <v>2980</v>
      </c>
      <c r="Q1246" s="491" t="s">
        <v>4366</v>
      </c>
      <c r="R1246" s="14">
        <f t="shared" si="1304"/>
        <v>1.75</v>
      </c>
      <c r="S1246" s="14">
        <f t="shared" si="1195"/>
        <v>1.3475000000000001</v>
      </c>
      <c r="T1246" s="487">
        <f>SUM(R1233:R1266)</f>
        <v>95.999999999999972</v>
      </c>
      <c r="U1246">
        <f t="shared" si="1291"/>
        <v>1.8229166666666672</v>
      </c>
      <c r="V1246" s="220">
        <f>U1246*100/SUM(U1233:U1234,U1236:U1243,U1245:U1266)</f>
        <v>2.0658230238927189</v>
      </c>
      <c r="W1246" s="13" t="s">
        <v>2521</v>
      </c>
      <c r="X1246">
        <f t="shared" si="1265"/>
        <v>1.98319010293701</v>
      </c>
      <c r="Y1246" s="220">
        <f>X1246</f>
        <v>1.98319010293701</v>
      </c>
      <c r="Z1246" s="220">
        <f t="shared" ref="Z1246:Z1247" si="1306">X1246</f>
        <v>1.98319010293701</v>
      </c>
      <c r="AA1246" s="792">
        <f t="shared" si="1302"/>
        <v>1.98319010293701</v>
      </c>
      <c r="AB1246" s="18" t="s">
        <v>324</v>
      </c>
      <c r="AC1246" s="13" t="s">
        <v>4579</v>
      </c>
      <c r="AD1246" s="13" t="s">
        <v>18</v>
      </c>
      <c r="AE1246" s="12">
        <v>1.0652903141570055E-3</v>
      </c>
      <c r="AF1246" s="12">
        <v>1.7273631840796021E-2</v>
      </c>
      <c r="AG1246" s="12">
        <v>1.3582399999999999E-4</v>
      </c>
      <c r="AH1246" s="12">
        <v>2.14E-3</v>
      </c>
    </row>
    <row r="1247" spans="1:34" ht="14.25">
      <c r="A1247" s="14" t="s">
        <v>4624</v>
      </c>
      <c r="B1247" s="24" t="s">
        <v>2768</v>
      </c>
      <c r="C1247" s="14" t="s">
        <v>2794</v>
      </c>
      <c r="D1247" s="14" t="s">
        <v>2911</v>
      </c>
      <c r="E1247" s="14" t="s">
        <v>4625</v>
      </c>
      <c r="F1247" s="13">
        <v>80.2</v>
      </c>
      <c r="G1247" s="14" t="s">
        <v>3686</v>
      </c>
      <c r="H1247" s="567" t="s">
        <v>2973</v>
      </c>
      <c r="I1247" s="14" t="s">
        <v>4625</v>
      </c>
      <c r="J1247" s="14" t="s">
        <v>4626</v>
      </c>
      <c r="K1247" s="478">
        <v>0.96</v>
      </c>
      <c r="L1247" s="220">
        <v>77</v>
      </c>
      <c r="M1247" s="568" t="s">
        <v>4627</v>
      </c>
      <c r="N1247" s="479" t="s">
        <v>2937</v>
      </c>
      <c r="O1247" s="569" t="s">
        <v>2976</v>
      </c>
      <c r="P1247" s="14" t="s">
        <v>3013</v>
      </c>
      <c r="Q1247" s="14" t="s">
        <v>4637</v>
      </c>
      <c r="R1247" s="14">
        <v>2</v>
      </c>
      <c r="S1247" s="14">
        <f t="shared" si="1195"/>
        <v>1.54</v>
      </c>
      <c r="T1247" s="487">
        <f>SUM(R1233:R1266)</f>
        <v>95.999999999999972</v>
      </c>
      <c r="U1247">
        <f t="shared" si="1291"/>
        <v>2.0833333333333339</v>
      </c>
      <c r="V1247" s="220">
        <f>U1247*100/SUM(U1233:U1234,U1236:U1243,U1245:U1266)</f>
        <v>2.360940598734536</v>
      </c>
      <c r="W1247" s="13" t="s">
        <v>88</v>
      </c>
      <c r="X1247">
        <f t="shared" si="1265"/>
        <v>2.2665029747851544</v>
      </c>
      <c r="Y1247" s="220" t="s">
        <v>1666</v>
      </c>
      <c r="Z1247" s="220">
        <f t="shared" si="1306"/>
        <v>2.2665029747851544</v>
      </c>
      <c r="AA1247" s="792">
        <f t="shared" si="1302"/>
        <v>2.2665029747851544</v>
      </c>
      <c r="AB1247" s="18" t="s">
        <v>2528</v>
      </c>
      <c r="AC1247" s="13" t="s">
        <v>3015</v>
      </c>
      <c r="AD1247" s="13" t="s">
        <v>3016</v>
      </c>
      <c r="AE1247" s="12">
        <v>5.5280749052132698E-2</v>
      </c>
      <c r="AF1247" s="12">
        <v>0.16253532298578199</v>
      </c>
      <c r="AG1247" s="12">
        <v>1.0836239353080568E-3</v>
      </c>
      <c r="AH1247" s="12">
        <v>1.0196349526066351E-2</v>
      </c>
    </row>
    <row r="1248" spans="1:34" ht="14.25">
      <c r="A1248" s="14" t="s">
        <v>4624</v>
      </c>
      <c r="B1248" s="24" t="s">
        <v>2768</v>
      </c>
      <c r="C1248" s="14" t="s">
        <v>2794</v>
      </c>
      <c r="D1248" s="14" t="s">
        <v>2911</v>
      </c>
      <c r="E1248" s="14" t="s">
        <v>4625</v>
      </c>
      <c r="F1248" s="13">
        <v>80.2</v>
      </c>
      <c r="G1248" s="14" t="s">
        <v>3686</v>
      </c>
      <c r="H1248" s="567" t="s">
        <v>2973</v>
      </c>
      <c r="I1248" s="14" t="s">
        <v>4625</v>
      </c>
      <c r="J1248" s="14" t="s">
        <v>4626</v>
      </c>
      <c r="K1248" s="478">
        <v>0.96</v>
      </c>
      <c r="L1248" s="220">
        <v>77</v>
      </c>
      <c r="M1248" s="568" t="s">
        <v>4627</v>
      </c>
      <c r="N1248" s="479" t="s">
        <v>2937</v>
      </c>
      <c r="O1248" s="569" t="s">
        <v>2976</v>
      </c>
      <c r="P1248" s="655" t="s">
        <v>2987</v>
      </c>
      <c r="Q1248" s="486" t="s">
        <v>4638</v>
      </c>
      <c r="R1248" s="14">
        <v>0.6</v>
      </c>
      <c r="S1248" s="14">
        <f t="shared" si="1195"/>
        <v>0.46200000000000002</v>
      </c>
      <c r="T1248" s="487">
        <f>SUM(R1233:R1266)</f>
        <v>95.999999999999972</v>
      </c>
      <c r="U1248">
        <f t="shared" si="1291"/>
        <v>0.62500000000000011</v>
      </c>
      <c r="V1248" s="220">
        <f>U1248*100/SUM(U1233:U1234,U1236:U1243,U1245:U1266)</f>
        <v>0.70828217962036077</v>
      </c>
      <c r="W1248" s="13" t="s">
        <v>349</v>
      </c>
      <c r="X1248">
        <f t="shared" si="1265"/>
        <v>0.67995089243554629</v>
      </c>
      <c r="Y1248" s="220" t="s">
        <v>1666</v>
      </c>
      <c r="Z1248" s="220" t="s">
        <v>1666</v>
      </c>
      <c r="AA1248" s="792" t="str">
        <f t="shared" si="1302"/>
        <v>*</v>
      </c>
      <c r="AB1248" s="458" t="str">
        <f t="shared" ref="AB1248:AH1248" si="1307">AA1248</f>
        <v>*</v>
      </c>
      <c r="AC1248" s="458" t="str">
        <f t="shared" si="1307"/>
        <v>*</v>
      </c>
      <c r="AD1248" s="458" t="str">
        <f t="shared" si="1307"/>
        <v>*</v>
      </c>
      <c r="AE1248" s="462" t="str">
        <f t="shared" si="1307"/>
        <v>*</v>
      </c>
      <c r="AF1248" s="462" t="str">
        <f t="shared" si="1307"/>
        <v>*</v>
      </c>
      <c r="AG1248" s="462" t="str">
        <f t="shared" si="1307"/>
        <v>*</v>
      </c>
      <c r="AH1248" s="462" t="str">
        <f t="shared" si="1307"/>
        <v>*</v>
      </c>
    </row>
    <row r="1249" spans="1:34" ht="14.25">
      <c r="A1249" s="14" t="s">
        <v>4624</v>
      </c>
      <c r="B1249" s="24" t="s">
        <v>2768</v>
      </c>
      <c r="C1249" s="14" t="s">
        <v>2794</v>
      </c>
      <c r="D1249" s="14" t="s">
        <v>2911</v>
      </c>
      <c r="E1249" s="14" t="s">
        <v>4625</v>
      </c>
      <c r="F1249" s="13">
        <v>80.2</v>
      </c>
      <c r="G1249" s="14" t="s">
        <v>3686</v>
      </c>
      <c r="H1249" s="567" t="s">
        <v>2973</v>
      </c>
      <c r="I1249" s="14" t="s">
        <v>4625</v>
      </c>
      <c r="J1249" s="14" t="s">
        <v>4626</v>
      </c>
      <c r="K1249" s="478">
        <v>0.96</v>
      </c>
      <c r="L1249" s="220">
        <v>77</v>
      </c>
      <c r="M1249" s="568" t="s">
        <v>4627</v>
      </c>
      <c r="N1249" s="479" t="s">
        <v>2937</v>
      </c>
      <c r="O1249" s="569" t="s">
        <v>2976</v>
      </c>
      <c r="P1249" s="14" t="s">
        <v>3021</v>
      </c>
      <c r="Q1249" s="486" t="s">
        <v>4639</v>
      </c>
      <c r="R1249" s="14">
        <v>0.5</v>
      </c>
      <c r="S1249" s="14">
        <f t="shared" si="1195"/>
        <v>0.38500000000000001</v>
      </c>
      <c r="T1249" s="487">
        <f>SUM(R1233:R1266)</f>
        <v>95.999999999999972</v>
      </c>
      <c r="U1249">
        <f t="shared" si="1291"/>
        <v>0.52083333333333348</v>
      </c>
      <c r="V1249" s="220">
        <f>U1249*100/SUM(U1233:U1234,U1236:U1243,U1245:U1266)</f>
        <v>0.590235149683634</v>
      </c>
      <c r="W1249" s="13" t="s">
        <v>346</v>
      </c>
      <c r="X1249">
        <f t="shared" si="1265"/>
        <v>0.5666257436962886</v>
      </c>
      <c r="Y1249" s="220" t="s">
        <v>1666</v>
      </c>
      <c r="Z1249" s="220" t="s">
        <v>1666</v>
      </c>
      <c r="AA1249" s="792" t="str">
        <f t="shared" si="1302"/>
        <v>*</v>
      </c>
      <c r="AB1249" s="458" t="str">
        <f t="shared" ref="AB1249:AH1249" si="1308">AA1249</f>
        <v>*</v>
      </c>
      <c r="AC1249" s="458" t="str">
        <f t="shared" si="1308"/>
        <v>*</v>
      </c>
      <c r="AD1249" s="458" t="str">
        <f t="shared" si="1308"/>
        <v>*</v>
      </c>
      <c r="AE1249" s="462" t="str">
        <f t="shared" si="1308"/>
        <v>*</v>
      </c>
      <c r="AF1249" s="462" t="str">
        <f t="shared" si="1308"/>
        <v>*</v>
      </c>
      <c r="AG1249" s="462" t="str">
        <f t="shared" si="1308"/>
        <v>*</v>
      </c>
      <c r="AH1249" s="462" t="str">
        <f t="shared" si="1308"/>
        <v>*</v>
      </c>
    </row>
    <row r="1250" spans="1:34" ht="14.25">
      <c r="A1250" s="14" t="s">
        <v>4624</v>
      </c>
      <c r="B1250" s="24" t="s">
        <v>2768</v>
      </c>
      <c r="C1250" s="14" t="s">
        <v>2794</v>
      </c>
      <c r="D1250" s="14" t="s">
        <v>2911</v>
      </c>
      <c r="E1250" s="14" t="s">
        <v>4625</v>
      </c>
      <c r="F1250" s="13">
        <v>80.2</v>
      </c>
      <c r="G1250" s="14" t="s">
        <v>3686</v>
      </c>
      <c r="H1250" s="567" t="s">
        <v>2973</v>
      </c>
      <c r="I1250" s="14" t="s">
        <v>4625</v>
      </c>
      <c r="J1250" s="14" t="s">
        <v>4626</v>
      </c>
      <c r="K1250" s="478">
        <v>0.96</v>
      </c>
      <c r="L1250" s="220">
        <v>77</v>
      </c>
      <c r="M1250" s="568" t="s">
        <v>4627</v>
      </c>
      <c r="N1250" s="479" t="s">
        <v>2937</v>
      </c>
      <c r="O1250" s="569" t="s">
        <v>2976</v>
      </c>
      <c r="P1250" s="655" t="s">
        <v>4318</v>
      </c>
      <c r="Q1250" s="486" t="s">
        <v>4640</v>
      </c>
      <c r="R1250" s="14">
        <v>0.5</v>
      </c>
      <c r="S1250" s="14">
        <f t="shared" si="1195"/>
        <v>0.38500000000000001</v>
      </c>
      <c r="T1250" s="487">
        <f>SUM(R1233:R1266)</f>
        <v>95.999999999999972</v>
      </c>
      <c r="U1250">
        <f t="shared" si="1291"/>
        <v>0.52083333333333348</v>
      </c>
      <c r="V1250" s="220">
        <f>U1250*100/SUM(U1233:U1234,U1236:U1243,U1245:U1266)</f>
        <v>0.590235149683634</v>
      </c>
      <c r="W1250" s="13" t="s">
        <v>4641</v>
      </c>
      <c r="X1250">
        <f t="shared" si="1265"/>
        <v>0.5666257436962886</v>
      </c>
      <c r="Y1250" s="220" t="s">
        <v>1666</v>
      </c>
      <c r="Z1250" s="220" t="s">
        <v>1666</v>
      </c>
      <c r="AA1250" s="792" t="str">
        <f t="shared" si="1302"/>
        <v>*</v>
      </c>
      <c r="AB1250" s="458" t="str">
        <f t="shared" ref="AB1250:AH1250" si="1309">AA1250</f>
        <v>*</v>
      </c>
      <c r="AC1250" s="458" t="str">
        <f t="shared" si="1309"/>
        <v>*</v>
      </c>
      <c r="AD1250" s="458" t="str">
        <f t="shared" si="1309"/>
        <v>*</v>
      </c>
      <c r="AE1250" s="462" t="str">
        <f t="shared" si="1309"/>
        <v>*</v>
      </c>
      <c r="AF1250" s="462" t="str">
        <f t="shared" si="1309"/>
        <v>*</v>
      </c>
      <c r="AG1250" s="462" t="str">
        <f t="shared" si="1309"/>
        <v>*</v>
      </c>
      <c r="AH1250" s="462" t="str">
        <f t="shared" si="1309"/>
        <v>*</v>
      </c>
    </row>
    <row r="1251" spans="1:34" ht="14.25">
      <c r="A1251" s="14" t="s">
        <v>4624</v>
      </c>
      <c r="B1251" s="24" t="s">
        <v>2768</v>
      </c>
      <c r="C1251" s="14" t="s">
        <v>2794</v>
      </c>
      <c r="D1251" s="14" t="s">
        <v>2911</v>
      </c>
      <c r="E1251" s="14" t="s">
        <v>4625</v>
      </c>
      <c r="F1251" s="13">
        <v>80.2</v>
      </c>
      <c r="G1251" s="14" t="s">
        <v>3686</v>
      </c>
      <c r="H1251" s="567" t="s">
        <v>2973</v>
      </c>
      <c r="I1251" s="14" t="s">
        <v>4625</v>
      </c>
      <c r="J1251" s="14" t="s">
        <v>4626</v>
      </c>
      <c r="K1251" s="478">
        <v>0.96</v>
      </c>
      <c r="L1251" s="220">
        <v>77</v>
      </c>
      <c r="M1251" s="568" t="s">
        <v>4627</v>
      </c>
      <c r="N1251" s="479" t="s">
        <v>2937</v>
      </c>
      <c r="O1251" s="569" t="s">
        <v>2976</v>
      </c>
      <c r="P1251" s="14" t="s">
        <v>330</v>
      </c>
      <c r="Q1251" s="486" t="s">
        <v>4642</v>
      </c>
      <c r="R1251" s="14">
        <v>0.5</v>
      </c>
      <c r="S1251" s="14">
        <f t="shared" si="1195"/>
        <v>0.38500000000000001</v>
      </c>
      <c r="T1251" s="487">
        <f>SUM(R1233:R1266)</f>
        <v>95.999999999999972</v>
      </c>
      <c r="U1251">
        <f t="shared" si="1291"/>
        <v>0.52083333333333348</v>
      </c>
      <c r="V1251" s="220">
        <f>U1251*100/SUM(U1233:U1234,U1236:U1243,U1245:U1266)</f>
        <v>0.590235149683634</v>
      </c>
      <c r="W1251" s="13" t="s">
        <v>332</v>
      </c>
      <c r="X1251">
        <f t="shared" si="1265"/>
        <v>0.5666257436962886</v>
      </c>
      <c r="Y1251" s="499">
        <f>SUM(X1251:X1252)</f>
        <v>1.1332514873925772</v>
      </c>
      <c r="Z1251" s="220">
        <f t="shared" ref="Z1251:Z1252" si="1310">X1251</f>
        <v>0.5666257436962886</v>
      </c>
      <c r="AA1251" s="792">
        <f t="shared" si="1302"/>
        <v>0.5666257436962886</v>
      </c>
      <c r="AB1251" s="18" t="s">
        <v>332</v>
      </c>
      <c r="AC1251" s="13" t="s">
        <v>18</v>
      </c>
      <c r="AD1251" s="13" t="s">
        <v>3144</v>
      </c>
      <c r="AE1251" s="12">
        <v>2.3E-3</v>
      </c>
      <c r="AF1251" s="12">
        <v>4.7879999999999999E-2</v>
      </c>
      <c r="AG1251" s="12">
        <v>9.9999999999999995E-7</v>
      </c>
      <c r="AH1251" s="12">
        <v>4.4092488403675551E-4</v>
      </c>
    </row>
    <row r="1252" spans="1:34" ht="14.25">
      <c r="A1252" s="14" t="s">
        <v>4624</v>
      </c>
      <c r="B1252" s="24" t="s">
        <v>2768</v>
      </c>
      <c r="C1252" s="14" t="s">
        <v>2794</v>
      </c>
      <c r="D1252" s="14" t="s">
        <v>2911</v>
      </c>
      <c r="E1252" s="14" t="s">
        <v>4625</v>
      </c>
      <c r="F1252" s="13">
        <v>80.2</v>
      </c>
      <c r="G1252" s="14" t="s">
        <v>3686</v>
      </c>
      <c r="H1252" s="567" t="s">
        <v>2973</v>
      </c>
      <c r="I1252" s="14" t="s">
        <v>4625</v>
      </c>
      <c r="J1252" s="14" t="s">
        <v>4626</v>
      </c>
      <c r="K1252" s="478">
        <v>0.96</v>
      </c>
      <c r="L1252" s="220">
        <v>77</v>
      </c>
      <c r="M1252" s="568" t="s">
        <v>4627</v>
      </c>
      <c r="N1252" s="479" t="s">
        <v>2937</v>
      </c>
      <c r="O1252" s="569" t="s">
        <v>2976</v>
      </c>
      <c r="P1252" s="655" t="s">
        <v>2985</v>
      </c>
      <c r="Q1252" s="486" t="s">
        <v>4643</v>
      </c>
      <c r="R1252" s="14">
        <v>0.5</v>
      </c>
      <c r="S1252" s="14">
        <f t="shared" si="1195"/>
        <v>0.38500000000000001</v>
      </c>
      <c r="T1252" s="487">
        <f>SUM(R1233:R1266)</f>
        <v>95.999999999999972</v>
      </c>
      <c r="U1252">
        <f t="shared" si="1291"/>
        <v>0.52083333333333348</v>
      </c>
      <c r="V1252" s="220">
        <f>U1252*100/SUM(U1233:U1234,U1236:U1243,U1245:U1266)</f>
        <v>0.590235149683634</v>
      </c>
      <c r="W1252" s="13" t="s">
        <v>2522</v>
      </c>
      <c r="X1252">
        <f t="shared" si="1265"/>
        <v>0.5666257436962886</v>
      </c>
      <c r="Y1252" s="220" t="s">
        <v>1624</v>
      </c>
      <c r="Z1252" s="220">
        <f t="shared" si="1310"/>
        <v>0.5666257436962886</v>
      </c>
      <c r="AA1252" s="792">
        <f t="shared" si="1302"/>
        <v>0.5666257436962886</v>
      </c>
      <c r="AB1252" s="18" t="s">
        <v>1370</v>
      </c>
      <c r="AC1252" s="13" t="s">
        <v>18</v>
      </c>
      <c r="AD1252" s="13" t="s">
        <v>3144</v>
      </c>
      <c r="AE1252" s="12">
        <v>1.7000000000000001E-2</v>
      </c>
      <c r="AF1252" s="12">
        <v>3.15E-2</v>
      </c>
      <c r="AG1252" s="12">
        <v>9.9999999999999995E-7</v>
      </c>
      <c r="AH1252" s="12">
        <v>9.0389601227534877E-4</v>
      </c>
    </row>
    <row r="1253" spans="1:34" ht="14.25">
      <c r="A1253" s="14" t="s">
        <v>4624</v>
      </c>
      <c r="B1253" s="24" t="s">
        <v>2768</v>
      </c>
      <c r="C1253" s="14" t="s">
        <v>2794</v>
      </c>
      <c r="D1253" s="14" t="s">
        <v>2911</v>
      </c>
      <c r="E1253" s="14" t="s">
        <v>4625</v>
      </c>
      <c r="F1253" s="13">
        <v>80.2</v>
      </c>
      <c r="G1253" s="14" t="s">
        <v>3686</v>
      </c>
      <c r="H1253" s="567" t="s">
        <v>2973</v>
      </c>
      <c r="I1253" s="14" t="s">
        <v>4625</v>
      </c>
      <c r="J1253" s="14" t="s">
        <v>4626</v>
      </c>
      <c r="K1253" s="478">
        <v>0.96</v>
      </c>
      <c r="L1253" s="220">
        <v>77</v>
      </c>
      <c r="M1253" s="568" t="s">
        <v>4627</v>
      </c>
      <c r="N1253" s="479" t="s">
        <v>2937</v>
      </c>
      <c r="O1253" s="569" t="s">
        <v>2976</v>
      </c>
      <c r="P1253" s="655" t="s">
        <v>2977</v>
      </c>
      <c r="Q1253" s="486" t="s">
        <v>4644</v>
      </c>
      <c r="R1253" s="14">
        <v>5</v>
      </c>
      <c r="S1253" s="14">
        <f t="shared" si="1195"/>
        <v>3.85</v>
      </c>
      <c r="T1253" s="487">
        <f>SUM(R1233:R1266)</f>
        <v>95.999999999999972</v>
      </c>
      <c r="U1253">
        <f t="shared" si="1291"/>
        <v>5.2083333333333348</v>
      </c>
      <c r="V1253" s="220">
        <f>U1253*100/SUM(U1233:U1234,U1236:U1243,U1245:U1266)</f>
        <v>5.9023514968363395</v>
      </c>
      <c r="W1253" s="13" t="s">
        <v>227</v>
      </c>
      <c r="X1253">
        <f t="shared" si="1265"/>
        <v>5.6662574369628853</v>
      </c>
      <c r="Y1253" s="220" t="s">
        <v>1666</v>
      </c>
      <c r="Z1253" s="220" t="s">
        <v>1666</v>
      </c>
      <c r="AA1253" s="792" t="str">
        <f t="shared" si="1302"/>
        <v>*</v>
      </c>
      <c r="AB1253" s="458" t="str">
        <f t="shared" ref="AB1253:AH1253" si="1311">AA1253</f>
        <v>*</v>
      </c>
      <c r="AC1253" s="458" t="str">
        <f t="shared" si="1311"/>
        <v>*</v>
      </c>
      <c r="AD1253" s="458" t="str">
        <f t="shared" si="1311"/>
        <v>*</v>
      </c>
      <c r="AE1253" s="462" t="str">
        <f t="shared" si="1311"/>
        <v>*</v>
      </c>
      <c r="AF1253" s="462" t="str">
        <f t="shared" si="1311"/>
        <v>*</v>
      </c>
      <c r="AG1253" s="462" t="str">
        <f t="shared" si="1311"/>
        <v>*</v>
      </c>
      <c r="AH1253" s="462" t="str">
        <f t="shared" si="1311"/>
        <v>*</v>
      </c>
    </row>
    <row r="1254" spans="1:34" ht="14.25">
      <c r="A1254" s="14" t="s">
        <v>4624</v>
      </c>
      <c r="B1254" s="24" t="s">
        <v>2768</v>
      </c>
      <c r="C1254" s="14" t="s">
        <v>2794</v>
      </c>
      <c r="D1254" s="14" t="s">
        <v>2911</v>
      </c>
      <c r="E1254" s="14" t="s">
        <v>4625</v>
      </c>
      <c r="F1254" s="13">
        <v>80.2</v>
      </c>
      <c r="G1254" s="14" t="s">
        <v>3686</v>
      </c>
      <c r="H1254" s="567" t="s">
        <v>2973</v>
      </c>
      <c r="I1254" s="14" t="s">
        <v>4625</v>
      </c>
      <c r="J1254" s="14" t="s">
        <v>4626</v>
      </c>
      <c r="K1254" s="478">
        <v>0.96</v>
      </c>
      <c r="L1254" s="220">
        <v>77</v>
      </c>
      <c r="M1254" s="568" t="s">
        <v>4627</v>
      </c>
      <c r="N1254" s="479" t="s">
        <v>2937</v>
      </c>
      <c r="O1254" s="569" t="s">
        <v>2976</v>
      </c>
      <c r="P1254" s="14" t="s">
        <v>2962</v>
      </c>
      <c r="Q1254" s="435" t="s">
        <v>2963</v>
      </c>
      <c r="R1254" s="14">
        <v>4</v>
      </c>
      <c r="S1254" s="14">
        <f t="shared" si="1195"/>
        <v>3.08</v>
      </c>
      <c r="T1254" s="487">
        <f>SUM(R1233:R1266)</f>
        <v>95.999999999999972</v>
      </c>
      <c r="U1254">
        <f t="shared" si="1291"/>
        <v>4.1666666666666679</v>
      </c>
      <c r="V1254" s="220">
        <f>U1254*100/SUM(U1233:U1234,U1236:U1243,U1245:U1266)</f>
        <v>4.721881197469072</v>
      </c>
      <c r="W1254" s="13" t="s">
        <v>425</v>
      </c>
      <c r="X1254">
        <f t="shared" si="1265"/>
        <v>4.5330059495703088</v>
      </c>
      <c r="Y1254" s="220" t="s">
        <v>1666</v>
      </c>
      <c r="Z1254" s="220" t="s">
        <v>1666</v>
      </c>
      <c r="AA1254" s="792" t="str">
        <f t="shared" si="1302"/>
        <v>*</v>
      </c>
      <c r="AB1254" s="458" t="str">
        <f t="shared" ref="AB1254:AH1254" si="1312">AA1254</f>
        <v>*</v>
      </c>
      <c r="AC1254" s="458" t="str">
        <f t="shared" si="1312"/>
        <v>*</v>
      </c>
      <c r="AD1254" s="458" t="str">
        <f t="shared" si="1312"/>
        <v>*</v>
      </c>
      <c r="AE1254" s="462" t="str">
        <f t="shared" si="1312"/>
        <v>*</v>
      </c>
      <c r="AF1254" s="462" t="str">
        <f t="shared" si="1312"/>
        <v>*</v>
      </c>
      <c r="AG1254" s="462" t="str">
        <f t="shared" si="1312"/>
        <v>*</v>
      </c>
      <c r="AH1254" s="462" t="str">
        <f t="shared" si="1312"/>
        <v>*</v>
      </c>
    </row>
    <row r="1255" spans="1:34" ht="14.25">
      <c r="A1255" s="14" t="s">
        <v>4624</v>
      </c>
      <c r="B1255" s="24" t="s">
        <v>2768</v>
      </c>
      <c r="C1255" s="14" t="s">
        <v>2794</v>
      </c>
      <c r="D1255" s="14" t="s">
        <v>2911</v>
      </c>
      <c r="E1255" s="14" t="s">
        <v>4625</v>
      </c>
      <c r="F1255" s="13">
        <v>80.2</v>
      </c>
      <c r="G1255" s="14" t="s">
        <v>3686</v>
      </c>
      <c r="H1255" s="567" t="s">
        <v>2973</v>
      </c>
      <c r="I1255" s="14" t="s">
        <v>4625</v>
      </c>
      <c r="J1255" s="14" t="s">
        <v>4626</v>
      </c>
      <c r="K1255" s="478">
        <v>0.96</v>
      </c>
      <c r="L1255" s="220">
        <v>77</v>
      </c>
      <c r="M1255" s="568" t="s">
        <v>4627</v>
      </c>
      <c r="N1255" s="479" t="s">
        <v>2937</v>
      </c>
      <c r="O1255" s="569" t="s">
        <v>2976</v>
      </c>
      <c r="P1255" s="655" t="s">
        <v>4232</v>
      </c>
      <c r="Q1255" s="486" t="s">
        <v>4325</v>
      </c>
      <c r="R1255" s="14">
        <v>2</v>
      </c>
      <c r="S1255" s="14">
        <f t="shared" si="1195"/>
        <v>1.54</v>
      </c>
      <c r="T1255" s="487">
        <f>SUM(R1233:R1266)</f>
        <v>95.999999999999972</v>
      </c>
      <c r="U1255">
        <f t="shared" si="1291"/>
        <v>2.0833333333333339</v>
      </c>
      <c r="V1255" s="220">
        <f>U1255*100/SUM(U1233:U1234,U1236:U1243,U1245:U1266)</f>
        <v>2.360940598734536</v>
      </c>
      <c r="W1255" s="13" t="s">
        <v>4645</v>
      </c>
      <c r="X1255">
        <f t="shared" si="1265"/>
        <v>2.2665029747851544</v>
      </c>
      <c r="Y1255" s="220" t="s">
        <v>1666</v>
      </c>
      <c r="Z1255" s="220" t="s">
        <v>1666</v>
      </c>
      <c r="AA1255" s="792" t="str">
        <f t="shared" si="1302"/>
        <v>*</v>
      </c>
      <c r="AB1255" s="458" t="str">
        <f t="shared" ref="AB1255:AH1255" si="1313">AA1255</f>
        <v>*</v>
      </c>
      <c r="AC1255" s="458" t="str">
        <f t="shared" si="1313"/>
        <v>*</v>
      </c>
      <c r="AD1255" s="458" t="str">
        <f t="shared" si="1313"/>
        <v>*</v>
      </c>
      <c r="AE1255" s="462" t="str">
        <f t="shared" si="1313"/>
        <v>*</v>
      </c>
      <c r="AF1255" s="462" t="str">
        <f t="shared" si="1313"/>
        <v>*</v>
      </c>
      <c r="AG1255" s="462" t="str">
        <f t="shared" si="1313"/>
        <v>*</v>
      </c>
      <c r="AH1255" s="462" t="str">
        <f t="shared" si="1313"/>
        <v>*</v>
      </c>
    </row>
    <row r="1256" spans="1:34" ht="14.25">
      <c r="A1256" s="14" t="s">
        <v>4624</v>
      </c>
      <c r="B1256" s="24" t="s">
        <v>2768</v>
      </c>
      <c r="C1256" s="14" t="s">
        <v>2794</v>
      </c>
      <c r="D1256" s="14" t="s">
        <v>2911</v>
      </c>
      <c r="E1256" s="14" t="s">
        <v>4625</v>
      </c>
      <c r="F1256" s="13">
        <v>80.2</v>
      </c>
      <c r="G1256" s="14" t="s">
        <v>3686</v>
      </c>
      <c r="H1256" s="567" t="s">
        <v>2973</v>
      </c>
      <c r="I1256" s="14" t="s">
        <v>4625</v>
      </c>
      <c r="J1256" s="14" t="s">
        <v>4626</v>
      </c>
      <c r="K1256" s="478">
        <v>0.96</v>
      </c>
      <c r="L1256" s="220">
        <v>77</v>
      </c>
      <c r="M1256" s="568" t="s">
        <v>4627</v>
      </c>
      <c r="N1256" s="479" t="s">
        <v>2937</v>
      </c>
      <c r="O1256" s="569" t="s">
        <v>2976</v>
      </c>
      <c r="P1256" s="14" t="s">
        <v>421</v>
      </c>
      <c r="Q1256" s="435" t="s">
        <v>2952</v>
      </c>
      <c r="R1256" s="14">
        <v>1</v>
      </c>
      <c r="S1256" s="14">
        <f t="shared" si="1195"/>
        <v>0.77</v>
      </c>
      <c r="T1256" s="487">
        <f>SUM(R1233:R1266)</f>
        <v>95.999999999999972</v>
      </c>
      <c r="U1256">
        <f t="shared" si="1291"/>
        <v>1.041666666666667</v>
      </c>
      <c r="V1256" s="220">
        <f>U1256*100/SUM(U1233:U1234,U1236:U1243,U1245:U1266)</f>
        <v>1.180470299367268</v>
      </c>
      <c r="W1256" s="13" t="s">
        <v>421</v>
      </c>
      <c r="X1256">
        <f t="shared" si="1265"/>
        <v>1.1332514873925772</v>
      </c>
      <c r="Y1256" s="220" t="s">
        <v>1624</v>
      </c>
      <c r="Z1256" s="220" t="s">
        <v>1666</v>
      </c>
      <c r="AA1256" s="792" t="str">
        <f t="shared" si="1302"/>
        <v>*</v>
      </c>
      <c r="AB1256" s="458" t="str">
        <f t="shared" ref="AB1256:AH1256" si="1314">AA1256</f>
        <v>*</v>
      </c>
      <c r="AC1256" s="458" t="str">
        <f t="shared" si="1314"/>
        <v>*</v>
      </c>
      <c r="AD1256" s="458" t="str">
        <f t="shared" si="1314"/>
        <v>*</v>
      </c>
      <c r="AE1256" s="462" t="str">
        <f t="shared" si="1314"/>
        <v>*</v>
      </c>
      <c r="AF1256" s="462" t="str">
        <f t="shared" si="1314"/>
        <v>*</v>
      </c>
      <c r="AG1256" s="462" t="str">
        <f t="shared" si="1314"/>
        <v>*</v>
      </c>
      <c r="AH1256" s="462" t="str">
        <f t="shared" si="1314"/>
        <v>*</v>
      </c>
    </row>
    <row r="1257" spans="1:34" ht="14.25">
      <c r="A1257" s="14" t="s">
        <v>4624</v>
      </c>
      <c r="B1257" s="24" t="s">
        <v>2768</v>
      </c>
      <c r="C1257" s="14" t="s">
        <v>2794</v>
      </c>
      <c r="D1257" s="14" t="s">
        <v>2911</v>
      </c>
      <c r="E1257" s="14" t="s">
        <v>4625</v>
      </c>
      <c r="F1257" s="13">
        <v>80.2</v>
      </c>
      <c r="G1257" s="14" t="s">
        <v>3686</v>
      </c>
      <c r="H1257" s="567" t="s">
        <v>2973</v>
      </c>
      <c r="I1257" s="14" t="s">
        <v>4625</v>
      </c>
      <c r="J1257" s="14" t="s">
        <v>4626</v>
      </c>
      <c r="K1257" s="478">
        <v>0.96</v>
      </c>
      <c r="L1257" s="220">
        <v>77</v>
      </c>
      <c r="M1257" s="568" t="s">
        <v>4627</v>
      </c>
      <c r="N1257" s="479" t="s">
        <v>2937</v>
      </c>
      <c r="O1257" s="569" t="s">
        <v>2976</v>
      </c>
      <c r="P1257" s="14" t="s">
        <v>4237</v>
      </c>
      <c r="Q1257" s="486" t="s">
        <v>4646</v>
      </c>
      <c r="R1257" s="14">
        <v>0.5</v>
      </c>
      <c r="S1257" s="14">
        <f t="shared" si="1195"/>
        <v>0.38500000000000001</v>
      </c>
      <c r="T1257" s="487">
        <f>SUM(R1233:R1266)</f>
        <v>95.999999999999972</v>
      </c>
      <c r="U1257">
        <f t="shared" si="1291"/>
        <v>0.52083333333333348</v>
      </c>
      <c r="V1257" s="220">
        <f>U1257*100/SUM(U1233:U1234,U1236:U1243,U1245:U1266)</f>
        <v>0.590235149683634</v>
      </c>
      <c r="W1257" s="13" t="s">
        <v>4239</v>
      </c>
      <c r="X1257">
        <f t="shared" si="1265"/>
        <v>0.5666257436962886</v>
      </c>
      <c r="Y1257" s="499">
        <f>SUM(X1257:X1258)</f>
        <v>1.1332514873925772</v>
      </c>
      <c r="Z1257" s="220">
        <f t="shared" ref="Z1257:AA1257" si="1315">Y1257</f>
        <v>1.1332514873925772</v>
      </c>
      <c r="AA1257" s="792">
        <f t="shared" si="1315"/>
        <v>1.1332514873925772</v>
      </c>
      <c r="AB1257" s="809" t="s">
        <v>2783</v>
      </c>
      <c r="AC1257" s="511" t="s">
        <v>3174</v>
      </c>
      <c r="AD1257" s="511" t="s">
        <v>3174</v>
      </c>
      <c r="AE1257" s="461">
        <v>2.2073766211046637E-2</v>
      </c>
      <c r="AF1257" s="461">
        <v>8.7246004352723297E-2</v>
      </c>
      <c r="AG1257" s="461">
        <v>5.8202330775582959E-4</v>
      </c>
      <c r="AH1257" s="461">
        <v>2.670351142205461E-3</v>
      </c>
    </row>
    <row r="1258" spans="1:34" ht="14.25">
      <c r="A1258" s="14" t="s">
        <v>4624</v>
      </c>
      <c r="B1258" s="24" t="s">
        <v>2768</v>
      </c>
      <c r="C1258" s="14" t="s">
        <v>2794</v>
      </c>
      <c r="D1258" s="14" t="s">
        <v>2911</v>
      </c>
      <c r="E1258" s="14" t="s">
        <v>4625</v>
      </c>
      <c r="F1258" s="13">
        <v>80.2</v>
      </c>
      <c r="G1258" s="14" t="s">
        <v>3686</v>
      </c>
      <c r="H1258" s="567" t="s">
        <v>2973</v>
      </c>
      <c r="I1258" s="14" t="s">
        <v>4625</v>
      </c>
      <c r="J1258" s="14" t="s">
        <v>4626</v>
      </c>
      <c r="K1258" s="478">
        <v>0.96</v>
      </c>
      <c r="L1258" s="220">
        <v>77</v>
      </c>
      <c r="M1258" s="568" t="s">
        <v>4627</v>
      </c>
      <c r="N1258" s="479" t="s">
        <v>2937</v>
      </c>
      <c r="O1258" s="569" t="s">
        <v>2976</v>
      </c>
      <c r="P1258" s="14" t="s">
        <v>4240</v>
      </c>
      <c r="Q1258" s="486" t="s">
        <v>4647</v>
      </c>
      <c r="R1258" s="14">
        <v>0.5</v>
      </c>
      <c r="S1258" s="14">
        <f t="shared" si="1195"/>
        <v>0.38500000000000001</v>
      </c>
      <c r="T1258" s="487">
        <f>SUM(R1233:R1266)</f>
        <v>95.999999999999972</v>
      </c>
      <c r="U1258">
        <f t="shared" si="1291"/>
        <v>0.52083333333333348</v>
      </c>
      <c r="V1258" s="220">
        <f>U1258*100/SUM(U1233:U1234,U1236:U1243,U1245:U1266)</f>
        <v>0.590235149683634</v>
      </c>
      <c r="W1258" s="13" t="s">
        <v>4242</v>
      </c>
      <c r="X1258">
        <f t="shared" si="1265"/>
        <v>0.5666257436962886</v>
      </c>
      <c r="Y1258" s="220" t="s">
        <v>1624</v>
      </c>
      <c r="Z1258" s="220" t="s">
        <v>1666</v>
      </c>
      <c r="AA1258" s="792" t="str">
        <f t="shared" ref="AA1258:AH1258" si="1316">Z1258</f>
        <v>*</v>
      </c>
      <c r="AB1258" s="458" t="str">
        <f t="shared" si="1316"/>
        <v>*</v>
      </c>
      <c r="AC1258" s="458" t="str">
        <f t="shared" si="1316"/>
        <v>*</v>
      </c>
      <c r="AD1258" s="458" t="str">
        <f t="shared" si="1316"/>
        <v>*</v>
      </c>
      <c r="AE1258" s="462" t="str">
        <f t="shared" si="1316"/>
        <v>*</v>
      </c>
      <c r="AF1258" s="462" t="str">
        <f t="shared" si="1316"/>
        <v>*</v>
      </c>
      <c r="AG1258" s="462" t="str">
        <f t="shared" si="1316"/>
        <v>*</v>
      </c>
      <c r="AH1258" s="462" t="str">
        <f t="shared" si="1316"/>
        <v>*</v>
      </c>
    </row>
    <row r="1259" spans="1:34" ht="14.25">
      <c r="A1259" s="14" t="s">
        <v>4624</v>
      </c>
      <c r="B1259" s="24" t="s">
        <v>2768</v>
      </c>
      <c r="C1259" s="14" t="s">
        <v>2794</v>
      </c>
      <c r="D1259" s="14" t="s">
        <v>2911</v>
      </c>
      <c r="E1259" s="14" t="s">
        <v>4625</v>
      </c>
      <c r="F1259" s="13">
        <v>80.2</v>
      </c>
      <c r="G1259" s="14" t="s">
        <v>3686</v>
      </c>
      <c r="H1259" s="567" t="s">
        <v>2973</v>
      </c>
      <c r="I1259" s="14" t="s">
        <v>4625</v>
      </c>
      <c r="J1259" s="14" t="s">
        <v>4626</v>
      </c>
      <c r="K1259" s="478">
        <v>0.96</v>
      </c>
      <c r="L1259" s="220">
        <v>77</v>
      </c>
      <c r="M1259" s="568" t="s">
        <v>4627</v>
      </c>
      <c r="N1259" s="479" t="s">
        <v>2937</v>
      </c>
      <c r="O1259" s="569" t="s">
        <v>2976</v>
      </c>
      <c r="P1259" s="14" t="s">
        <v>3051</v>
      </c>
      <c r="Q1259" s="486" t="s">
        <v>3084</v>
      </c>
      <c r="R1259" s="14">
        <v>0.5</v>
      </c>
      <c r="S1259" s="14">
        <f t="shared" si="1195"/>
        <v>0.38500000000000001</v>
      </c>
      <c r="T1259" s="487">
        <f>SUM(R1233:R1266)</f>
        <v>95.999999999999972</v>
      </c>
      <c r="U1259">
        <f t="shared" si="1291"/>
        <v>0.52083333333333348</v>
      </c>
      <c r="V1259" s="220">
        <f>U1259*100/SUM(U1233:U1234,U1236:U1243,U1245:U1266)</f>
        <v>0.590235149683634</v>
      </c>
      <c r="W1259" s="13" t="s">
        <v>134</v>
      </c>
      <c r="X1259">
        <f t="shared" si="1265"/>
        <v>0.5666257436962886</v>
      </c>
      <c r="Y1259" s="220" t="s">
        <v>1666</v>
      </c>
      <c r="Z1259" s="220">
        <f>X1259</f>
        <v>0.5666257436962886</v>
      </c>
      <c r="AA1259" s="792">
        <f t="shared" ref="AA1259:AA1261" si="1317">Z1259</f>
        <v>0.5666257436962886</v>
      </c>
      <c r="AB1259" s="18" t="s">
        <v>2533</v>
      </c>
      <c r="AC1259" s="14" t="s">
        <v>134</v>
      </c>
      <c r="AD1259" s="14" t="s">
        <v>3053</v>
      </c>
      <c r="AE1259" s="12">
        <v>3.0177940758293843E-3</v>
      </c>
      <c r="AF1259" s="12">
        <v>8.8728561611374421E-3</v>
      </c>
      <c r="AG1259" s="12">
        <v>5.9155383175355464E-5</v>
      </c>
      <c r="AH1259" s="12">
        <v>5.56622037914692E-4</v>
      </c>
    </row>
    <row r="1260" spans="1:34" ht="14.25">
      <c r="A1260" s="14" t="s">
        <v>4624</v>
      </c>
      <c r="B1260" s="24" t="s">
        <v>2768</v>
      </c>
      <c r="C1260" s="14" t="s">
        <v>2794</v>
      </c>
      <c r="D1260" s="14" t="s">
        <v>2911</v>
      </c>
      <c r="E1260" s="14" t="s">
        <v>4625</v>
      </c>
      <c r="F1260" s="13">
        <v>80.2</v>
      </c>
      <c r="G1260" s="14" t="s">
        <v>3686</v>
      </c>
      <c r="H1260" s="567" t="s">
        <v>2973</v>
      </c>
      <c r="I1260" s="14" t="s">
        <v>4625</v>
      </c>
      <c r="J1260" s="14" t="s">
        <v>4626</v>
      </c>
      <c r="K1260" s="478">
        <v>0.96</v>
      </c>
      <c r="L1260" s="220">
        <v>77</v>
      </c>
      <c r="M1260" s="568" t="s">
        <v>4627</v>
      </c>
      <c r="N1260" s="479" t="s">
        <v>2937</v>
      </c>
      <c r="O1260" s="569" t="s">
        <v>2976</v>
      </c>
      <c r="P1260" s="655" t="s">
        <v>2977</v>
      </c>
      <c r="Q1260" s="486" t="s">
        <v>4648</v>
      </c>
      <c r="R1260" s="14">
        <v>0.5</v>
      </c>
      <c r="S1260" s="14">
        <f t="shared" si="1195"/>
        <v>0.38500000000000001</v>
      </c>
      <c r="T1260" s="487">
        <f>SUM(R1233:R1266)</f>
        <v>95.999999999999972</v>
      </c>
      <c r="U1260">
        <f t="shared" si="1291"/>
        <v>0.52083333333333348</v>
      </c>
      <c r="V1260" s="220">
        <f>U1260*100/SUM(U1233:U1234,U1236:U1243,U1245:U1266)</f>
        <v>0.590235149683634</v>
      </c>
      <c r="W1260" s="13" t="s">
        <v>227</v>
      </c>
      <c r="X1260">
        <f t="shared" si="1265"/>
        <v>0.5666257436962886</v>
      </c>
      <c r="Y1260" s="220" t="s">
        <v>1666</v>
      </c>
      <c r="Z1260" s="220" t="s">
        <v>1666</v>
      </c>
      <c r="AA1260" s="792" t="str">
        <f t="shared" si="1317"/>
        <v>*</v>
      </c>
      <c r="AB1260" s="458" t="str">
        <f t="shared" ref="AB1260:AH1260" si="1318">AA1260</f>
        <v>*</v>
      </c>
      <c r="AC1260" s="458" t="str">
        <f t="shared" si="1318"/>
        <v>*</v>
      </c>
      <c r="AD1260" s="458" t="str">
        <f t="shared" si="1318"/>
        <v>*</v>
      </c>
      <c r="AE1260" s="462" t="str">
        <f t="shared" si="1318"/>
        <v>*</v>
      </c>
      <c r="AF1260" s="462" t="str">
        <f t="shared" si="1318"/>
        <v>*</v>
      </c>
      <c r="AG1260" s="462" t="str">
        <f t="shared" si="1318"/>
        <v>*</v>
      </c>
      <c r="AH1260" s="462" t="str">
        <f t="shared" si="1318"/>
        <v>*</v>
      </c>
    </row>
    <row r="1261" spans="1:34" ht="14.25">
      <c r="A1261" s="14" t="s">
        <v>4624</v>
      </c>
      <c r="B1261" s="24" t="s">
        <v>2768</v>
      </c>
      <c r="C1261" s="14" t="s">
        <v>2794</v>
      </c>
      <c r="D1261" s="14" t="s">
        <v>2911</v>
      </c>
      <c r="E1261" s="14" t="s">
        <v>4625</v>
      </c>
      <c r="F1261" s="13">
        <v>80.2</v>
      </c>
      <c r="G1261" s="14" t="s">
        <v>3686</v>
      </c>
      <c r="H1261" s="567" t="s">
        <v>2973</v>
      </c>
      <c r="I1261" s="14" t="s">
        <v>4625</v>
      </c>
      <c r="J1261" s="14" t="s">
        <v>4626</v>
      </c>
      <c r="K1261" s="478">
        <v>0.96</v>
      </c>
      <c r="L1261" s="220">
        <v>77</v>
      </c>
      <c r="M1261" s="568" t="s">
        <v>4627</v>
      </c>
      <c r="N1261" s="479" t="s">
        <v>2937</v>
      </c>
      <c r="O1261" s="569" t="s">
        <v>2976</v>
      </c>
      <c r="P1261" s="14" t="s">
        <v>83</v>
      </c>
      <c r="Q1261" s="527" t="s">
        <v>3430</v>
      </c>
      <c r="R1261" s="14">
        <v>0.4</v>
      </c>
      <c r="S1261" s="14">
        <f t="shared" si="1195"/>
        <v>0.308</v>
      </c>
      <c r="T1261" s="487">
        <f>SUM(R1233:R1266)</f>
        <v>95.999999999999972</v>
      </c>
      <c r="U1261">
        <f t="shared" si="1291"/>
        <v>0.41666666666666685</v>
      </c>
      <c r="V1261" s="220">
        <f>U1261*100/SUM(U1233:U1234,U1236:U1243,U1245:U1266)</f>
        <v>0.47218811974690728</v>
      </c>
      <c r="W1261" s="13" t="s">
        <v>83</v>
      </c>
      <c r="X1261">
        <f t="shared" si="1265"/>
        <v>0.45330059495703096</v>
      </c>
      <c r="Y1261" s="220" t="s">
        <v>1624</v>
      </c>
      <c r="Z1261" s="220" t="s">
        <v>1666</v>
      </c>
      <c r="AA1261" s="792" t="str">
        <f t="shared" si="1317"/>
        <v>*</v>
      </c>
      <c r="AB1261" s="458" t="str">
        <f t="shared" ref="AB1261:AH1261" si="1319">AA1261</f>
        <v>*</v>
      </c>
      <c r="AC1261" s="458" t="str">
        <f t="shared" si="1319"/>
        <v>*</v>
      </c>
      <c r="AD1261" s="458" t="str">
        <f t="shared" si="1319"/>
        <v>*</v>
      </c>
      <c r="AE1261" s="462" t="str">
        <f t="shared" si="1319"/>
        <v>*</v>
      </c>
      <c r="AF1261" s="462" t="str">
        <f t="shared" si="1319"/>
        <v>*</v>
      </c>
      <c r="AG1261" s="462" t="str">
        <f t="shared" si="1319"/>
        <v>*</v>
      </c>
      <c r="AH1261" s="462" t="str">
        <f t="shared" si="1319"/>
        <v>*</v>
      </c>
    </row>
    <row r="1262" spans="1:34" ht="14.25">
      <c r="A1262" s="14" t="s">
        <v>4624</v>
      </c>
      <c r="B1262" s="24" t="s">
        <v>2768</v>
      </c>
      <c r="C1262" s="14" t="s">
        <v>2794</v>
      </c>
      <c r="D1262" s="14" t="s">
        <v>2911</v>
      </c>
      <c r="E1262" s="14" t="s">
        <v>4625</v>
      </c>
      <c r="F1262" s="13">
        <v>80.2</v>
      </c>
      <c r="G1262" s="14" t="s">
        <v>3686</v>
      </c>
      <c r="H1262" s="567" t="s">
        <v>2973</v>
      </c>
      <c r="I1262" s="14" t="s">
        <v>4625</v>
      </c>
      <c r="J1262" s="14" t="s">
        <v>4626</v>
      </c>
      <c r="K1262" s="478">
        <v>0.96</v>
      </c>
      <c r="L1262" s="220">
        <v>77</v>
      </c>
      <c r="M1262" s="568" t="s">
        <v>4627</v>
      </c>
      <c r="N1262" s="479" t="s">
        <v>2937</v>
      </c>
      <c r="O1262" s="569" t="s">
        <v>2976</v>
      </c>
      <c r="P1262" s="14" t="s">
        <v>3041</v>
      </c>
      <c r="Q1262" s="486" t="s">
        <v>3089</v>
      </c>
      <c r="R1262" s="14">
        <v>0.1</v>
      </c>
      <c r="S1262" s="14">
        <f t="shared" si="1195"/>
        <v>7.6999999999999999E-2</v>
      </c>
      <c r="T1262" s="487">
        <f>SUM(R1233:R1266)</f>
        <v>95.999999999999972</v>
      </c>
      <c r="U1262">
        <f t="shared" si="1291"/>
        <v>0.10416666666666671</v>
      </c>
      <c r="V1262" s="220">
        <f>U1262*100/SUM(U1233:U1234,U1236:U1243,U1245:U1266)</f>
        <v>0.11804702993672682</v>
      </c>
      <c r="W1262" s="13" t="s">
        <v>81</v>
      </c>
      <c r="X1262">
        <f t="shared" si="1265"/>
        <v>0.11332514873925774</v>
      </c>
      <c r="Y1262" s="499">
        <f>SUM(X1262:X1264)</f>
        <v>0.3399754462177732</v>
      </c>
      <c r="Z1262" s="220">
        <f t="shared" ref="Z1262:AA1262" si="1320">Y1262</f>
        <v>0.3399754462177732</v>
      </c>
      <c r="AA1262" s="792">
        <f t="shared" si="1320"/>
        <v>0.3399754462177732</v>
      </c>
      <c r="AB1262" s="458" t="s">
        <v>81</v>
      </c>
      <c r="AC1262" s="13" t="s">
        <v>18</v>
      </c>
      <c r="AD1262" s="13" t="s">
        <v>18</v>
      </c>
      <c r="AE1262" s="12">
        <v>1.9912385503783353E-2</v>
      </c>
      <c r="AF1262" s="12">
        <v>5.6949422540820388E-2</v>
      </c>
      <c r="AG1262" s="12">
        <v>3.8829151732377542E-3</v>
      </c>
      <c r="AH1262" s="12">
        <v>5.6321186778176026E-3</v>
      </c>
    </row>
    <row r="1263" spans="1:34" ht="14.25">
      <c r="A1263" s="14" t="s">
        <v>4624</v>
      </c>
      <c r="B1263" s="24" t="s">
        <v>2768</v>
      </c>
      <c r="C1263" s="14" t="s">
        <v>2794</v>
      </c>
      <c r="D1263" s="14" t="s">
        <v>2911</v>
      </c>
      <c r="E1263" s="14" t="s">
        <v>4625</v>
      </c>
      <c r="F1263" s="13">
        <v>80.2</v>
      </c>
      <c r="G1263" s="14" t="s">
        <v>3686</v>
      </c>
      <c r="H1263" s="567" t="s">
        <v>2973</v>
      </c>
      <c r="I1263" s="14" t="s">
        <v>4625</v>
      </c>
      <c r="J1263" s="14" t="s">
        <v>4626</v>
      </c>
      <c r="K1263" s="478">
        <v>0.96</v>
      </c>
      <c r="L1263" s="220">
        <v>77</v>
      </c>
      <c r="M1263" s="568" t="s">
        <v>4627</v>
      </c>
      <c r="N1263" s="479" t="s">
        <v>2937</v>
      </c>
      <c r="O1263" s="569" t="s">
        <v>2976</v>
      </c>
      <c r="P1263" s="14" t="s">
        <v>3041</v>
      </c>
      <c r="Q1263" s="486" t="s">
        <v>4649</v>
      </c>
      <c r="R1263" s="14">
        <v>0.1</v>
      </c>
      <c r="S1263" s="14">
        <f t="shared" si="1195"/>
        <v>7.6999999999999999E-2</v>
      </c>
      <c r="T1263" s="487">
        <f>SUM(R1233:R1266)</f>
        <v>95.999999999999972</v>
      </c>
      <c r="U1263">
        <f t="shared" si="1291"/>
        <v>0.10416666666666671</v>
      </c>
      <c r="V1263" s="220">
        <f>U1263*100/SUM(U1233:U1234,U1236:U1243,U1245:U1266)</f>
        <v>0.11804702993672682</v>
      </c>
      <c r="W1263" s="13" t="s">
        <v>81</v>
      </c>
      <c r="X1263">
        <f t="shared" si="1265"/>
        <v>0.11332514873925774</v>
      </c>
      <c r="Y1263" s="220" t="s">
        <v>1624</v>
      </c>
      <c r="Z1263" s="220" t="s">
        <v>1666</v>
      </c>
      <c r="AA1263" s="792" t="str">
        <f t="shared" ref="AA1263:AH1263" si="1321">Z1263</f>
        <v>*</v>
      </c>
      <c r="AB1263" s="458" t="str">
        <f t="shared" si="1321"/>
        <v>*</v>
      </c>
      <c r="AC1263" s="458" t="str">
        <f t="shared" si="1321"/>
        <v>*</v>
      </c>
      <c r="AD1263" s="458" t="str">
        <f t="shared" si="1321"/>
        <v>*</v>
      </c>
      <c r="AE1263" s="462" t="str">
        <f t="shared" si="1321"/>
        <v>*</v>
      </c>
      <c r="AF1263" s="462" t="str">
        <f t="shared" si="1321"/>
        <v>*</v>
      </c>
      <c r="AG1263" s="462" t="str">
        <f t="shared" si="1321"/>
        <v>*</v>
      </c>
      <c r="AH1263" s="462" t="str">
        <f t="shared" si="1321"/>
        <v>*</v>
      </c>
    </row>
    <row r="1264" spans="1:34" ht="14.25">
      <c r="A1264" s="14" t="s">
        <v>4624</v>
      </c>
      <c r="B1264" s="24" t="s">
        <v>2768</v>
      </c>
      <c r="C1264" s="14" t="s">
        <v>2794</v>
      </c>
      <c r="D1264" s="14" t="s">
        <v>2911</v>
      </c>
      <c r="E1264" s="14" t="s">
        <v>4625</v>
      </c>
      <c r="F1264" s="13">
        <v>80.2</v>
      </c>
      <c r="G1264" s="14" t="s">
        <v>3686</v>
      </c>
      <c r="H1264" s="567" t="s">
        <v>2973</v>
      </c>
      <c r="I1264" s="14" t="s">
        <v>4625</v>
      </c>
      <c r="J1264" s="14" t="s">
        <v>4626</v>
      </c>
      <c r="K1264" s="478">
        <v>0.96</v>
      </c>
      <c r="L1264" s="220">
        <v>77</v>
      </c>
      <c r="M1264" s="568" t="s">
        <v>4627</v>
      </c>
      <c r="N1264" s="479" t="s">
        <v>2937</v>
      </c>
      <c r="O1264" s="569" t="s">
        <v>2976</v>
      </c>
      <c r="P1264" s="14" t="s">
        <v>3041</v>
      </c>
      <c r="Q1264" s="486" t="s">
        <v>3089</v>
      </c>
      <c r="R1264" s="14">
        <v>0.1</v>
      </c>
      <c r="S1264" s="14">
        <f t="shared" si="1195"/>
        <v>7.6999999999999999E-2</v>
      </c>
      <c r="T1264" s="487">
        <f>SUM(R1233:R1266)</f>
        <v>95.999999999999972</v>
      </c>
      <c r="U1264">
        <f t="shared" si="1291"/>
        <v>0.10416666666666671</v>
      </c>
      <c r="V1264" s="220">
        <f>U1264*100/SUM(U1233:U1234,U1236:U1243,U1245:U1266)</f>
        <v>0.11804702993672682</v>
      </c>
      <c r="W1264" s="13" t="s">
        <v>81</v>
      </c>
      <c r="X1264">
        <f t="shared" si="1265"/>
        <v>0.11332514873925774</v>
      </c>
      <c r="Y1264" s="220" t="s">
        <v>1624</v>
      </c>
      <c r="Z1264" s="220" t="s">
        <v>1666</v>
      </c>
      <c r="AA1264" s="792" t="str">
        <f t="shared" ref="AA1264:AH1264" si="1322">Z1264</f>
        <v>*</v>
      </c>
      <c r="AB1264" s="458" t="str">
        <f t="shared" si="1322"/>
        <v>*</v>
      </c>
      <c r="AC1264" s="497" t="str">
        <f t="shared" si="1322"/>
        <v>*</v>
      </c>
      <c r="AD1264" s="497" t="str">
        <f t="shared" si="1322"/>
        <v>*</v>
      </c>
      <c r="AE1264" s="483" t="str">
        <f t="shared" si="1322"/>
        <v>*</v>
      </c>
      <c r="AF1264" s="483" t="str">
        <f t="shared" si="1322"/>
        <v>*</v>
      </c>
      <c r="AG1264" s="483" t="str">
        <f t="shared" si="1322"/>
        <v>*</v>
      </c>
      <c r="AH1264" s="483" t="str">
        <f t="shared" si="1322"/>
        <v>*</v>
      </c>
    </row>
    <row r="1265" spans="1:34" ht="14.25">
      <c r="A1265" s="14" t="s">
        <v>4624</v>
      </c>
      <c r="B1265" s="24" t="s">
        <v>2768</v>
      </c>
      <c r="C1265" s="14" t="s">
        <v>2794</v>
      </c>
      <c r="D1265" s="14" t="s">
        <v>2911</v>
      </c>
      <c r="E1265" s="14" t="s">
        <v>4625</v>
      </c>
      <c r="F1265" s="13">
        <v>80.2</v>
      </c>
      <c r="G1265" s="14" t="s">
        <v>3686</v>
      </c>
      <c r="H1265" s="567" t="s">
        <v>2973</v>
      </c>
      <c r="I1265" s="14" t="s">
        <v>4625</v>
      </c>
      <c r="J1265" s="14" t="s">
        <v>4626</v>
      </c>
      <c r="K1265" s="478">
        <v>0.96</v>
      </c>
      <c r="L1265" s="220">
        <v>77</v>
      </c>
      <c r="M1265" s="568" t="s">
        <v>4627</v>
      </c>
      <c r="N1265" s="479" t="s">
        <v>2937</v>
      </c>
      <c r="O1265" s="569" t="s">
        <v>2976</v>
      </c>
      <c r="P1265" s="655" t="s">
        <v>3005</v>
      </c>
      <c r="Q1265" s="486" t="s">
        <v>4650</v>
      </c>
      <c r="R1265" s="14">
        <v>0.1</v>
      </c>
      <c r="S1265" s="14">
        <f t="shared" si="1195"/>
        <v>7.6999999999999999E-2</v>
      </c>
      <c r="T1265" s="487">
        <f>SUM(R1233:R1266)</f>
        <v>95.999999999999972</v>
      </c>
      <c r="U1265">
        <f t="shared" si="1291"/>
        <v>0.10416666666666671</v>
      </c>
      <c r="V1265" s="220">
        <f>U1265*100/SUM(U1233:U1234,U1236:U1243,U1245:U1266)</f>
        <v>0.11804702993672682</v>
      </c>
      <c r="W1265" s="13" t="s">
        <v>2526</v>
      </c>
      <c r="X1265">
        <f t="shared" si="1265"/>
        <v>0.11332514873925774</v>
      </c>
      <c r="Y1265" s="220" t="s">
        <v>1666</v>
      </c>
      <c r="Z1265" s="220" t="s">
        <v>1666</v>
      </c>
      <c r="AA1265" s="792" t="str">
        <f t="shared" ref="AA1265:AH1265" si="1323">Z1265</f>
        <v>*</v>
      </c>
      <c r="AB1265" s="458" t="str">
        <f t="shared" si="1323"/>
        <v>*</v>
      </c>
      <c r="AC1265" s="458" t="str">
        <f t="shared" si="1323"/>
        <v>*</v>
      </c>
      <c r="AD1265" s="458" t="str">
        <f t="shared" si="1323"/>
        <v>*</v>
      </c>
      <c r="AE1265" s="462" t="str">
        <f t="shared" si="1323"/>
        <v>*</v>
      </c>
      <c r="AF1265" s="462" t="str">
        <f t="shared" si="1323"/>
        <v>*</v>
      </c>
      <c r="AG1265" s="462" t="str">
        <f t="shared" si="1323"/>
        <v>*</v>
      </c>
      <c r="AH1265" s="462" t="str">
        <f t="shared" si="1323"/>
        <v>*</v>
      </c>
    </row>
    <row r="1266" spans="1:34" ht="14.25">
      <c r="A1266" s="14" t="s">
        <v>4624</v>
      </c>
      <c r="B1266" s="24" t="s">
        <v>2768</v>
      </c>
      <c r="C1266" s="14" t="s">
        <v>2794</v>
      </c>
      <c r="D1266" s="14" t="s">
        <v>2911</v>
      </c>
      <c r="E1266" s="14" t="s">
        <v>4625</v>
      </c>
      <c r="F1266" s="13">
        <v>80.2</v>
      </c>
      <c r="G1266" s="14" t="s">
        <v>3686</v>
      </c>
      <c r="H1266" s="567" t="s">
        <v>2973</v>
      </c>
      <c r="I1266" s="135" t="s">
        <v>4625</v>
      </c>
      <c r="J1266" s="135" t="s">
        <v>4626</v>
      </c>
      <c r="K1266" s="475">
        <v>0.96</v>
      </c>
      <c r="L1266" s="476">
        <v>77</v>
      </c>
      <c r="M1266" s="570" t="s">
        <v>4627</v>
      </c>
      <c r="N1266" s="493" t="s">
        <v>2937</v>
      </c>
      <c r="O1266" s="571" t="s">
        <v>2976</v>
      </c>
      <c r="P1266" s="135" t="s">
        <v>3072</v>
      </c>
      <c r="Q1266" s="135" t="s">
        <v>3073</v>
      </c>
      <c r="R1266" s="135">
        <v>0.1</v>
      </c>
      <c r="S1266" s="135">
        <f t="shared" si="1195"/>
        <v>7.6999999999999999E-2</v>
      </c>
      <c r="T1266" s="582">
        <f>SUM(R1233:R1266)</f>
        <v>95.999999999999972</v>
      </c>
      <c r="U1266" s="135">
        <f t="shared" si="1291"/>
        <v>0.10416666666666671</v>
      </c>
      <c r="V1266" s="476">
        <f>U1266*100/SUM(U1233:U1234,U1236:U1243,U1245:U1266)</f>
        <v>0.11804702993672682</v>
      </c>
      <c r="W1266" s="477" t="s">
        <v>343</v>
      </c>
      <c r="X1266">
        <f t="shared" si="1265"/>
        <v>0.11332514873925774</v>
      </c>
      <c r="Y1266" s="220" t="s">
        <v>1666</v>
      </c>
      <c r="Z1266" s="220" t="s">
        <v>1666</v>
      </c>
      <c r="AA1266" s="792" t="str">
        <f t="shared" ref="AA1266:AH1266" si="1324">Z1266</f>
        <v>*</v>
      </c>
      <c r="AB1266" s="458" t="str">
        <f t="shared" si="1324"/>
        <v>*</v>
      </c>
      <c r="AC1266" s="458" t="str">
        <f t="shared" si="1324"/>
        <v>*</v>
      </c>
      <c r="AD1266" s="458" t="str">
        <f t="shared" si="1324"/>
        <v>*</v>
      </c>
      <c r="AE1266" s="462" t="str">
        <f t="shared" si="1324"/>
        <v>*</v>
      </c>
      <c r="AF1266" s="462" t="str">
        <f t="shared" si="1324"/>
        <v>*</v>
      </c>
      <c r="AG1266" s="462" t="str">
        <f t="shared" si="1324"/>
        <v>*</v>
      </c>
      <c r="AH1266" s="462" t="str">
        <f t="shared" si="1324"/>
        <v>*</v>
      </c>
    </row>
    <row r="1267" spans="1:34" ht="12.75">
      <c r="A1267" s="617" t="s">
        <v>4624</v>
      </c>
      <c r="B1267" s="799" t="s">
        <v>2768</v>
      </c>
      <c r="C1267" s="617" t="s">
        <v>2794</v>
      </c>
      <c r="D1267" s="617" t="s">
        <v>2911</v>
      </c>
      <c r="E1267" s="617" t="s">
        <v>4625</v>
      </c>
      <c r="F1267" s="799">
        <v>80.2</v>
      </c>
      <c r="G1267" s="617" t="s">
        <v>3686</v>
      </c>
      <c r="H1267" s="910" t="s">
        <v>2973</v>
      </c>
      <c r="I1267" s="617" t="s">
        <v>1376</v>
      </c>
      <c r="J1267" s="617" t="s">
        <v>4651</v>
      </c>
      <c r="K1267" s="838">
        <v>0.04</v>
      </c>
      <c r="L1267" s="725">
        <v>3.2</v>
      </c>
      <c r="M1267" s="850" t="s">
        <v>1624</v>
      </c>
      <c r="N1267" s="850"/>
      <c r="O1267" s="842"/>
      <c r="P1267" s="617" t="s">
        <v>1376</v>
      </c>
      <c r="Q1267" s="856" t="s">
        <v>3114</v>
      </c>
      <c r="R1267" s="617">
        <v>100</v>
      </c>
      <c r="S1267" s="617">
        <f t="shared" si="1195"/>
        <v>3.2</v>
      </c>
      <c r="T1267" s="617">
        <v>100</v>
      </c>
      <c r="U1267" s="617">
        <v>100</v>
      </c>
      <c r="V1267" s="725"/>
      <c r="W1267" s="799" t="s">
        <v>340</v>
      </c>
      <c r="X1267" s="617">
        <f>U1267*K1267</f>
        <v>4</v>
      </c>
      <c r="Y1267" s="725">
        <f t="shared" ref="Y1267:AA1267" si="1325">X1267</f>
        <v>4</v>
      </c>
      <c r="Z1267" s="725">
        <f t="shared" si="1325"/>
        <v>4</v>
      </c>
      <c r="AA1267" s="455">
        <f t="shared" si="1325"/>
        <v>4</v>
      </c>
      <c r="AB1267" s="793" t="s">
        <v>340</v>
      </c>
      <c r="AC1267" s="799" t="s">
        <v>4579</v>
      </c>
      <c r="AD1267" s="799" t="s">
        <v>3116</v>
      </c>
      <c r="AE1267" s="635">
        <v>2.1708241661196198E-2</v>
      </c>
      <c r="AF1267" s="635">
        <v>0.36572952458380198</v>
      </c>
      <c r="AG1267" s="635">
        <v>4.6350652173913045E-4</v>
      </c>
      <c r="AH1267" s="635">
        <v>1.6975608035415088E-3</v>
      </c>
    </row>
    <row r="1268" spans="1:34" ht="14.25">
      <c r="A1268" s="14" t="s">
        <v>4652</v>
      </c>
      <c r="B1268" s="24" t="s">
        <v>2768</v>
      </c>
      <c r="C1268" s="14" t="s">
        <v>2797</v>
      </c>
      <c r="D1268" s="14" t="s">
        <v>2911</v>
      </c>
      <c r="E1268" s="14" t="s">
        <v>4653</v>
      </c>
      <c r="F1268" s="13">
        <v>123</v>
      </c>
      <c r="G1268" s="14" t="s">
        <v>3686</v>
      </c>
      <c r="H1268" s="567" t="s">
        <v>2934</v>
      </c>
      <c r="I1268" s="14" t="s">
        <v>4653</v>
      </c>
      <c r="J1268" s="14" t="s">
        <v>4654</v>
      </c>
      <c r="K1268" s="478">
        <v>1</v>
      </c>
      <c r="L1268" s="220">
        <v>123</v>
      </c>
      <c r="M1268" s="568" t="s">
        <v>4655</v>
      </c>
      <c r="N1268" s="479" t="s">
        <v>2937</v>
      </c>
      <c r="O1268" s="569" t="s">
        <v>2976</v>
      </c>
      <c r="P1268" s="14" t="s">
        <v>4656</v>
      </c>
      <c r="Q1268" s="486" t="s">
        <v>4657</v>
      </c>
      <c r="R1268" s="14">
        <v>42</v>
      </c>
      <c r="S1268" s="14">
        <f t="shared" si="1195"/>
        <v>51.66</v>
      </c>
      <c r="T1268">
        <f>SUM(R1268:R1295)</f>
        <v>100.29999999999998</v>
      </c>
      <c r="U1268">
        <f t="shared" ref="U1268:U1320" si="1326">R1268*100/T1268</f>
        <v>41.874376869391831</v>
      </c>
      <c r="V1268" s="220">
        <f>U1268*100/SUM(U1268:U1269,U1271:U1295)</f>
        <v>46.51162790697672</v>
      </c>
      <c r="W1268" s="14" t="s">
        <v>2798</v>
      </c>
      <c r="X1268">
        <f t="shared" ref="X1268:X1295" si="1327">V1268*K1268</f>
        <v>46.51162790697672</v>
      </c>
      <c r="Y1268" s="220">
        <f t="shared" ref="Y1268:AA1268" si="1328">X1268</f>
        <v>46.51162790697672</v>
      </c>
      <c r="Z1268" s="220">
        <f t="shared" si="1328"/>
        <v>46.51162790697672</v>
      </c>
      <c r="AA1268" s="792">
        <f t="shared" si="1328"/>
        <v>46.51162790697672</v>
      </c>
      <c r="AB1268" s="18" t="s">
        <v>2798</v>
      </c>
      <c r="AC1268" s="13" t="s">
        <v>3279</v>
      </c>
      <c r="AD1268" s="13" t="s">
        <v>3280</v>
      </c>
      <c r="AE1268" s="12">
        <v>5.3660800389999995E-4</v>
      </c>
      <c r="AF1268" s="12">
        <v>2.8929604629999999E-3</v>
      </c>
      <c r="AG1268" s="12">
        <v>1.75E-4</v>
      </c>
      <c r="AH1268" s="12">
        <v>2.6107342105263152E-4</v>
      </c>
    </row>
    <row r="1269" spans="1:34" ht="14.25">
      <c r="A1269" s="14" t="s">
        <v>4652</v>
      </c>
      <c r="B1269" s="24" t="s">
        <v>2768</v>
      </c>
      <c r="C1269" s="14" t="s">
        <v>2797</v>
      </c>
      <c r="D1269" s="14" t="s">
        <v>2911</v>
      </c>
      <c r="E1269" s="14" t="s">
        <v>4653</v>
      </c>
      <c r="F1269" s="13">
        <v>123</v>
      </c>
      <c r="G1269" s="14" t="s">
        <v>3686</v>
      </c>
      <c r="H1269" s="567" t="s">
        <v>2934</v>
      </c>
      <c r="I1269" s="14" t="s">
        <v>4653</v>
      </c>
      <c r="J1269" s="14" t="s">
        <v>4654</v>
      </c>
      <c r="K1269" s="478">
        <v>1</v>
      </c>
      <c r="L1269" s="220">
        <v>123</v>
      </c>
      <c r="M1269" s="568" t="s">
        <v>4655</v>
      </c>
      <c r="N1269" s="479" t="s">
        <v>2937</v>
      </c>
      <c r="O1269" s="569" t="s">
        <v>2976</v>
      </c>
      <c r="P1269" s="655" t="s">
        <v>3005</v>
      </c>
      <c r="Q1269" s="486" t="s">
        <v>3006</v>
      </c>
      <c r="R1269" s="14">
        <v>20</v>
      </c>
      <c r="S1269" s="14">
        <f t="shared" si="1195"/>
        <v>24.6</v>
      </c>
      <c r="T1269">
        <f>SUM(R1268:R1295)</f>
        <v>100.29999999999998</v>
      </c>
      <c r="U1269">
        <f t="shared" si="1326"/>
        <v>19.940179461615159</v>
      </c>
      <c r="V1269" s="220">
        <f>U1269*100/SUM(U1268:U1269,U1271:U1295)</f>
        <v>22.148394241417485</v>
      </c>
      <c r="W1269" s="14" t="s">
        <v>2779</v>
      </c>
      <c r="X1269">
        <f t="shared" si="1327"/>
        <v>22.148394241417485</v>
      </c>
      <c r="Y1269" s="220">
        <f t="shared" ref="Y1269:AA1269" si="1329">X1269</f>
        <v>22.148394241417485</v>
      </c>
      <c r="Z1269" s="220">
        <f t="shared" si="1329"/>
        <v>22.148394241417485</v>
      </c>
      <c r="AA1269" s="792">
        <f t="shared" si="1329"/>
        <v>22.148394241417485</v>
      </c>
      <c r="AB1269" s="18" t="s">
        <v>2799</v>
      </c>
      <c r="AC1269" s="13" t="s">
        <v>215</v>
      </c>
      <c r="AD1269" s="13" t="s">
        <v>3007</v>
      </c>
      <c r="AE1269" s="12">
        <v>5.0851930036188197E-3</v>
      </c>
      <c r="AF1269" s="12">
        <v>5.9995417730640897E-2</v>
      </c>
      <c r="AG1269" s="12">
        <v>3.4699999999999998E-4</v>
      </c>
      <c r="AH1269" s="12">
        <v>2.9762429672480995E-4</v>
      </c>
    </row>
    <row r="1270" spans="1:34" ht="14.25">
      <c r="A1270" s="14" t="s">
        <v>4652</v>
      </c>
      <c r="B1270" s="24" t="s">
        <v>2768</v>
      </c>
      <c r="C1270" s="14" t="s">
        <v>2797</v>
      </c>
      <c r="D1270" s="14" t="s">
        <v>2911</v>
      </c>
      <c r="E1270" s="14" t="s">
        <v>4653</v>
      </c>
      <c r="F1270" s="13">
        <v>123</v>
      </c>
      <c r="G1270" s="14" t="s">
        <v>3686</v>
      </c>
      <c r="H1270" s="567" t="s">
        <v>2934</v>
      </c>
      <c r="I1270" s="14" t="s">
        <v>4653</v>
      </c>
      <c r="J1270" s="14" t="s">
        <v>4654</v>
      </c>
      <c r="K1270" s="478">
        <v>1</v>
      </c>
      <c r="L1270" s="220">
        <v>123</v>
      </c>
      <c r="M1270" s="568" t="s">
        <v>4655</v>
      </c>
      <c r="N1270" s="479" t="s">
        <v>2937</v>
      </c>
      <c r="O1270" s="569" t="s">
        <v>2976</v>
      </c>
      <c r="P1270" s="14" t="s">
        <v>2938</v>
      </c>
      <c r="Q1270" s="435" t="s">
        <v>2939</v>
      </c>
      <c r="R1270" s="14">
        <v>10</v>
      </c>
      <c r="S1270" s="14">
        <f t="shared" si="1195"/>
        <v>12.3</v>
      </c>
      <c r="T1270">
        <f>SUM(R1268:R1295)</f>
        <v>100.29999999999998</v>
      </c>
      <c r="U1270">
        <f t="shared" si="1326"/>
        <v>9.9700897308075795</v>
      </c>
      <c r="V1270" s="481">
        <f>U1270</f>
        <v>9.9700897308075795</v>
      </c>
      <c r="W1270" s="482" t="s">
        <v>72</v>
      </c>
      <c r="X1270" s="482">
        <f t="shared" si="1327"/>
        <v>9.9700897308075795</v>
      </c>
      <c r="Y1270" s="481">
        <f t="shared" ref="Y1270:AA1270" si="1330">X1270</f>
        <v>9.9700897308075795</v>
      </c>
      <c r="Z1270" s="481">
        <f t="shared" si="1330"/>
        <v>9.9700897308075795</v>
      </c>
      <c r="AA1270" s="810">
        <f t="shared" si="1330"/>
        <v>9.9700897308075795</v>
      </c>
      <c r="AB1270" s="456" t="s">
        <v>72</v>
      </c>
      <c r="AC1270" s="469" t="s">
        <v>2938</v>
      </c>
      <c r="AD1270" s="469" t="s">
        <v>2940</v>
      </c>
      <c r="AE1270" s="457">
        <v>0</v>
      </c>
      <c r="AF1270" s="457">
        <v>0</v>
      </c>
      <c r="AG1270" s="457">
        <v>0</v>
      </c>
      <c r="AH1270" s="457">
        <v>0</v>
      </c>
    </row>
    <row r="1271" spans="1:34" ht="14.25">
      <c r="A1271" s="14" t="s">
        <v>4652</v>
      </c>
      <c r="B1271" s="24" t="s">
        <v>2768</v>
      </c>
      <c r="C1271" s="14" t="s">
        <v>2797</v>
      </c>
      <c r="D1271" s="14" t="s">
        <v>2911</v>
      </c>
      <c r="E1271" s="14" t="s">
        <v>4653</v>
      </c>
      <c r="F1271" s="13">
        <v>123</v>
      </c>
      <c r="G1271" s="14" t="s">
        <v>3686</v>
      </c>
      <c r="H1271" s="567" t="s">
        <v>2934</v>
      </c>
      <c r="I1271" s="14" t="s">
        <v>4653</v>
      </c>
      <c r="J1271" s="14" t="s">
        <v>4654</v>
      </c>
      <c r="K1271" s="478">
        <v>1</v>
      </c>
      <c r="L1271" s="220">
        <v>123</v>
      </c>
      <c r="M1271" s="568" t="s">
        <v>4655</v>
      </c>
      <c r="N1271" s="479" t="s">
        <v>2937</v>
      </c>
      <c r="O1271" s="569" t="s">
        <v>2976</v>
      </c>
      <c r="P1271" s="14" t="s">
        <v>2962</v>
      </c>
      <c r="Q1271" s="435" t="s">
        <v>2963</v>
      </c>
      <c r="R1271" s="14">
        <v>3</v>
      </c>
      <c r="S1271" s="14">
        <f t="shared" si="1195"/>
        <v>3.69</v>
      </c>
      <c r="T1271">
        <f>SUM(R1268:R1295)</f>
        <v>100.29999999999998</v>
      </c>
      <c r="U1271">
        <f t="shared" si="1326"/>
        <v>2.9910269192422736</v>
      </c>
      <c r="V1271" s="220">
        <f>U1271*100/SUM(U1268:U1269,U1271:U1295)</f>
        <v>3.3222591362126224</v>
      </c>
      <c r="W1271" s="14" t="s">
        <v>425</v>
      </c>
      <c r="X1271">
        <f t="shared" si="1327"/>
        <v>3.3222591362126224</v>
      </c>
      <c r="Y1271" s="220">
        <f>SUM(X1271,X1281,X1284,X1282,X1293)</f>
        <v>10.077519379844954</v>
      </c>
      <c r="Z1271" s="220">
        <f>SUM(X1271,X1281,X1284)</f>
        <v>7.7519379844961183</v>
      </c>
      <c r="AA1271" s="792">
        <f>Z1271</f>
        <v>7.7519379844961183</v>
      </c>
      <c r="AB1271" s="18" t="s">
        <v>2800</v>
      </c>
      <c r="AC1271" s="13" t="s">
        <v>2964</v>
      </c>
      <c r="AD1271" s="13" t="s">
        <v>2965</v>
      </c>
      <c r="AE1271" s="12">
        <v>3.8102374934982654E-3</v>
      </c>
      <c r="AF1271" s="12">
        <v>0.20470422547079484</v>
      </c>
      <c r="AG1271" s="12">
        <v>1.210810810810811E-4</v>
      </c>
      <c r="AH1271" s="12">
        <v>1.0002400855855065E-3</v>
      </c>
    </row>
    <row r="1272" spans="1:34" ht="14.25">
      <c r="A1272" s="14" t="s">
        <v>4652</v>
      </c>
      <c r="B1272" s="24" t="s">
        <v>2768</v>
      </c>
      <c r="C1272" s="14" t="s">
        <v>2797</v>
      </c>
      <c r="D1272" s="14" t="s">
        <v>2911</v>
      </c>
      <c r="E1272" s="14" t="s">
        <v>4653</v>
      </c>
      <c r="F1272" s="13">
        <v>123</v>
      </c>
      <c r="G1272" s="14" t="s">
        <v>3686</v>
      </c>
      <c r="H1272" s="567" t="s">
        <v>2934</v>
      </c>
      <c r="I1272" s="14" t="s">
        <v>4653</v>
      </c>
      <c r="J1272" s="14" t="s">
        <v>4654</v>
      </c>
      <c r="K1272" s="478">
        <v>1</v>
      </c>
      <c r="L1272" s="220">
        <v>123</v>
      </c>
      <c r="M1272" s="568" t="s">
        <v>4655</v>
      </c>
      <c r="N1272" s="479" t="s">
        <v>2937</v>
      </c>
      <c r="O1272" s="569" t="s">
        <v>2976</v>
      </c>
      <c r="P1272" s="14" t="s">
        <v>2945</v>
      </c>
      <c r="Q1272" s="435" t="s">
        <v>2946</v>
      </c>
      <c r="R1272" s="14">
        <v>2</v>
      </c>
      <c r="S1272" s="14">
        <f t="shared" si="1195"/>
        <v>2.46</v>
      </c>
      <c r="T1272">
        <f>SUM(R1268:R1295)</f>
        <v>100.29999999999998</v>
      </c>
      <c r="U1272">
        <f t="shared" si="1326"/>
        <v>1.9940179461615157</v>
      </c>
      <c r="V1272" s="220">
        <f>U1272*100/SUM(U1268:U1269,U1271:U1295)</f>
        <v>2.2148394241417479</v>
      </c>
      <c r="W1272" s="14" t="s">
        <v>433</v>
      </c>
      <c r="X1272">
        <f t="shared" si="1327"/>
        <v>2.2148394241417479</v>
      </c>
      <c r="Y1272" s="220">
        <f t="shared" ref="Y1272:AA1272" si="1331">X1272</f>
        <v>2.2148394241417479</v>
      </c>
      <c r="Z1272" s="220">
        <f t="shared" si="1331"/>
        <v>2.2148394241417479</v>
      </c>
      <c r="AA1272" s="792">
        <f t="shared" si="1331"/>
        <v>2.2148394241417479</v>
      </c>
      <c r="AB1272" s="18" t="s">
        <v>433</v>
      </c>
      <c r="AC1272" s="13" t="s">
        <v>433</v>
      </c>
      <c r="AD1272" s="13" t="s">
        <v>2947</v>
      </c>
      <c r="AE1272" s="12">
        <v>3.0104466724907065E-4</v>
      </c>
      <c r="AF1272" s="12">
        <v>1.2500000000000001E-2</v>
      </c>
      <c r="AG1272" s="12">
        <v>5.1818181818181835E-4</v>
      </c>
      <c r="AH1272" s="12">
        <v>4.0084080366977777E-4</v>
      </c>
    </row>
    <row r="1273" spans="1:34" ht="14.25">
      <c r="A1273" s="14" t="s">
        <v>4652</v>
      </c>
      <c r="B1273" s="24" t="s">
        <v>2768</v>
      </c>
      <c r="C1273" s="14" t="s">
        <v>2797</v>
      </c>
      <c r="D1273" s="14" t="s">
        <v>2911</v>
      </c>
      <c r="E1273" s="14" t="s">
        <v>4653</v>
      </c>
      <c r="F1273" s="13">
        <v>123</v>
      </c>
      <c r="G1273" s="14" t="s">
        <v>3686</v>
      </c>
      <c r="H1273" s="567" t="s">
        <v>2934</v>
      </c>
      <c r="I1273" s="14" t="s">
        <v>4653</v>
      </c>
      <c r="J1273" s="14" t="s">
        <v>4654</v>
      </c>
      <c r="K1273" s="478">
        <v>1</v>
      </c>
      <c r="L1273" s="220">
        <v>123</v>
      </c>
      <c r="M1273" s="568" t="s">
        <v>4655</v>
      </c>
      <c r="N1273" s="479" t="s">
        <v>2937</v>
      </c>
      <c r="O1273" s="569" t="s">
        <v>2976</v>
      </c>
      <c r="P1273" s="14" t="s">
        <v>330</v>
      </c>
      <c r="Q1273" s="486" t="s">
        <v>3113</v>
      </c>
      <c r="R1273" s="14">
        <v>4</v>
      </c>
      <c r="S1273" s="14">
        <f t="shared" si="1195"/>
        <v>4.92</v>
      </c>
      <c r="T1273">
        <f>SUM(R1268:R1295)</f>
        <v>100.29999999999998</v>
      </c>
      <c r="U1273">
        <f t="shared" si="1326"/>
        <v>3.9880358923230315</v>
      </c>
      <c r="V1273" s="220">
        <f>U1273*100/SUM(U1268:U1269,U1271:U1295)</f>
        <v>4.4296788482834959</v>
      </c>
      <c r="W1273" s="14" t="s">
        <v>332</v>
      </c>
      <c r="X1273">
        <f t="shared" si="1327"/>
        <v>4.4296788482834959</v>
      </c>
      <c r="Y1273" s="220">
        <f>SUM(X1273,X1279)</f>
        <v>4.6290143964562533</v>
      </c>
      <c r="Z1273" s="220">
        <f>SUM(X1273,X1279)</f>
        <v>4.6290143964562533</v>
      </c>
      <c r="AA1273" s="792">
        <f t="shared" ref="AA1273:AA1274" si="1332">Z1273</f>
        <v>4.6290143964562533</v>
      </c>
      <c r="AB1273" s="18" t="s">
        <v>2801</v>
      </c>
      <c r="AC1273" s="13" t="s">
        <v>4579</v>
      </c>
      <c r="AD1273" s="13"/>
      <c r="AE1273" s="12">
        <v>2.3E-3</v>
      </c>
      <c r="AF1273" s="12">
        <v>4.7879999999999999E-2</v>
      </c>
      <c r="AG1273" s="12">
        <v>9.9999999999999995E-7</v>
      </c>
      <c r="AH1273" s="12">
        <v>4.4092488403675551E-4</v>
      </c>
    </row>
    <row r="1274" spans="1:34" ht="14.25">
      <c r="A1274" s="14" t="s">
        <v>4652</v>
      </c>
      <c r="B1274" s="24" t="s">
        <v>2768</v>
      </c>
      <c r="C1274" s="14" t="s">
        <v>2797</v>
      </c>
      <c r="D1274" s="14" t="s">
        <v>2911</v>
      </c>
      <c r="E1274" s="14" t="s">
        <v>4653</v>
      </c>
      <c r="F1274" s="13">
        <v>123</v>
      </c>
      <c r="G1274" s="14" t="s">
        <v>3686</v>
      </c>
      <c r="H1274" s="567" t="s">
        <v>2934</v>
      </c>
      <c r="I1274" s="14" t="s">
        <v>4653</v>
      </c>
      <c r="J1274" s="14" t="s">
        <v>4654</v>
      </c>
      <c r="K1274" s="478">
        <v>1</v>
      </c>
      <c r="L1274" s="220">
        <v>123</v>
      </c>
      <c r="M1274" s="568" t="s">
        <v>4655</v>
      </c>
      <c r="N1274" s="479" t="s">
        <v>2937</v>
      </c>
      <c r="O1274" s="569" t="s">
        <v>2976</v>
      </c>
      <c r="P1274" s="14" t="s">
        <v>3021</v>
      </c>
      <c r="Q1274" s="486" t="s">
        <v>3022</v>
      </c>
      <c r="R1274" s="14">
        <v>1</v>
      </c>
      <c r="S1274" s="14">
        <f t="shared" si="1195"/>
        <v>1.23</v>
      </c>
      <c r="T1274">
        <f>SUM(R1268:R1295)</f>
        <v>100.29999999999998</v>
      </c>
      <c r="U1274">
        <f t="shared" si="1326"/>
        <v>0.99700897308075787</v>
      </c>
      <c r="V1274" s="220">
        <f>U1274*100/SUM(U1268:U1269,U1271:U1295)</f>
        <v>1.107419712070874</v>
      </c>
      <c r="W1274" s="14" t="s">
        <v>346</v>
      </c>
      <c r="X1274">
        <f t="shared" si="1327"/>
        <v>1.107419712070874</v>
      </c>
      <c r="Y1274" s="220">
        <f>SUM(X1274,X1275,X1277,X1288,X1278,X1295)</f>
        <v>6.3122923588039814</v>
      </c>
      <c r="Z1274" s="220">
        <f>SUM(X1274,X1275,X1277,X1288,X1278)</f>
        <v>6.2569213732004378</v>
      </c>
      <c r="AA1274" s="792">
        <f t="shared" si="1332"/>
        <v>6.2569213732004378</v>
      </c>
      <c r="AB1274" s="18" t="s">
        <v>2802</v>
      </c>
      <c r="AC1274" s="13" t="s">
        <v>2982</v>
      </c>
      <c r="AD1274" s="13" t="s">
        <v>2983</v>
      </c>
      <c r="AE1274" s="12">
        <v>2.9691872042618299E-2</v>
      </c>
      <c r="AF1274" s="12">
        <v>7.5368545517799299E-2</v>
      </c>
      <c r="AG1274" s="12">
        <v>2.9014018691588786E-4</v>
      </c>
      <c r="AH1274" s="12">
        <v>1.4770983615231311E-3</v>
      </c>
    </row>
    <row r="1275" spans="1:34" ht="14.25">
      <c r="A1275" s="14" t="s">
        <v>4652</v>
      </c>
      <c r="B1275" s="24" t="s">
        <v>2768</v>
      </c>
      <c r="C1275" s="14" t="s">
        <v>2797</v>
      </c>
      <c r="D1275" s="14" t="s">
        <v>2911</v>
      </c>
      <c r="E1275" s="14" t="s">
        <v>4653</v>
      </c>
      <c r="F1275" s="13">
        <v>123</v>
      </c>
      <c r="G1275" s="14" t="s">
        <v>3686</v>
      </c>
      <c r="H1275" s="567" t="s">
        <v>2934</v>
      </c>
      <c r="I1275" s="14" t="s">
        <v>4653</v>
      </c>
      <c r="J1275" s="14" t="s">
        <v>4654</v>
      </c>
      <c r="K1275" s="478">
        <v>1</v>
      </c>
      <c r="L1275" s="220">
        <v>123</v>
      </c>
      <c r="M1275" s="568" t="s">
        <v>4655</v>
      </c>
      <c r="N1275" s="479" t="s">
        <v>2937</v>
      </c>
      <c r="O1275" s="569" t="s">
        <v>2976</v>
      </c>
      <c r="P1275" s="489" t="s">
        <v>2980</v>
      </c>
      <c r="Q1275" s="563" t="s">
        <v>2981</v>
      </c>
      <c r="R1275" s="14">
        <f t="shared" ref="R1275:R1276" si="1333">5/2</f>
        <v>2.5</v>
      </c>
      <c r="S1275" s="14">
        <f t="shared" si="1195"/>
        <v>3.0750000000000002</v>
      </c>
      <c r="T1275">
        <f>SUM(R1268:R1295)</f>
        <v>100.29999999999998</v>
      </c>
      <c r="U1275">
        <f t="shared" si="1326"/>
        <v>2.4925224327018949</v>
      </c>
      <c r="V1275" s="220">
        <f>U1275*100/SUM(U1268:U1269,U1271:U1295)</f>
        <v>2.7685492801771856</v>
      </c>
      <c r="W1275" s="14" t="s">
        <v>349</v>
      </c>
      <c r="X1275">
        <f t="shared" si="1327"/>
        <v>2.7685492801771856</v>
      </c>
      <c r="Y1275" s="220" t="s">
        <v>1666</v>
      </c>
      <c r="Z1275" s="220" t="str">
        <f t="shared" ref="Z1275:AH1275" si="1334">Y1275</f>
        <v>*</v>
      </c>
      <c r="AA1275" s="792" t="str">
        <f t="shared" si="1334"/>
        <v>*</v>
      </c>
      <c r="AB1275" s="458" t="str">
        <f t="shared" si="1334"/>
        <v>*</v>
      </c>
      <c r="AC1275" s="497" t="str">
        <f t="shared" si="1334"/>
        <v>*</v>
      </c>
      <c r="AD1275" s="497" t="str">
        <f t="shared" si="1334"/>
        <v>*</v>
      </c>
      <c r="AE1275" s="483" t="str">
        <f t="shared" si="1334"/>
        <v>*</v>
      </c>
      <c r="AF1275" s="483" t="str">
        <f t="shared" si="1334"/>
        <v>*</v>
      </c>
      <c r="AG1275" s="483" t="str">
        <f t="shared" si="1334"/>
        <v>*</v>
      </c>
      <c r="AH1275" s="483" t="str">
        <f t="shared" si="1334"/>
        <v>*</v>
      </c>
    </row>
    <row r="1276" spans="1:34" ht="14.25">
      <c r="A1276" s="14" t="s">
        <v>4652</v>
      </c>
      <c r="B1276" s="24" t="s">
        <v>2768</v>
      </c>
      <c r="C1276" s="14" t="s">
        <v>2797</v>
      </c>
      <c r="D1276" s="14" t="s">
        <v>2911</v>
      </c>
      <c r="E1276" s="14" t="s">
        <v>4653</v>
      </c>
      <c r="F1276" s="13">
        <v>123</v>
      </c>
      <c r="G1276" s="14" t="s">
        <v>3686</v>
      </c>
      <c r="H1276" s="567" t="s">
        <v>2934</v>
      </c>
      <c r="I1276" s="14" t="s">
        <v>4653</v>
      </c>
      <c r="J1276" s="14" t="s">
        <v>4654</v>
      </c>
      <c r="K1276" s="478">
        <v>1</v>
      </c>
      <c r="L1276" s="220">
        <v>123</v>
      </c>
      <c r="M1276" s="568" t="s">
        <v>4655</v>
      </c>
      <c r="N1276" s="479" t="s">
        <v>2937</v>
      </c>
      <c r="O1276" s="569" t="s">
        <v>2976</v>
      </c>
      <c r="P1276" s="490" t="s">
        <v>2980</v>
      </c>
      <c r="Q1276" s="491" t="s">
        <v>4366</v>
      </c>
      <c r="R1276" s="14">
        <f t="shared" si="1333"/>
        <v>2.5</v>
      </c>
      <c r="S1276" s="14">
        <f t="shared" si="1195"/>
        <v>3.0750000000000002</v>
      </c>
      <c r="T1276">
        <f>SUM(R1268:R1295)</f>
        <v>100.29999999999998</v>
      </c>
      <c r="U1276">
        <f t="shared" si="1326"/>
        <v>2.4925224327018949</v>
      </c>
      <c r="V1276" s="220">
        <f>U1276*100/SUM(U1268:U1269,U1271:U1295)</f>
        <v>2.7685492801771856</v>
      </c>
      <c r="W1276" s="14" t="s">
        <v>2521</v>
      </c>
      <c r="X1276">
        <f t="shared" si="1327"/>
        <v>2.7685492801771856</v>
      </c>
      <c r="Y1276" s="220">
        <f>SUM(X1276,X1280)</f>
        <v>2.9568106312292342</v>
      </c>
      <c r="Z1276" s="220">
        <f>SUM(X1276,X1280)</f>
        <v>2.9568106312292342</v>
      </c>
      <c r="AA1276" s="792">
        <f>Z1276</f>
        <v>2.9568106312292342</v>
      </c>
      <c r="AB1276" s="18" t="s">
        <v>2803</v>
      </c>
      <c r="AC1276" s="13" t="s">
        <v>4579</v>
      </c>
      <c r="AD1276" s="13" t="s">
        <v>18</v>
      </c>
      <c r="AE1276" s="12">
        <v>1.0652903141570055E-3</v>
      </c>
      <c r="AF1276" s="12">
        <v>1.7273631840796021E-2</v>
      </c>
      <c r="AG1276" s="12">
        <v>1.3582399999999999E-4</v>
      </c>
      <c r="AH1276" s="12">
        <v>2.14E-3</v>
      </c>
    </row>
    <row r="1277" spans="1:34" ht="14.25">
      <c r="A1277" s="14" t="s">
        <v>4652</v>
      </c>
      <c r="B1277" s="24" t="s">
        <v>2768</v>
      </c>
      <c r="C1277" s="14" t="s">
        <v>2797</v>
      </c>
      <c r="D1277" s="14" t="s">
        <v>2911</v>
      </c>
      <c r="E1277" s="14" t="s">
        <v>4653</v>
      </c>
      <c r="F1277" s="13">
        <v>123</v>
      </c>
      <c r="G1277" s="14" t="s">
        <v>3686</v>
      </c>
      <c r="H1277" s="567" t="s">
        <v>2934</v>
      </c>
      <c r="I1277" s="14" t="s">
        <v>4653</v>
      </c>
      <c r="J1277" s="14" t="s">
        <v>4654</v>
      </c>
      <c r="K1277" s="478">
        <v>1</v>
      </c>
      <c r="L1277" s="220">
        <v>123</v>
      </c>
      <c r="M1277" s="568" t="s">
        <v>4655</v>
      </c>
      <c r="N1277" s="479" t="s">
        <v>2937</v>
      </c>
      <c r="O1277" s="569" t="s">
        <v>2976</v>
      </c>
      <c r="P1277" s="489" t="s">
        <v>4658</v>
      </c>
      <c r="Q1277" s="486" t="s">
        <v>4659</v>
      </c>
      <c r="R1277" s="14">
        <f>2*0.72</f>
        <v>1.44</v>
      </c>
      <c r="S1277" s="14">
        <f t="shared" si="1195"/>
        <v>1.7711999999999999</v>
      </c>
      <c r="T1277">
        <f>SUM(R1268:R1295)</f>
        <v>100.29999999999998</v>
      </c>
      <c r="U1277">
        <f t="shared" si="1326"/>
        <v>1.4356929212362914</v>
      </c>
      <c r="V1277" s="220">
        <f>U1277*100/SUM(U1268:U1269,U1271:U1295)</f>
        <v>1.5946843853820587</v>
      </c>
      <c r="W1277" s="14" t="s">
        <v>346</v>
      </c>
      <c r="X1277">
        <f t="shared" si="1327"/>
        <v>1.5946843853820587</v>
      </c>
      <c r="Y1277" s="220" t="s">
        <v>1666</v>
      </c>
      <c r="Z1277" s="220" t="str">
        <f t="shared" ref="Z1277:AH1277" si="1335">Y1277</f>
        <v>*</v>
      </c>
      <c r="AA1277" s="792" t="str">
        <f t="shared" si="1335"/>
        <v>*</v>
      </c>
      <c r="AB1277" s="458" t="str">
        <f t="shared" si="1335"/>
        <v>*</v>
      </c>
      <c r="AC1277" s="497" t="str">
        <f t="shared" si="1335"/>
        <v>*</v>
      </c>
      <c r="AD1277" s="497" t="str">
        <f t="shared" si="1335"/>
        <v>*</v>
      </c>
      <c r="AE1277" s="483" t="str">
        <f t="shared" si="1335"/>
        <v>*</v>
      </c>
      <c r="AF1277" s="483" t="str">
        <f t="shared" si="1335"/>
        <v>*</v>
      </c>
      <c r="AG1277" s="483" t="str">
        <f t="shared" si="1335"/>
        <v>*</v>
      </c>
      <c r="AH1277" s="483" t="str">
        <f t="shared" si="1335"/>
        <v>*</v>
      </c>
    </row>
    <row r="1278" spans="1:34" ht="14.25">
      <c r="A1278" s="14" t="s">
        <v>4652</v>
      </c>
      <c r="B1278" s="24" t="s">
        <v>2768</v>
      </c>
      <c r="C1278" s="14" t="s">
        <v>2797</v>
      </c>
      <c r="D1278" s="14" t="s">
        <v>2911</v>
      </c>
      <c r="E1278" s="14" t="s">
        <v>4653</v>
      </c>
      <c r="F1278" s="13">
        <v>123</v>
      </c>
      <c r="G1278" s="14" t="s">
        <v>3686</v>
      </c>
      <c r="H1278" s="567" t="s">
        <v>2934</v>
      </c>
      <c r="I1278" s="14" t="s">
        <v>4653</v>
      </c>
      <c r="J1278" s="14" t="s">
        <v>4654</v>
      </c>
      <c r="K1278" s="478">
        <v>1</v>
      </c>
      <c r="L1278" s="220">
        <v>123</v>
      </c>
      <c r="M1278" s="568" t="s">
        <v>4655</v>
      </c>
      <c r="N1278" s="479" t="s">
        <v>2937</v>
      </c>
      <c r="O1278" s="569" t="s">
        <v>2976</v>
      </c>
      <c r="P1278" s="14" t="s">
        <v>4658</v>
      </c>
      <c r="Q1278" s="486" t="s">
        <v>2981</v>
      </c>
      <c r="R1278" s="14">
        <f>2*0.105</f>
        <v>0.21</v>
      </c>
      <c r="S1278" s="14">
        <f t="shared" si="1195"/>
        <v>0.25829999999999997</v>
      </c>
      <c r="T1278">
        <f>SUM(R1268:R1295)</f>
        <v>100.29999999999998</v>
      </c>
      <c r="U1278">
        <f t="shared" si="1326"/>
        <v>0.20937188434695916</v>
      </c>
      <c r="V1278" s="220">
        <f>U1278*100/SUM(U1268:U1269,U1271:U1295)</f>
        <v>0.23255813953488355</v>
      </c>
      <c r="W1278" s="14" t="s">
        <v>349</v>
      </c>
      <c r="X1278">
        <f t="shared" si="1327"/>
        <v>0.23255813953488355</v>
      </c>
      <c r="Y1278" s="220" t="s">
        <v>1666</v>
      </c>
      <c r="Z1278" s="220" t="str">
        <f t="shared" ref="Z1278:AH1278" si="1336">Y1278</f>
        <v>*</v>
      </c>
      <c r="AA1278" s="792" t="str">
        <f t="shared" si="1336"/>
        <v>*</v>
      </c>
      <c r="AB1278" s="458" t="str">
        <f t="shared" si="1336"/>
        <v>*</v>
      </c>
      <c r="AC1278" s="497" t="str">
        <f t="shared" si="1336"/>
        <v>*</v>
      </c>
      <c r="AD1278" s="497" t="str">
        <f t="shared" si="1336"/>
        <v>*</v>
      </c>
      <c r="AE1278" s="483" t="str">
        <f t="shared" si="1336"/>
        <v>*</v>
      </c>
      <c r="AF1278" s="483" t="str">
        <f t="shared" si="1336"/>
        <v>*</v>
      </c>
      <c r="AG1278" s="483" t="str">
        <f t="shared" si="1336"/>
        <v>*</v>
      </c>
      <c r="AH1278" s="483" t="str">
        <f t="shared" si="1336"/>
        <v>*</v>
      </c>
    </row>
    <row r="1279" spans="1:34" ht="14.25">
      <c r="A1279" s="14" t="s">
        <v>4652</v>
      </c>
      <c r="B1279" s="24" t="s">
        <v>2768</v>
      </c>
      <c r="C1279" s="14" t="s">
        <v>2797</v>
      </c>
      <c r="D1279" s="14" t="s">
        <v>2911</v>
      </c>
      <c r="E1279" s="14" t="s">
        <v>4653</v>
      </c>
      <c r="F1279" s="13">
        <v>123</v>
      </c>
      <c r="G1279" s="14" t="s">
        <v>3686</v>
      </c>
      <c r="H1279" s="567" t="s">
        <v>2934</v>
      </c>
      <c r="I1279" s="14" t="s">
        <v>4653</v>
      </c>
      <c r="J1279" s="14" t="s">
        <v>4654</v>
      </c>
      <c r="K1279" s="478">
        <v>1</v>
      </c>
      <c r="L1279" s="220">
        <v>123</v>
      </c>
      <c r="M1279" s="568" t="s">
        <v>4655</v>
      </c>
      <c r="N1279" s="479" t="s">
        <v>2937</v>
      </c>
      <c r="O1279" s="569" t="s">
        <v>2976</v>
      </c>
      <c r="P1279" s="14" t="s">
        <v>4658</v>
      </c>
      <c r="Q1279" s="486" t="s">
        <v>3113</v>
      </c>
      <c r="R1279" s="14">
        <f>2*0.09</f>
        <v>0.18</v>
      </c>
      <c r="S1279" s="14">
        <f t="shared" si="1195"/>
        <v>0.22139999999999999</v>
      </c>
      <c r="T1279">
        <f>SUM(R1268:R1295)</f>
        <v>100.29999999999998</v>
      </c>
      <c r="U1279">
        <f t="shared" si="1326"/>
        <v>0.17946161515453643</v>
      </c>
      <c r="V1279" s="220">
        <f>U1279*100/SUM(U1268:U1269,U1271:U1295)</f>
        <v>0.19933554817275734</v>
      </c>
      <c r="W1279" s="14" t="s">
        <v>337</v>
      </c>
      <c r="X1279">
        <f t="shared" si="1327"/>
        <v>0.19933554817275734</v>
      </c>
      <c r="Y1279" s="220" t="s">
        <v>1666</v>
      </c>
      <c r="Z1279" s="220" t="s">
        <v>1666</v>
      </c>
      <c r="AA1279" s="792" t="str">
        <f t="shared" ref="AA1279:AH1279" si="1337">Z1279</f>
        <v>*</v>
      </c>
      <c r="AB1279" s="458" t="str">
        <f t="shared" si="1337"/>
        <v>*</v>
      </c>
      <c r="AC1279" s="497" t="str">
        <f t="shared" si="1337"/>
        <v>*</v>
      </c>
      <c r="AD1279" s="497" t="str">
        <f t="shared" si="1337"/>
        <v>*</v>
      </c>
      <c r="AE1279" s="483" t="str">
        <f t="shared" si="1337"/>
        <v>*</v>
      </c>
      <c r="AF1279" s="483" t="str">
        <f t="shared" si="1337"/>
        <v>*</v>
      </c>
      <c r="AG1279" s="483" t="str">
        <f t="shared" si="1337"/>
        <v>*</v>
      </c>
      <c r="AH1279" s="483" t="str">
        <f t="shared" si="1337"/>
        <v>*</v>
      </c>
    </row>
    <row r="1280" spans="1:34" ht="14.25">
      <c r="A1280" s="14" t="s">
        <v>4652</v>
      </c>
      <c r="B1280" s="24" t="s">
        <v>2768</v>
      </c>
      <c r="C1280" s="14" t="s">
        <v>2797</v>
      </c>
      <c r="D1280" s="14" t="s">
        <v>2911</v>
      </c>
      <c r="E1280" s="14" t="s">
        <v>4653</v>
      </c>
      <c r="F1280" s="13">
        <v>123</v>
      </c>
      <c r="G1280" s="14" t="s">
        <v>3686</v>
      </c>
      <c r="H1280" s="567" t="s">
        <v>2934</v>
      </c>
      <c r="I1280" s="14" t="s">
        <v>4653</v>
      </c>
      <c r="J1280" s="14" t="s">
        <v>4654</v>
      </c>
      <c r="K1280" s="478">
        <v>1</v>
      </c>
      <c r="L1280" s="220">
        <v>123</v>
      </c>
      <c r="M1280" s="568" t="s">
        <v>4655</v>
      </c>
      <c r="N1280" s="479" t="s">
        <v>2937</v>
      </c>
      <c r="O1280" s="569" t="s">
        <v>2976</v>
      </c>
      <c r="P1280" s="490" t="s">
        <v>4658</v>
      </c>
      <c r="Q1280" s="486" t="s">
        <v>4660</v>
      </c>
      <c r="R1280" s="14">
        <f>2*0.085</f>
        <v>0.17</v>
      </c>
      <c r="S1280" s="14">
        <f t="shared" si="1195"/>
        <v>0.20910000000000001</v>
      </c>
      <c r="T1280">
        <f>SUM(R1268:R1295)</f>
        <v>100.29999999999998</v>
      </c>
      <c r="U1280">
        <f t="shared" si="1326"/>
        <v>0.16949152542372883</v>
      </c>
      <c r="V1280" s="220">
        <f>U1280*100/SUM(U1268:U1269,U1271:U1295)</f>
        <v>0.18826135105204858</v>
      </c>
      <c r="W1280" s="14" t="s">
        <v>2521</v>
      </c>
      <c r="X1280">
        <f t="shared" si="1327"/>
        <v>0.18826135105204858</v>
      </c>
      <c r="Y1280" s="220" t="s">
        <v>1666</v>
      </c>
      <c r="Z1280" s="220" t="s">
        <v>1666</v>
      </c>
      <c r="AA1280" s="792" t="str">
        <f t="shared" ref="AA1280:AH1280" si="1338">Z1280</f>
        <v>*</v>
      </c>
      <c r="AB1280" s="458" t="str">
        <f t="shared" si="1338"/>
        <v>*</v>
      </c>
      <c r="AC1280" s="497" t="str">
        <f t="shared" si="1338"/>
        <v>*</v>
      </c>
      <c r="AD1280" s="497" t="str">
        <f t="shared" si="1338"/>
        <v>*</v>
      </c>
      <c r="AE1280" s="483" t="str">
        <f t="shared" si="1338"/>
        <v>*</v>
      </c>
      <c r="AF1280" s="483" t="str">
        <f t="shared" si="1338"/>
        <v>*</v>
      </c>
      <c r="AG1280" s="483" t="str">
        <f t="shared" si="1338"/>
        <v>*</v>
      </c>
      <c r="AH1280" s="483" t="str">
        <f t="shared" si="1338"/>
        <v>*</v>
      </c>
    </row>
    <row r="1281" spans="1:34" ht="14.25">
      <c r="A1281" s="14" t="s">
        <v>4652</v>
      </c>
      <c r="B1281" s="24" t="s">
        <v>2768</v>
      </c>
      <c r="C1281" s="14" t="s">
        <v>2797</v>
      </c>
      <c r="D1281" s="14" t="s">
        <v>2911</v>
      </c>
      <c r="E1281" s="14" t="s">
        <v>4653</v>
      </c>
      <c r="F1281" s="13">
        <v>123</v>
      </c>
      <c r="G1281" s="14" t="s">
        <v>3686</v>
      </c>
      <c r="H1281" s="567" t="s">
        <v>2934</v>
      </c>
      <c r="I1281" s="14" t="s">
        <v>4653</v>
      </c>
      <c r="J1281" s="14" t="s">
        <v>4654</v>
      </c>
      <c r="K1281" s="478">
        <v>1</v>
      </c>
      <c r="L1281" s="220">
        <v>123</v>
      </c>
      <c r="M1281" s="568" t="s">
        <v>4655</v>
      </c>
      <c r="N1281" s="479" t="s">
        <v>2937</v>
      </c>
      <c r="O1281" s="569" t="s">
        <v>2976</v>
      </c>
      <c r="P1281" s="655" t="s">
        <v>4232</v>
      </c>
      <c r="Q1281" s="563" t="s">
        <v>4325</v>
      </c>
      <c r="R1281" s="14">
        <v>2</v>
      </c>
      <c r="S1281" s="14">
        <f t="shared" si="1195"/>
        <v>2.46</v>
      </c>
      <c r="T1281">
        <f>SUM(R1268:R1295)</f>
        <v>100.29999999999998</v>
      </c>
      <c r="U1281">
        <f t="shared" si="1326"/>
        <v>1.9940179461615157</v>
      </c>
      <c r="V1281" s="220">
        <f>U1281*100/SUM(U1268:U1269,U1271:U1295)</f>
        <v>2.2148394241417479</v>
      </c>
      <c r="W1281" s="14" t="s">
        <v>4645</v>
      </c>
      <c r="X1281">
        <f t="shared" si="1327"/>
        <v>2.2148394241417479</v>
      </c>
      <c r="Y1281" s="220" t="s">
        <v>1666</v>
      </c>
      <c r="Z1281" s="220" t="str">
        <f t="shared" ref="Z1281:AH1281" si="1339">Y1281</f>
        <v>*</v>
      </c>
      <c r="AA1281" s="792" t="str">
        <f t="shared" si="1339"/>
        <v>*</v>
      </c>
      <c r="AB1281" s="458" t="str">
        <f t="shared" si="1339"/>
        <v>*</v>
      </c>
      <c r="AC1281" s="497" t="str">
        <f t="shared" si="1339"/>
        <v>*</v>
      </c>
      <c r="AD1281" s="497" t="str">
        <f t="shared" si="1339"/>
        <v>*</v>
      </c>
      <c r="AE1281" s="483" t="str">
        <f t="shared" si="1339"/>
        <v>*</v>
      </c>
      <c r="AF1281" s="483" t="str">
        <f t="shared" si="1339"/>
        <v>*</v>
      </c>
      <c r="AG1281" s="483" t="str">
        <f t="shared" si="1339"/>
        <v>*</v>
      </c>
      <c r="AH1281" s="483" t="str">
        <f t="shared" si="1339"/>
        <v>*</v>
      </c>
    </row>
    <row r="1282" spans="1:34" ht="14.25">
      <c r="A1282" s="14" t="s">
        <v>4652</v>
      </c>
      <c r="B1282" s="24" t="s">
        <v>2768</v>
      </c>
      <c r="C1282" s="14" t="s">
        <v>2797</v>
      </c>
      <c r="D1282" s="14" t="s">
        <v>2911</v>
      </c>
      <c r="E1282" s="14" t="s">
        <v>4653</v>
      </c>
      <c r="F1282" s="13">
        <v>123</v>
      </c>
      <c r="G1282" s="14" t="s">
        <v>3686</v>
      </c>
      <c r="H1282" s="567" t="s">
        <v>2934</v>
      </c>
      <c r="I1282" s="14" t="s">
        <v>4653</v>
      </c>
      <c r="J1282" s="14" t="s">
        <v>4654</v>
      </c>
      <c r="K1282" s="478">
        <v>1</v>
      </c>
      <c r="L1282" s="220">
        <v>123</v>
      </c>
      <c r="M1282" s="568" t="s">
        <v>4655</v>
      </c>
      <c r="N1282" s="479" t="s">
        <v>2937</v>
      </c>
      <c r="O1282" s="569" t="s">
        <v>2976</v>
      </c>
      <c r="P1282" s="655" t="s">
        <v>2977</v>
      </c>
      <c r="Q1282" s="486" t="s">
        <v>4661</v>
      </c>
      <c r="R1282" s="14">
        <v>2</v>
      </c>
      <c r="S1282" s="14">
        <f t="shared" si="1195"/>
        <v>2.46</v>
      </c>
      <c r="T1282">
        <f>SUM(R1268:R1295)</f>
        <v>100.29999999999998</v>
      </c>
      <c r="U1282">
        <f t="shared" si="1326"/>
        <v>1.9940179461615157</v>
      </c>
      <c r="V1282" s="220">
        <f>U1282*100/SUM(U1268:U1269,U1271:U1295)</f>
        <v>2.2148394241417479</v>
      </c>
      <c r="W1282" s="14" t="s">
        <v>227</v>
      </c>
      <c r="X1282">
        <f t="shared" si="1327"/>
        <v>2.2148394241417479</v>
      </c>
      <c r="Y1282" s="220" t="s">
        <v>1666</v>
      </c>
      <c r="Z1282" s="220">
        <f>SUM(X1282,X1293)</f>
        <v>2.3255813953488351</v>
      </c>
      <c r="AA1282" s="792">
        <f>Z1282</f>
        <v>2.3255813953488351</v>
      </c>
      <c r="AB1282" s="18" t="s">
        <v>2530</v>
      </c>
      <c r="AC1282" s="13" t="s">
        <v>55</v>
      </c>
      <c r="AD1282" s="13" t="s">
        <v>2979</v>
      </c>
      <c r="AE1282" s="12">
        <v>2.5055367220000002E-3</v>
      </c>
      <c r="AF1282" s="12">
        <v>3.8459841414181101E-2</v>
      </c>
      <c r="AG1282" s="12">
        <v>1.1035422343324251E-4</v>
      </c>
      <c r="AH1282" s="12">
        <v>8.109653861711444E-4</v>
      </c>
    </row>
    <row r="1283" spans="1:34" ht="14.25">
      <c r="A1283" s="14" t="s">
        <v>4652</v>
      </c>
      <c r="B1283" s="24" t="s">
        <v>2768</v>
      </c>
      <c r="C1283" s="14" t="s">
        <v>2797</v>
      </c>
      <c r="D1283" s="14" t="s">
        <v>2911</v>
      </c>
      <c r="E1283" s="14" t="s">
        <v>4653</v>
      </c>
      <c r="F1283" s="13">
        <v>123</v>
      </c>
      <c r="G1283" s="14" t="s">
        <v>3686</v>
      </c>
      <c r="H1283" s="567" t="s">
        <v>2934</v>
      </c>
      <c r="I1283" s="14" t="s">
        <v>4653</v>
      </c>
      <c r="J1283" s="14" t="s">
        <v>4654</v>
      </c>
      <c r="K1283" s="478">
        <v>1</v>
      </c>
      <c r="L1283" s="220">
        <v>123</v>
      </c>
      <c r="M1283" s="568" t="s">
        <v>4655</v>
      </c>
      <c r="N1283" s="479" t="s">
        <v>2937</v>
      </c>
      <c r="O1283" s="569" t="s">
        <v>2976</v>
      </c>
      <c r="P1283" s="14" t="s">
        <v>79</v>
      </c>
      <c r="Q1283" s="486" t="s">
        <v>4169</v>
      </c>
      <c r="R1283" s="14">
        <v>2</v>
      </c>
      <c r="S1283" s="14">
        <f t="shared" si="1195"/>
        <v>2.46</v>
      </c>
      <c r="T1283">
        <f>SUM(R1268:R1295)</f>
        <v>100.29999999999998</v>
      </c>
      <c r="U1283">
        <f t="shared" si="1326"/>
        <v>1.9940179461615157</v>
      </c>
      <c r="V1283" s="220">
        <f>U1283*100/SUM(U1268:U1269,U1271:U1295)</f>
        <v>2.2148394241417479</v>
      </c>
      <c r="W1283" s="14" t="s">
        <v>79</v>
      </c>
      <c r="X1283">
        <f t="shared" si="1327"/>
        <v>2.2148394241417479</v>
      </c>
      <c r="Y1283" s="220">
        <f t="shared" ref="Y1283:AA1283" si="1340">X1283</f>
        <v>2.2148394241417479</v>
      </c>
      <c r="Z1283" s="220">
        <f t="shared" si="1340"/>
        <v>2.2148394241417479</v>
      </c>
      <c r="AA1283" s="792">
        <f t="shared" si="1340"/>
        <v>2.2148394241417479</v>
      </c>
      <c r="AB1283" s="18" t="s">
        <v>79</v>
      </c>
      <c r="AC1283" s="14" t="s">
        <v>18</v>
      </c>
      <c r="AD1283" s="14" t="s">
        <v>18</v>
      </c>
      <c r="AE1283" s="12">
        <v>1.3100000000000001E-2</v>
      </c>
      <c r="AF1283" s="12">
        <v>0.27117000000000002</v>
      </c>
      <c r="AG1283" s="12">
        <v>4.1E-5</v>
      </c>
      <c r="AH1283" s="12">
        <v>1.8699999999999999E-3</v>
      </c>
    </row>
    <row r="1284" spans="1:34" ht="14.25">
      <c r="A1284" s="14" t="s">
        <v>4652</v>
      </c>
      <c r="B1284" s="24" t="s">
        <v>2768</v>
      </c>
      <c r="C1284" s="14" t="s">
        <v>2797</v>
      </c>
      <c r="D1284" s="14" t="s">
        <v>2911</v>
      </c>
      <c r="E1284" s="14" t="s">
        <v>4653</v>
      </c>
      <c r="F1284" s="13">
        <v>123</v>
      </c>
      <c r="G1284" s="14" t="s">
        <v>3686</v>
      </c>
      <c r="H1284" s="567" t="s">
        <v>2934</v>
      </c>
      <c r="I1284" s="14" t="s">
        <v>4653</v>
      </c>
      <c r="J1284" s="14" t="s">
        <v>4654</v>
      </c>
      <c r="K1284" s="478">
        <v>1</v>
      </c>
      <c r="L1284" s="220">
        <v>123</v>
      </c>
      <c r="M1284" s="568" t="s">
        <v>4655</v>
      </c>
      <c r="N1284" s="479" t="s">
        <v>2937</v>
      </c>
      <c r="O1284" s="569" t="s">
        <v>2976</v>
      </c>
      <c r="P1284" s="14" t="s">
        <v>2962</v>
      </c>
      <c r="Q1284" s="14" t="s">
        <v>4662</v>
      </c>
      <c r="R1284" s="14">
        <v>2</v>
      </c>
      <c r="S1284" s="14">
        <f t="shared" si="1195"/>
        <v>2.46</v>
      </c>
      <c r="T1284">
        <f>SUM(R1268:R1295)</f>
        <v>100.29999999999998</v>
      </c>
      <c r="U1284">
        <f t="shared" si="1326"/>
        <v>1.9940179461615157</v>
      </c>
      <c r="V1284" s="220">
        <f>U1284*100/SUM(U1268:U1269,U1271:U1295)</f>
        <v>2.2148394241417479</v>
      </c>
      <c r="W1284" s="14" t="s">
        <v>425</v>
      </c>
      <c r="X1284">
        <f t="shared" si="1327"/>
        <v>2.2148394241417479</v>
      </c>
      <c r="Y1284" s="220" t="s">
        <v>1666</v>
      </c>
      <c r="Z1284" s="220" t="str">
        <f t="shared" ref="Z1284:AH1284" si="1341">Y1284</f>
        <v>*</v>
      </c>
      <c r="AA1284" s="792" t="str">
        <f t="shared" si="1341"/>
        <v>*</v>
      </c>
      <c r="AB1284" s="458" t="str">
        <f t="shared" si="1341"/>
        <v>*</v>
      </c>
      <c r="AC1284" s="497" t="str">
        <f t="shared" si="1341"/>
        <v>*</v>
      </c>
      <c r="AD1284" s="497" t="str">
        <f t="shared" si="1341"/>
        <v>*</v>
      </c>
      <c r="AE1284" s="483" t="str">
        <f t="shared" si="1341"/>
        <v>*</v>
      </c>
      <c r="AF1284" s="483" t="str">
        <f t="shared" si="1341"/>
        <v>*</v>
      </c>
      <c r="AG1284" s="483" t="str">
        <f t="shared" si="1341"/>
        <v>*</v>
      </c>
      <c r="AH1284" s="483" t="str">
        <f t="shared" si="1341"/>
        <v>*</v>
      </c>
    </row>
    <row r="1285" spans="1:34" ht="14.25">
      <c r="A1285" s="14" t="s">
        <v>4652</v>
      </c>
      <c r="B1285" s="24" t="s">
        <v>2768</v>
      </c>
      <c r="C1285" s="14" t="s">
        <v>2797</v>
      </c>
      <c r="D1285" s="14" t="s">
        <v>2911</v>
      </c>
      <c r="E1285" s="14" t="s">
        <v>4653</v>
      </c>
      <c r="F1285" s="13">
        <v>123</v>
      </c>
      <c r="G1285" s="14" t="s">
        <v>3686</v>
      </c>
      <c r="H1285" s="567" t="s">
        <v>2934</v>
      </c>
      <c r="I1285" s="14" t="s">
        <v>4653</v>
      </c>
      <c r="J1285" s="14" t="s">
        <v>4654</v>
      </c>
      <c r="K1285" s="478">
        <v>1</v>
      </c>
      <c r="L1285" s="220">
        <v>123</v>
      </c>
      <c r="M1285" s="568" t="s">
        <v>4655</v>
      </c>
      <c r="N1285" s="479" t="s">
        <v>2937</v>
      </c>
      <c r="O1285" s="569" t="s">
        <v>2976</v>
      </c>
      <c r="P1285" s="14" t="s">
        <v>83</v>
      </c>
      <c r="Q1285" s="527" t="s">
        <v>3430</v>
      </c>
      <c r="R1285" s="14">
        <v>0.5</v>
      </c>
      <c r="S1285" s="14">
        <f t="shared" si="1195"/>
        <v>0.61499999999999999</v>
      </c>
      <c r="T1285">
        <f>SUM(R1268:R1295)</f>
        <v>100.29999999999998</v>
      </c>
      <c r="U1285">
        <f t="shared" si="1326"/>
        <v>0.49850448654037893</v>
      </c>
      <c r="V1285" s="220">
        <f>U1285*100/SUM(U1268:U1269,U1271:U1295)</f>
        <v>0.55370985603543699</v>
      </c>
      <c r="W1285" s="14" t="s">
        <v>83</v>
      </c>
      <c r="X1285">
        <f t="shared" si="1327"/>
        <v>0.55370985603543699</v>
      </c>
      <c r="Y1285" s="499">
        <f t="shared" ref="Y1285:AA1285" si="1342">X1285</f>
        <v>0.55370985603543699</v>
      </c>
      <c r="Z1285" s="220">
        <f t="shared" si="1342"/>
        <v>0.55370985603543699</v>
      </c>
      <c r="AA1285" s="792">
        <f t="shared" si="1342"/>
        <v>0.55370985603543699</v>
      </c>
      <c r="AB1285" s="18" t="s">
        <v>83</v>
      </c>
      <c r="AC1285" s="14" t="s">
        <v>83</v>
      </c>
      <c r="AD1285" s="14" t="s">
        <v>2951</v>
      </c>
      <c r="AE1285" s="12">
        <v>0</v>
      </c>
      <c r="AF1285" s="12">
        <v>0</v>
      </c>
      <c r="AG1285" s="12">
        <v>0</v>
      </c>
      <c r="AH1285" s="12">
        <v>0</v>
      </c>
    </row>
    <row r="1286" spans="1:34" ht="14.25">
      <c r="A1286" s="14" t="s">
        <v>4652</v>
      </c>
      <c r="B1286" s="24" t="s">
        <v>2768</v>
      </c>
      <c r="C1286" s="14" t="s">
        <v>2797</v>
      </c>
      <c r="D1286" s="14" t="s">
        <v>2911</v>
      </c>
      <c r="E1286" s="14" t="s">
        <v>4653</v>
      </c>
      <c r="F1286" s="13">
        <v>123</v>
      </c>
      <c r="G1286" s="14" t="s">
        <v>3686</v>
      </c>
      <c r="H1286" s="567" t="s">
        <v>2934</v>
      </c>
      <c r="I1286" s="14" t="s">
        <v>4653</v>
      </c>
      <c r="J1286" s="14" t="s">
        <v>4654</v>
      </c>
      <c r="K1286" s="478">
        <v>1</v>
      </c>
      <c r="L1286" s="220">
        <v>123</v>
      </c>
      <c r="M1286" s="568" t="s">
        <v>4655</v>
      </c>
      <c r="N1286" s="479" t="s">
        <v>2937</v>
      </c>
      <c r="O1286" s="569" t="s">
        <v>2976</v>
      </c>
      <c r="P1286" s="14" t="s">
        <v>2912</v>
      </c>
      <c r="Q1286" s="435" t="s">
        <v>2915</v>
      </c>
      <c r="R1286" s="14">
        <v>0.5</v>
      </c>
      <c r="S1286" s="14">
        <f t="shared" si="1195"/>
        <v>0.61499999999999999</v>
      </c>
      <c r="T1286">
        <f>SUM(R1268:R1295)</f>
        <v>100.29999999999998</v>
      </c>
      <c r="U1286">
        <f t="shared" si="1326"/>
        <v>0.49850448654037893</v>
      </c>
      <c r="V1286" s="220">
        <f>U1286*100/SUM(U1268:U1269,U1271:U1295)</f>
        <v>0.55370985603543699</v>
      </c>
      <c r="W1286" s="14" t="s">
        <v>124</v>
      </c>
      <c r="X1286">
        <f t="shared" si="1327"/>
        <v>0.55370985603543699</v>
      </c>
      <c r="Y1286" s="499">
        <f>SUM(X1286,X1287)</f>
        <v>1.107419712070874</v>
      </c>
      <c r="Z1286" s="220">
        <f t="shared" ref="Z1286:Z1287" si="1343">X1286</f>
        <v>0.55370985603543699</v>
      </c>
      <c r="AA1286" s="792">
        <f t="shared" ref="AA1286:AA1287" si="1344">Z1286</f>
        <v>0.55370985603543699</v>
      </c>
      <c r="AB1286" s="18" t="s">
        <v>124</v>
      </c>
      <c r="AC1286" s="13" t="s">
        <v>877</v>
      </c>
      <c r="AD1286" s="13" t="s">
        <v>2916</v>
      </c>
      <c r="AE1286" s="12">
        <v>3.9416473933649287E-3</v>
      </c>
      <c r="AF1286" s="12">
        <v>1.1589150710900475E-2</v>
      </c>
      <c r="AG1286" s="12">
        <v>7.7264934597156404E-5</v>
      </c>
      <c r="AH1286" s="12">
        <v>7.2702369668246447E-4</v>
      </c>
    </row>
    <row r="1287" spans="1:34" ht="14.25">
      <c r="A1287" s="14" t="s">
        <v>4652</v>
      </c>
      <c r="B1287" s="24" t="s">
        <v>2768</v>
      </c>
      <c r="C1287" s="14" t="s">
        <v>2797</v>
      </c>
      <c r="D1287" s="14" t="s">
        <v>2911</v>
      </c>
      <c r="E1287" s="14" t="s">
        <v>4653</v>
      </c>
      <c r="F1287" s="13">
        <v>123</v>
      </c>
      <c r="G1287" s="14" t="s">
        <v>3686</v>
      </c>
      <c r="H1287" s="567" t="s">
        <v>2934</v>
      </c>
      <c r="I1287" s="14" t="s">
        <v>4653</v>
      </c>
      <c r="J1287" s="14" t="s">
        <v>4654</v>
      </c>
      <c r="K1287" s="478">
        <v>1</v>
      </c>
      <c r="L1287" s="220">
        <v>123</v>
      </c>
      <c r="M1287" s="568" t="s">
        <v>4655</v>
      </c>
      <c r="N1287" s="479" t="s">
        <v>2937</v>
      </c>
      <c r="O1287" s="569" t="s">
        <v>2976</v>
      </c>
      <c r="P1287" s="14" t="s">
        <v>3051</v>
      </c>
      <c r="Q1287" s="486" t="s">
        <v>3084</v>
      </c>
      <c r="R1287" s="14">
        <v>0.5</v>
      </c>
      <c r="S1287" s="14">
        <f t="shared" si="1195"/>
        <v>0.61499999999999999</v>
      </c>
      <c r="T1287">
        <f>SUM(R1268:R1295)</f>
        <v>100.29999999999998</v>
      </c>
      <c r="U1287">
        <f t="shared" si="1326"/>
        <v>0.49850448654037893</v>
      </c>
      <c r="V1287" s="220">
        <f>U1287*100/SUM(U1268:U1269,U1271:U1295)</f>
        <v>0.55370985603543699</v>
      </c>
      <c r="W1287" s="14" t="s">
        <v>2661</v>
      </c>
      <c r="X1287">
        <f t="shared" si="1327"/>
        <v>0.55370985603543699</v>
      </c>
      <c r="Y1287" s="220" t="s">
        <v>1624</v>
      </c>
      <c r="Z1287" s="220">
        <f t="shared" si="1343"/>
        <v>0.55370985603543699</v>
      </c>
      <c r="AA1287" s="792">
        <f t="shared" si="1344"/>
        <v>0.55370985603543699</v>
      </c>
      <c r="AB1287" s="18" t="s">
        <v>2661</v>
      </c>
      <c r="AC1287" s="13" t="s">
        <v>134</v>
      </c>
      <c r="AD1287" s="13" t="s">
        <v>3053</v>
      </c>
      <c r="AE1287" s="12">
        <v>3.0177940758293843E-3</v>
      </c>
      <c r="AF1287" s="12">
        <v>8.8728561611374421E-3</v>
      </c>
      <c r="AG1287" s="12">
        <v>5.9155383175355464E-5</v>
      </c>
      <c r="AH1287" s="12">
        <v>5.56622037914692E-4</v>
      </c>
    </row>
    <row r="1288" spans="1:34" ht="14.25">
      <c r="A1288" s="14" t="s">
        <v>4652</v>
      </c>
      <c r="B1288" s="24" t="s">
        <v>2768</v>
      </c>
      <c r="C1288" s="14" t="s">
        <v>2797</v>
      </c>
      <c r="D1288" s="14" t="s">
        <v>2911</v>
      </c>
      <c r="E1288" s="14" t="s">
        <v>4653</v>
      </c>
      <c r="F1288" s="13">
        <v>123</v>
      </c>
      <c r="G1288" s="14" t="s">
        <v>3686</v>
      </c>
      <c r="H1288" s="567" t="s">
        <v>2934</v>
      </c>
      <c r="I1288" s="14" t="s">
        <v>4653</v>
      </c>
      <c r="J1288" s="14" t="s">
        <v>4654</v>
      </c>
      <c r="K1288" s="478">
        <v>1</v>
      </c>
      <c r="L1288" s="220">
        <v>123</v>
      </c>
      <c r="M1288" s="568" t="s">
        <v>4655</v>
      </c>
      <c r="N1288" s="479" t="s">
        <v>2937</v>
      </c>
      <c r="O1288" s="569" t="s">
        <v>2976</v>
      </c>
      <c r="P1288" s="14" t="s">
        <v>3072</v>
      </c>
      <c r="Q1288" s="14" t="s">
        <v>3073</v>
      </c>
      <c r="R1288" s="14">
        <v>0.5</v>
      </c>
      <c r="S1288" s="14">
        <f t="shared" si="1195"/>
        <v>0.61499999999999999</v>
      </c>
      <c r="T1288">
        <f>SUM(R1268:R1295)</f>
        <v>100.29999999999998</v>
      </c>
      <c r="U1288">
        <f t="shared" si="1326"/>
        <v>0.49850448654037893</v>
      </c>
      <c r="V1288" s="220">
        <f>U1288*100/SUM(U1268:U1269,U1271:U1295)</f>
        <v>0.55370985603543699</v>
      </c>
      <c r="W1288" s="14" t="s">
        <v>343</v>
      </c>
      <c r="X1288">
        <f t="shared" si="1327"/>
        <v>0.55370985603543699</v>
      </c>
      <c r="Y1288" s="220" t="s">
        <v>1666</v>
      </c>
      <c r="Z1288" s="220" t="str">
        <f t="shared" ref="Z1288:AH1288" si="1345">Y1288</f>
        <v>*</v>
      </c>
      <c r="AA1288" s="792" t="str">
        <f t="shared" si="1345"/>
        <v>*</v>
      </c>
      <c r="AB1288" s="458" t="str">
        <f t="shared" si="1345"/>
        <v>*</v>
      </c>
      <c r="AC1288" s="497" t="str">
        <f t="shared" si="1345"/>
        <v>*</v>
      </c>
      <c r="AD1288" s="497" t="str">
        <f t="shared" si="1345"/>
        <v>*</v>
      </c>
      <c r="AE1288" s="483" t="str">
        <f t="shared" si="1345"/>
        <v>*</v>
      </c>
      <c r="AF1288" s="483" t="str">
        <f t="shared" si="1345"/>
        <v>*</v>
      </c>
      <c r="AG1288" s="483" t="str">
        <f t="shared" si="1345"/>
        <v>*</v>
      </c>
      <c r="AH1288" s="483" t="str">
        <f t="shared" si="1345"/>
        <v>*</v>
      </c>
    </row>
    <row r="1289" spans="1:34" ht="14.25">
      <c r="A1289" s="14" t="s">
        <v>4652</v>
      </c>
      <c r="B1289" s="24" t="s">
        <v>2768</v>
      </c>
      <c r="C1289" s="14" t="s">
        <v>2797</v>
      </c>
      <c r="D1289" s="14" t="s">
        <v>2911</v>
      </c>
      <c r="E1289" s="14" t="s">
        <v>4653</v>
      </c>
      <c r="F1289" s="13">
        <v>123</v>
      </c>
      <c r="G1289" s="14" t="s">
        <v>3686</v>
      </c>
      <c r="H1289" s="567" t="s">
        <v>2934</v>
      </c>
      <c r="I1289" s="14" t="s">
        <v>4653</v>
      </c>
      <c r="J1289" s="14" t="s">
        <v>4654</v>
      </c>
      <c r="K1289" s="478">
        <v>1</v>
      </c>
      <c r="L1289" s="220">
        <v>123</v>
      </c>
      <c r="M1289" s="568" t="s">
        <v>4655</v>
      </c>
      <c r="N1289" s="479" t="s">
        <v>2937</v>
      </c>
      <c r="O1289" s="569" t="s">
        <v>2976</v>
      </c>
      <c r="P1289" s="14" t="s">
        <v>3873</v>
      </c>
      <c r="Q1289" s="486" t="s">
        <v>3991</v>
      </c>
      <c r="R1289" s="14">
        <v>0.5</v>
      </c>
      <c r="S1289" s="14">
        <f t="shared" si="1195"/>
        <v>0.61499999999999999</v>
      </c>
      <c r="T1289">
        <f>SUM(R1268:R1295)</f>
        <v>100.29999999999998</v>
      </c>
      <c r="U1289">
        <f t="shared" si="1326"/>
        <v>0.49850448654037893</v>
      </c>
      <c r="V1289" s="220">
        <f>U1289*100/SUM(U1268:U1269,U1271:U1295)</f>
        <v>0.55370985603543699</v>
      </c>
      <c r="W1289" s="14" t="s">
        <v>1124</v>
      </c>
      <c r="X1289">
        <f t="shared" si="1327"/>
        <v>0.55370985603543699</v>
      </c>
      <c r="Y1289" s="499">
        <f t="shared" ref="Y1289:AA1289" si="1346">X1289</f>
        <v>0.55370985603543699</v>
      </c>
      <c r="Z1289" s="220">
        <f t="shared" si="1346"/>
        <v>0.55370985603543699</v>
      </c>
      <c r="AA1289" s="792">
        <f t="shared" si="1346"/>
        <v>0.55370985603543699</v>
      </c>
      <c r="AB1289" s="18" t="s">
        <v>1124</v>
      </c>
      <c r="AC1289" s="13" t="s">
        <v>3875</v>
      </c>
      <c r="AD1289" s="13" t="s">
        <v>3876</v>
      </c>
      <c r="AE1289" s="12">
        <v>2.38916680630451E-3</v>
      </c>
      <c r="AF1289" s="12">
        <v>0.16192713668914901</v>
      </c>
      <c r="AG1289" s="12">
        <v>4.8714285714285716E-4</v>
      </c>
      <c r="AH1289" s="12">
        <v>2.358948129596642E-3</v>
      </c>
    </row>
    <row r="1290" spans="1:34" ht="14.25">
      <c r="A1290" s="14" t="s">
        <v>4652</v>
      </c>
      <c r="B1290" s="24" t="s">
        <v>2768</v>
      </c>
      <c r="C1290" s="14" t="s">
        <v>2797</v>
      </c>
      <c r="D1290" s="14" t="s">
        <v>2911</v>
      </c>
      <c r="E1290" s="14" t="s">
        <v>4653</v>
      </c>
      <c r="F1290" s="13">
        <v>123</v>
      </c>
      <c r="G1290" s="14" t="s">
        <v>3686</v>
      </c>
      <c r="H1290" s="567" t="s">
        <v>2934</v>
      </c>
      <c r="I1290" s="14" t="s">
        <v>4653</v>
      </c>
      <c r="J1290" s="14" t="s">
        <v>4654</v>
      </c>
      <c r="K1290" s="478">
        <v>1</v>
      </c>
      <c r="L1290" s="220">
        <v>123</v>
      </c>
      <c r="M1290" s="568" t="s">
        <v>4655</v>
      </c>
      <c r="N1290" s="479" t="s">
        <v>2937</v>
      </c>
      <c r="O1290" s="569" t="s">
        <v>2976</v>
      </c>
      <c r="P1290" s="14" t="s">
        <v>86</v>
      </c>
      <c r="Q1290" s="14" t="s">
        <v>3442</v>
      </c>
      <c r="R1290" s="14">
        <v>0.3</v>
      </c>
      <c r="S1290" s="14">
        <f t="shared" si="1195"/>
        <v>0.36899999999999999</v>
      </c>
      <c r="T1290">
        <f>SUM(R1268:R1295)</f>
        <v>100.29999999999998</v>
      </c>
      <c r="U1290">
        <f t="shared" si="1326"/>
        <v>0.29910269192422739</v>
      </c>
      <c r="V1290" s="220">
        <f>U1290*100/SUM(U1268:U1269,U1271:U1295)</f>
        <v>0.33222591362126225</v>
      </c>
      <c r="W1290" s="14" t="s">
        <v>86</v>
      </c>
      <c r="X1290">
        <f t="shared" si="1327"/>
        <v>0.33222591362126225</v>
      </c>
      <c r="Y1290" s="499">
        <f t="shared" ref="Y1290:AA1290" si="1347">X1290</f>
        <v>0.33222591362126225</v>
      </c>
      <c r="Z1290" s="220">
        <f t="shared" si="1347"/>
        <v>0.33222591362126225</v>
      </c>
      <c r="AA1290" s="792">
        <f t="shared" si="1347"/>
        <v>0.33222591362126225</v>
      </c>
      <c r="AB1290" s="18" t="s">
        <v>86</v>
      </c>
      <c r="AC1290" s="13" t="s">
        <v>18</v>
      </c>
      <c r="AD1290" s="13" t="s">
        <v>18</v>
      </c>
      <c r="AE1290" s="12">
        <v>0</v>
      </c>
      <c r="AF1290" s="12">
        <v>0</v>
      </c>
      <c r="AG1290" s="12">
        <v>0</v>
      </c>
      <c r="AH1290" s="12">
        <v>0</v>
      </c>
    </row>
    <row r="1291" spans="1:34" ht="14.25">
      <c r="A1291" s="14" t="s">
        <v>4652</v>
      </c>
      <c r="B1291" s="24" t="s">
        <v>2768</v>
      </c>
      <c r="C1291" s="14" t="s">
        <v>2797</v>
      </c>
      <c r="D1291" s="14" t="s">
        <v>2911</v>
      </c>
      <c r="E1291" s="14" t="s">
        <v>4653</v>
      </c>
      <c r="F1291" s="13">
        <v>123</v>
      </c>
      <c r="G1291" s="14" t="s">
        <v>3686</v>
      </c>
      <c r="H1291" s="567" t="s">
        <v>2934</v>
      </c>
      <c r="I1291" s="14" t="s">
        <v>4653</v>
      </c>
      <c r="J1291" s="14" t="s">
        <v>4654</v>
      </c>
      <c r="K1291" s="478">
        <v>1</v>
      </c>
      <c r="L1291" s="220">
        <v>123</v>
      </c>
      <c r="M1291" s="568" t="s">
        <v>4655</v>
      </c>
      <c r="N1291" s="479" t="s">
        <v>2937</v>
      </c>
      <c r="O1291" s="569" t="s">
        <v>2976</v>
      </c>
      <c r="P1291" s="14" t="s">
        <v>4237</v>
      </c>
      <c r="Q1291" s="486" t="s">
        <v>4646</v>
      </c>
      <c r="R1291" s="14">
        <v>0.2</v>
      </c>
      <c r="S1291" s="14">
        <f t="shared" si="1195"/>
        <v>0.246</v>
      </c>
      <c r="T1291">
        <f>SUM(R1268:R1295)</f>
        <v>100.29999999999998</v>
      </c>
      <c r="U1291">
        <f t="shared" si="1326"/>
        <v>0.19940179461615157</v>
      </c>
      <c r="V1291" s="220">
        <f>U1291*100/SUM(U1268:U1269,U1271:U1295)</f>
        <v>0.22148394241417479</v>
      </c>
      <c r="W1291" s="14" t="s">
        <v>4239</v>
      </c>
      <c r="X1291">
        <f t="shared" si="1327"/>
        <v>0.22148394241417479</v>
      </c>
      <c r="Y1291" s="499">
        <f>SUM(X1291,X1292)</f>
        <v>0.33222591362126219</v>
      </c>
      <c r="Z1291" s="220">
        <f t="shared" ref="Z1291:AA1291" si="1348">Y1291</f>
        <v>0.33222591362126219</v>
      </c>
      <c r="AA1291" s="792">
        <f t="shared" si="1348"/>
        <v>0.33222591362126219</v>
      </c>
      <c r="AB1291" s="809" t="s">
        <v>2783</v>
      </c>
      <c r="AC1291" s="511" t="s">
        <v>3174</v>
      </c>
      <c r="AD1291" s="511" t="s">
        <v>3174</v>
      </c>
      <c r="AE1291" s="461">
        <v>2.2073766211046637E-2</v>
      </c>
      <c r="AF1291" s="461">
        <v>8.7246004352723297E-2</v>
      </c>
      <c r="AG1291" s="461">
        <v>5.8202330775582959E-4</v>
      </c>
      <c r="AH1291" s="461">
        <v>2.670351142205461E-3</v>
      </c>
    </row>
    <row r="1292" spans="1:34" ht="14.25">
      <c r="A1292" s="14" t="s">
        <v>4652</v>
      </c>
      <c r="B1292" s="24" t="s">
        <v>2768</v>
      </c>
      <c r="C1292" s="14" t="s">
        <v>2797</v>
      </c>
      <c r="D1292" s="14" t="s">
        <v>2911</v>
      </c>
      <c r="E1292" s="14" t="s">
        <v>4653</v>
      </c>
      <c r="F1292" s="13">
        <v>123</v>
      </c>
      <c r="G1292" s="14" t="s">
        <v>3686</v>
      </c>
      <c r="H1292" s="567" t="s">
        <v>2934</v>
      </c>
      <c r="I1292" s="14" t="s">
        <v>4653</v>
      </c>
      <c r="J1292" s="14" t="s">
        <v>4654</v>
      </c>
      <c r="K1292" s="478">
        <v>1</v>
      </c>
      <c r="L1292" s="220">
        <v>123</v>
      </c>
      <c r="M1292" s="568" t="s">
        <v>4655</v>
      </c>
      <c r="N1292" s="479" t="s">
        <v>2937</v>
      </c>
      <c r="O1292" s="569" t="s">
        <v>2976</v>
      </c>
      <c r="P1292" s="14" t="s">
        <v>4240</v>
      </c>
      <c r="Q1292" s="486" t="s">
        <v>4647</v>
      </c>
      <c r="R1292" s="14">
        <v>0.1</v>
      </c>
      <c r="S1292" s="14">
        <f t="shared" si="1195"/>
        <v>0.123</v>
      </c>
      <c r="T1292">
        <f>SUM(R1268:R1295)</f>
        <v>100.29999999999998</v>
      </c>
      <c r="U1292">
        <f t="shared" si="1326"/>
        <v>9.9700897308075784E-2</v>
      </c>
      <c r="V1292" s="220">
        <f>U1292*100/SUM(U1268:U1269,U1271:U1295)</f>
        <v>0.1107419712070874</v>
      </c>
      <c r="W1292" s="14" t="s">
        <v>4242</v>
      </c>
      <c r="X1292">
        <f t="shared" si="1327"/>
        <v>0.1107419712070874</v>
      </c>
      <c r="Y1292" s="220" t="s">
        <v>1624</v>
      </c>
      <c r="Z1292" s="220" t="str">
        <f t="shared" ref="Z1292:AH1292" si="1349">Y1292</f>
        <v>-</v>
      </c>
      <c r="AA1292" s="792" t="str">
        <f t="shared" si="1349"/>
        <v>-</v>
      </c>
      <c r="AB1292" s="458" t="str">
        <f t="shared" si="1349"/>
        <v>-</v>
      </c>
      <c r="AC1292" s="497" t="str">
        <f t="shared" si="1349"/>
        <v>-</v>
      </c>
      <c r="AD1292" s="497" t="str">
        <f t="shared" si="1349"/>
        <v>-</v>
      </c>
      <c r="AE1292" s="483" t="str">
        <f t="shared" si="1349"/>
        <v>-</v>
      </c>
      <c r="AF1292" s="483" t="str">
        <f t="shared" si="1349"/>
        <v>-</v>
      </c>
      <c r="AG1292" s="483" t="str">
        <f t="shared" si="1349"/>
        <v>-</v>
      </c>
      <c r="AH1292" s="483" t="str">
        <f t="shared" si="1349"/>
        <v>-</v>
      </c>
    </row>
    <row r="1293" spans="1:34" ht="14.25">
      <c r="A1293" s="14" t="s">
        <v>4652</v>
      </c>
      <c r="B1293" s="24" t="s">
        <v>2768</v>
      </c>
      <c r="C1293" s="14" t="s">
        <v>2797</v>
      </c>
      <c r="D1293" s="14" t="s">
        <v>2911</v>
      </c>
      <c r="E1293" s="14" t="s">
        <v>4653</v>
      </c>
      <c r="F1293" s="13">
        <v>123</v>
      </c>
      <c r="G1293" s="14" t="s">
        <v>3686</v>
      </c>
      <c r="H1293" s="567" t="s">
        <v>2934</v>
      </c>
      <c r="I1293" s="14" t="s">
        <v>4653</v>
      </c>
      <c r="J1293" s="14" t="s">
        <v>4654</v>
      </c>
      <c r="K1293" s="478">
        <v>1</v>
      </c>
      <c r="L1293" s="220">
        <v>123</v>
      </c>
      <c r="M1293" s="568" t="s">
        <v>4655</v>
      </c>
      <c r="N1293" s="479" t="s">
        <v>2937</v>
      </c>
      <c r="O1293" s="569" t="s">
        <v>2976</v>
      </c>
      <c r="P1293" s="655" t="s">
        <v>2977</v>
      </c>
      <c r="Q1293" s="486" t="s">
        <v>4663</v>
      </c>
      <c r="R1293" s="14">
        <v>0.1</v>
      </c>
      <c r="S1293" s="14">
        <f t="shared" si="1195"/>
        <v>0.123</v>
      </c>
      <c r="T1293">
        <f>SUM(R1268:R1295)</f>
        <v>100.29999999999998</v>
      </c>
      <c r="U1293">
        <f t="shared" si="1326"/>
        <v>9.9700897308075784E-2</v>
      </c>
      <c r="V1293" s="220">
        <f>U1293*100/SUM(U1268:U1269,U1271:U1295)</f>
        <v>0.1107419712070874</v>
      </c>
      <c r="W1293" s="14" t="s">
        <v>227</v>
      </c>
      <c r="X1293">
        <f t="shared" si="1327"/>
        <v>0.1107419712070874</v>
      </c>
      <c r="Y1293" s="220" t="s">
        <v>1666</v>
      </c>
      <c r="Z1293" s="220" t="str">
        <f t="shared" ref="Z1293:AH1293" si="1350">Y1293</f>
        <v>*</v>
      </c>
      <c r="AA1293" s="792" t="str">
        <f t="shared" si="1350"/>
        <v>*</v>
      </c>
      <c r="AB1293" s="458" t="str">
        <f t="shared" si="1350"/>
        <v>*</v>
      </c>
      <c r="AC1293" s="497" t="str">
        <f t="shared" si="1350"/>
        <v>*</v>
      </c>
      <c r="AD1293" s="497" t="str">
        <f t="shared" si="1350"/>
        <v>*</v>
      </c>
      <c r="AE1293" s="483" t="str">
        <f t="shared" si="1350"/>
        <v>*</v>
      </c>
      <c r="AF1293" s="483" t="str">
        <f t="shared" si="1350"/>
        <v>*</v>
      </c>
      <c r="AG1293" s="483" t="str">
        <f t="shared" si="1350"/>
        <v>*</v>
      </c>
      <c r="AH1293" s="483" t="str">
        <f t="shared" si="1350"/>
        <v>*</v>
      </c>
    </row>
    <row r="1294" spans="1:34" ht="14.25">
      <c r="A1294" s="14" t="s">
        <v>4652</v>
      </c>
      <c r="B1294" s="24" t="s">
        <v>2768</v>
      </c>
      <c r="C1294" s="14" t="s">
        <v>2797</v>
      </c>
      <c r="D1294" s="14" t="s">
        <v>2911</v>
      </c>
      <c r="E1294" s="14" t="s">
        <v>4653</v>
      </c>
      <c r="F1294" s="13">
        <v>123</v>
      </c>
      <c r="G1294" s="14" t="s">
        <v>3686</v>
      </c>
      <c r="H1294" s="567" t="s">
        <v>2934</v>
      </c>
      <c r="I1294" s="14" t="s">
        <v>4653</v>
      </c>
      <c r="J1294" s="14" t="s">
        <v>4654</v>
      </c>
      <c r="K1294" s="478">
        <v>1</v>
      </c>
      <c r="L1294" s="220">
        <v>123</v>
      </c>
      <c r="M1294" s="568" t="s">
        <v>4655</v>
      </c>
      <c r="N1294" s="479" t="s">
        <v>2937</v>
      </c>
      <c r="O1294" s="569" t="s">
        <v>2976</v>
      </c>
      <c r="P1294" s="14" t="s">
        <v>3862</v>
      </c>
      <c r="Q1294" s="486" t="s">
        <v>3863</v>
      </c>
      <c r="R1294" s="14">
        <v>0.05</v>
      </c>
      <c r="S1294" s="14">
        <f t="shared" si="1195"/>
        <v>6.1499999999999999E-2</v>
      </c>
      <c r="T1294">
        <f>SUM(R1268:R1295)</f>
        <v>100.29999999999998</v>
      </c>
      <c r="U1294">
        <f t="shared" si="1326"/>
        <v>4.9850448654037892E-2</v>
      </c>
      <c r="V1294" s="220">
        <f>U1294*100/SUM(U1268:U1269,U1271:U1295)</f>
        <v>5.5370985603543699E-2</v>
      </c>
      <c r="W1294" s="14" t="s">
        <v>4161</v>
      </c>
      <c r="X1294">
        <f t="shared" si="1327"/>
        <v>5.5370985603543699E-2</v>
      </c>
      <c r="Y1294" s="499">
        <f t="shared" ref="Y1294:AA1294" si="1351">X1294</f>
        <v>5.5370985603543699E-2</v>
      </c>
      <c r="Z1294" s="220">
        <f t="shared" si="1351"/>
        <v>5.5370985603543699E-2</v>
      </c>
      <c r="AA1294" s="792">
        <f t="shared" si="1351"/>
        <v>5.5370985603543699E-2</v>
      </c>
      <c r="AB1294" s="18" t="s">
        <v>2662</v>
      </c>
      <c r="AC1294" s="13" t="s">
        <v>208</v>
      </c>
      <c r="AD1294" s="13" t="s">
        <v>3864</v>
      </c>
      <c r="AE1294" s="12">
        <v>6.399192301960112E-3</v>
      </c>
      <c r="AF1294" s="12">
        <v>0.12411340117772937</v>
      </c>
      <c r="AG1294" s="12">
        <v>9.8749999999999988E-5</v>
      </c>
      <c r="AH1294" s="12">
        <v>3.8580927353216109E-4</v>
      </c>
    </row>
    <row r="1295" spans="1:34" ht="14.25">
      <c r="A1295" s="617" t="s">
        <v>4652</v>
      </c>
      <c r="B1295" s="794" t="s">
        <v>2768</v>
      </c>
      <c r="C1295" s="617" t="s">
        <v>2797</v>
      </c>
      <c r="D1295" s="617" t="s">
        <v>2911</v>
      </c>
      <c r="E1295" s="617" t="s">
        <v>4653</v>
      </c>
      <c r="F1295" s="799">
        <v>123</v>
      </c>
      <c r="G1295" s="617" t="s">
        <v>3686</v>
      </c>
      <c r="H1295" s="910" t="s">
        <v>2934</v>
      </c>
      <c r="I1295" s="617" t="s">
        <v>4653</v>
      </c>
      <c r="J1295" s="617" t="s">
        <v>4654</v>
      </c>
      <c r="K1295" s="838">
        <v>1</v>
      </c>
      <c r="L1295" s="725">
        <v>123</v>
      </c>
      <c r="M1295" s="911" t="s">
        <v>4655</v>
      </c>
      <c r="N1295" s="841" t="s">
        <v>2937</v>
      </c>
      <c r="O1295" s="912" t="s">
        <v>2976</v>
      </c>
      <c r="P1295" s="617" t="s">
        <v>2948</v>
      </c>
      <c r="Q1295" s="617" t="s">
        <v>2949</v>
      </c>
      <c r="R1295" s="617">
        <v>0.05</v>
      </c>
      <c r="S1295" s="617">
        <f t="shared" si="1195"/>
        <v>6.1499999999999999E-2</v>
      </c>
      <c r="T1295" s="934">
        <f>SUM(R1268:R1295)</f>
        <v>100.29999999999998</v>
      </c>
      <c r="U1295" s="617">
        <f t="shared" si="1326"/>
        <v>4.9850448654037892E-2</v>
      </c>
      <c r="V1295" s="725">
        <f>U1295*100/SUM(U1268:U1269,U1271:U1295)</f>
        <v>5.5370985603543699E-2</v>
      </c>
      <c r="W1295" s="617" t="s">
        <v>305</v>
      </c>
      <c r="X1295" s="617">
        <f t="shared" si="1327"/>
        <v>5.5370985603543699E-2</v>
      </c>
      <c r="Y1295" s="725" t="s">
        <v>1666</v>
      </c>
      <c r="Z1295" s="725">
        <f>X1295</f>
        <v>5.5370985603543699E-2</v>
      </c>
      <c r="AA1295" s="455">
        <f>Z1295</f>
        <v>5.5370985603543699E-2</v>
      </c>
      <c r="AB1295" s="793" t="s">
        <v>2684</v>
      </c>
      <c r="AC1295" s="799" t="s">
        <v>3485</v>
      </c>
      <c r="AD1295" s="799" t="s">
        <v>2944</v>
      </c>
      <c r="AE1295" s="635">
        <v>4.7062756261925113E-3</v>
      </c>
      <c r="AF1295" s="635">
        <v>3.8210906557435767E-2</v>
      </c>
      <c r="AG1295" s="635">
        <v>8.2999999999999998E-5</v>
      </c>
      <c r="AH1295" s="635">
        <v>5.9908272287602653E-4</v>
      </c>
    </row>
    <row r="1296" spans="1:34" ht="14.25">
      <c r="A1296" s="14" t="s">
        <v>4664</v>
      </c>
      <c r="B1296" s="24" t="s">
        <v>2768</v>
      </c>
      <c r="C1296" s="14" t="s">
        <v>2804</v>
      </c>
      <c r="D1296" s="14" t="s">
        <v>2911</v>
      </c>
      <c r="E1296" s="14" t="s">
        <v>3094</v>
      </c>
      <c r="F1296" s="13">
        <v>20</v>
      </c>
      <c r="G1296" s="14" t="s">
        <v>4665</v>
      </c>
      <c r="H1296" s="567">
        <v>19297</v>
      </c>
      <c r="I1296" s="14" t="s">
        <v>3094</v>
      </c>
      <c r="J1296" s="14" t="s">
        <v>3095</v>
      </c>
      <c r="K1296" s="478">
        <v>0.77</v>
      </c>
      <c r="L1296" s="220">
        <v>15.4</v>
      </c>
      <c r="M1296" s="568" t="s">
        <v>3096</v>
      </c>
      <c r="N1296" s="568"/>
      <c r="O1296" s="583" t="s">
        <v>4666</v>
      </c>
      <c r="P1296" s="14" t="s">
        <v>3097</v>
      </c>
      <c r="Q1296" s="14" t="s">
        <v>3098</v>
      </c>
      <c r="R1296" s="14">
        <v>25</v>
      </c>
      <c r="S1296" s="14">
        <f t="shared" si="1195"/>
        <v>3.85</v>
      </c>
      <c r="T1296">
        <f>SUM(R1296:R1299)</f>
        <v>100</v>
      </c>
      <c r="U1296">
        <f t="shared" si="1326"/>
        <v>25</v>
      </c>
      <c r="V1296" s="220">
        <f t="shared" ref="V1296:V1299" si="1352">U1296</f>
        <v>25</v>
      </c>
      <c r="W1296" s="14" t="s">
        <v>201</v>
      </c>
      <c r="X1296">
        <f t="shared" ref="X1296:X1299" si="1353">R1296*K1296</f>
        <v>19.25</v>
      </c>
      <c r="Y1296" s="220">
        <f t="shared" ref="Y1296:AA1296" si="1354">X1296</f>
        <v>19.25</v>
      </c>
      <c r="Z1296" s="220">
        <f t="shared" si="1354"/>
        <v>19.25</v>
      </c>
      <c r="AA1296" s="792">
        <f t="shared" si="1354"/>
        <v>19.25</v>
      </c>
      <c r="AB1296" s="18" t="s">
        <v>201</v>
      </c>
      <c r="AC1296" s="13" t="s">
        <v>3097</v>
      </c>
      <c r="AD1296" s="13" t="s">
        <v>3099</v>
      </c>
      <c r="AE1296" s="12">
        <v>4.18475450981867E-4</v>
      </c>
      <c r="AF1296" s="12">
        <v>8.6483234472969298E-3</v>
      </c>
      <c r="AG1296" s="12">
        <v>1.2528735632183908E-4</v>
      </c>
      <c r="AH1296" s="12">
        <v>3.0408612692190031E-4</v>
      </c>
    </row>
    <row r="1297" spans="1:34" ht="14.25">
      <c r="A1297" s="14" t="s">
        <v>4664</v>
      </c>
      <c r="B1297" s="24" t="s">
        <v>2768</v>
      </c>
      <c r="C1297" s="14" t="s">
        <v>2804</v>
      </c>
      <c r="D1297" s="14" t="s">
        <v>2911</v>
      </c>
      <c r="E1297" s="14" t="s">
        <v>3094</v>
      </c>
      <c r="F1297" s="13">
        <v>20</v>
      </c>
      <c r="G1297" s="14" t="s">
        <v>4665</v>
      </c>
      <c r="H1297" s="567">
        <v>19297</v>
      </c>
      <c r="I1297" s="14" t="s">
        <v>3094</v>
      </c>
      <c r="J1297" s="14" t="s">
        <v>3095</v>
      </c>
      <c r="K1297" s="478">
        <v>0.77</v>
      </c>
      <c r="L1297" s="220">
        <v>15.4</v>
      </c>
      <c r="M1297" s="568" t="s">
        <v>3096</v>
      </c>
      <c r="N1297" s="568"/>
      <c r="O1297" s="583" t="s">
        <v>4666</v>
      </c>
      <c r="P1297" s="14" t="s">
        <v>2962</v>
      </c>
      <c r="Q1297" s="435" t="s">
        <v>2963</v>
      </c>
      <c r="R1297" s="14">
        <v>25</v>
      </c>
      <c r="S1297" s="14">
        <f t="shared" si="1195"/>
        <v>3.85</v>
      </c>
      <c r="T1297">
        <f>SUM(R1296:R1299)</f>
        <v>100</v>
      </c>
      <c r="U1297">
        <f t="shared" si="1326"/>
        <v>25</v>
      </c>
      <c r="V1297" s="220">
        <f t="shared" si="1352"/>
        <v>25</v>
      </c>
      <c r="W1297" s="14" t="s">
        <v>425</v>
      </c>
      <c r="X1297">
        <f t="shared" si="1353"/>
        <v>19.25</v>
      </c>
      <c r="Y1297" s="220">
        <f>SUM(X1297,X1298,X1300,X1301)</f>
        <v>61.240112994350284</v>
      </c>
      <c r="Z1297" s="220">
        <f t="shared" ref="Z1297:AA1297" si="1355">Y1297</f>
        <v>61.240112994350284</v>
      </c>
      <c r="AA1297" s="792">
        <f t="shared" si="1355"/>
        <v>61.240112994350284</v>
      </c>
      <c r="AB1297" s="18" t="s">
        <v>2805</v>
      </c>
      <c r="AC1297" s="13" t="s">
        <v>2964</v>
      </c>
      <c r="AD1297" s="13" t="s">
        <v>2965</v>
      </c>
      <c r="AE1297" s="12">
        <v>3.8102374934982654E-3</v>
      </c>
      <c r="AF1297" s="12">
        <v>0.20470422547079484</v>
      </c>
      <c r="AG1297" s="12">
        <v>1.210810810810811E-4</v>
      </c>
      <c r="AH1297" s="12">
        <v>1.0002400855855065E-3</v>
      </c>
    </row>
    <row r="1298" spans="1:34" ht="14.25">
      <c r="A1298" s="14" t="s">
        <v>4664</v>
      </c>
      <c r="B1298" s="24" t="s">
        <v>2768</v>
      </c>
      <c r="C1298" s="14" t="s">
        <v>2804</v>
      </c>
      <c r="D1298" s="14" t="s">
        <v>2911</v>
      </c>
      <c r="E1298" s="14" t="s">
        <v>3094</v>
      </c>
      <c r="F1298" s="13">
        <v>20</v>
      </c>
      <c r="G1298" s="14" t="s">
        <v>4665</v>
      </c>
      <c r="H1298" s="567">
        <v>19297</v>
      </c>
      <c r="I1298" s="14" t="s">
        <v>3094</v>
      </c>
      <c r="J1298" s="14" t="s">
        <v>3095</v>
      </c>
      <c r="K1298" s="478">
        <v>0.77</v>
      </c>
      <c r="L1298" s="220">
        <v>15.4</v>
      </c>
      <c r="M1298" s="568" t="s">
        <v>3096</v>
      </c>
      <c r="N1298" s="568"/>
      <c r="O1298" s="583" t="s">
        <v>4666</v>
      </c>
      <c r="P1298" s="14" t="s">
        <v>2962</v>
      </c>
      <c r="Q1298" s="435" t="s">
        <v>2963</v>
      </c>
      <c r="R1298" s="14">
        <v>25</v>
      </c>
      <c r="S1298" s="14">
        <f t="shared" si="1195"/>
        <v>3.85</v>
      </c>
      <c r="T1298">
        <f>SUM(R1296:R1299)</f>
        <v>100</v>
      </c>
      <c r="U1298">
        <f t="shared" si="1326"/>
        <v>25</v>
      </c>
      <c r="V1298" s="220">
        <f t="shared" si="1352"/>
        <v>25</v>
      </c>
      <c r="W1298" s="14" t="s">
        <v>425</v>
      </c>
      <c r="X1298">
        <f t="shared" si="1353"/>
        <v>19.25</v>
      </c>
      <c r="Y1298" s="220" t="s">
        <v>1666</v>
      </c>
      <c r="Z1298" s="220" t="str">
        <f t="shared" ref="Z1298:AH1298" si="1356">Y1298</f>
        <v>*</v>
      </c>
      <c r="AA1298" s="792" t="str">
        <f t="shared" si="1356"/>
        <v>*</v>
      </c>
      <c r="AB1298" s="458" t="str">
        <f t="shared" si="1356"/>
        <v>*</v>
      </c>
      <c r="AC1298" s="497" t="str">
        <f t="shared" si="1356"/>
        <v>*</v>
      </c>
      <c r="AD1298" s="497" t="str">
        <f t="shared" si="1356"/>
        <v>*</v>
      </c>
      <c r="AE1298" s="483" t="str">
        <f t="shared" si="1356"/>
        <v>*</v>
      </c>
      <c r="AF1298" s="483" t="str">
        <f t="shared" si="1356"/>
        <v>*</v>
      </c>
      <c r="AG1298" s="483" t="str">
        <f t="shared" si="1356"/>
        <v>*</v>
      </c>
      <c r="AH1298" s="483" t="str">
        <f t="shared" si="1356"/>
        <v>*</v>
      </c>
    </row>
    <row r="1299" spans="1:34" ht="12.75">
      <c r="A1299" s="14" t="s">
        <v>4664</v>
      </c>
      <c r="B1299" s="24" t="s">
        <v>2768</v>
      </c>
      <c r="C1299" s="14" t="s">
        <v>2804</v>
      </c>
      <c r="D1299" s="14" t="s">
        <v>2911</v>
      </c>
      <c r="E1299" s="14" t="s">
        <v>3094</v>
      </c>
      <c r="F1299" s="13">
        <v>20</v>
      </c>
      <c r="G1299" s="14" t="s">
        <v>4665</v>
      </c>
      <c r="H1299" s="567">
        <v>19297</v>
      </c>
      <c r="I1299" s="135" t="s">
        <v>3094</v>
      </c>
      <c r="J1299" s="135" t="s">
        <v>3095</v>
      </c>
      <c r="K1299" s="475">
        <v>0.77</v>
      </c>
      <c r="L1299" s="476">
        <v>15.4</v>
      </c>
      <c r="M1299" s="570" t="s">
        <v>3096</v>
      </c>
      <c r="N1299" s="570"/>
      <c r="O1299" s="570" t="s">
        <v>4666</v>
      </c>
      <c r="P1299" s="135" t="s">
        <v>2945</v>
      </c>
      <c r="Q1299" s="135" t="s">
        <v>2946</v>
      </c>
      <c r="R1299" s="135">
        <v>25</v>
      </c>
      <c r="S1299" s="135">
        <f t="shared" si="1195"/>
        <v>3.85</v>
      </c>
      <c r="T1299" s="135">
        <f>SUM(R1296:R1299)</f>
        <v>100</v>
      </c>
      <c r="U1299" s="135">
        <f t="shared" si="1326"/>
        <v>25</v>
      </c>
      <c r="V1299" s="476">
        <f t="shared" si="1352"/>
        <v>25</v>
      </c>
      <c r="W1299" s="135" t="s">
        <v>433</v>
      </c>
      <c r="X1299">
        <f t="shared" si="1353"/>
        <v>19.25</v>
      </c>
      <c r="Y1299" s="220">
        <f t="shared" ref="Y1299:AA1299" si="1357">X1299</f>
        <v>19.25</v>
      </c>
      <c r="Z1299" s="220">
        <f t="shared" si="1357"/>
        <v>19.25</v>
      </c>
      <c r="AA1299" s="792">
        <f t="shared" si="1357"/>
        <v>19.25</v>
      </c>
      <c r="AB1299" s="18" t="s">
        <v>433</v>
      </c>
      <c r="AC1299" s="13" t="s">
        <v>433</v>
      </c>
      <c r="AD1299" s="13" t="s">
        <v>2947</v>
      </c>
      <c r="AE1299" s="12">
        <v>3.0104466724907065E-4</v>
      </c>
      <c r="AF1299" s="12">
        <v>1.2500000000000001E-2</v>
      </c>
      <c r="AG1299" s="12">
        <v>5.1818181818181835E-4</v>
      </c>
      <c r="AH1299" s="12">
        <v>4.0084080366977777E-4</v>
      </c>
    </row>
    <row r="1300" spans="1:34" ht="12.75">
      <c r="A1300" s="14" t="s">
        <v>4664</v>
      </c>
      <c r="B1300" s="24" t="s">
        <v>2768</v>
      </c>
      <c r="C1300" s="14" t="s">
        <v>2804</v>
      </c>
      <c r="D1300" s="14" t="s">
        <v>2911</v>
      </c>
      <c r="E1300" s="14" t="s">
        <v>3094</v>
      </c>
      <c r="F1300" s="13">
        <v>20</v>
      </c>
      <c r="G1300" s="14" t="s">
        <v>4665</v>
      </c>
      <c r="H1300" s="567">
        <v>19297</v>
      </c>
      <c r="I1300" s="14" t="s">
        <v>4667</v>
      </c>
      <c r="J1300" s="14" t="s">
        <v>4668</v>
      </c>
      <c r="K1300" s="478">
        <v>0.23</v>
      </c>
      <c r="L1300" s="220">
        <v>4.5999999999999996</v>
      </c>
      <c r="M1300" s="568" t="s">
        <v>4669</v>
      </c>
      <c r="N1300" s="573" t="s">
        <v>4670</v>
      </c>
      <c r="O1300" s="569" t="s">
        <v>2976</v>
      </c>
      <c r="P1300" s="655" t="s">
        <v>4232</v>
      </c>
      <c r="Q1300" s="486" t="s">
        <v>4325</v>
      </c>
      <c r="R1300" s="14">
        <v>35</v>
      </c>
      <c r="S1300" s="14">
        <f t="shared" si="1195"/>
        <v>1.61</v>
      </c>
      <c r="T1300">
        <f>SUM(R1300:R1304)</f>
        <v>99.800000000000011</v>
      </c>
      <c r="U1300">
        <f t="shared" si="1326"/>
        <v>35.07014028056112</v>
      </c>
      <c r="V1300" s="220">
        <f>U1300*100/SUM(U1300,U1301,U1303,U1304)</f>
        <v>49.435028248587564</v>
      </c>
      <c r="W1300" s="14" t="s">
        <v>4234</v>
      </c>
      <c r="X1300">
        <f t="shared" ref="X1300:X1304" si="1358">V1300*K1300</f>
        <v>11.37005649717514</v>
      </c>
      <c r="Y1300" s="220" t="s">
        <v>1666</v>
      </c>
      <c r="Z1300" s="220" t="str">
        <f t="shared" ref="Z1300:AA1300" si="1359">Y1300</f>
        <v>*</v>
      </c>
      <c r="AA1300" s="792" t="str">
        <f t="shared" si="1359"/>
        <v>*</v>
      </c>
      <c r="AB1300" s="18" t="s">
        <v>1666</v>
      </c>
      <c r="AC1300" s="13" t="str">
        <f t="shared" ref="AC1300:AH1300" si="1360">AB1300</f>
        <v>*</v>
      </c>
      <c r="AD1300" s="13" t="str">
        <f t="shared" si="1360"/>
        <v>*</v>
      </c>
      <c r="AE1300" s="220" t="str">
        <f t="shared" si="1360"/>
        <v>*</v>
      </c>
      <c r="AF1300" s="220" t="str">
        <f t="shared" si="1360"/>
        <v>*</v>
      </c>
      <c r="AG1300" s="220" t="str">
        <f t="shared" si="1360"/>
        <v>*</v>
      </c>
      <c r="AH1300" s="220" t="str">
        <f t="shared" si="1360"/>
        <v>*</v>
      </c>
    </row>
    <row r="1301" spans="1:34" ht="12.75">
      <c r="A1301" s="14" t="s">
        <v>4664</v>
      </c>
      <c r="B1301" s="24" t="s">
        <v>2768</v>
      </c>
      <c r="C1301" s="14" t="s">
        <v>2804</v>
      </c>
      <c r="D1301" s="14" t="s">
        <v>2911</v>
      </c>
      <c r="E1301" s="14" t="s">
        <v>3094</v>
      </c>
      <c r="F1301" s="13">
        <v>20</v>
      </c>
      <c r="G1301" s="14" t="s">
        <v>4665</v>
      </c>
      <c r="H1301" s="567">
        <v>19297</v>
      </c>
      <c r="I1301" s="14" t="s">
        <v>4667</v>
      </c>
      <c r="J1301" s="14" t="s">
        <v>4668</v>
      </c>
      <c r="K1301" s="478">
        <v>0.23</v>
      </c>
      <c r="L1301" s="220">
        <v>4.5999999999999996</v>
      </c>
      <c r="M1301" s="568" t="s">
        <v>4669</v>
      </c>
      <c r="N1301" s="573" t="s">
        <v>4670</v>
      </c>
      <c r="O1301" s="569" t="s">
        <v>2976</v>
      </c>
      <c r="P1301" s="14" t="s">
        <v>2962</v>
      </c>
      <c r="Q1301" s="435" t="s">
        <v>2963</v>
      </c>
      <c r="R1301" s="14">
        <v>35</v>
      </c>
      <c r="S1301" s="14">
        <f t="shared" si="1195"/>
        <v>1.61</v>
      </c>
      <c r="T1301" s="487">
        <f>SUM(R1300:R1304)</f>
        <v>99.800000000000011</v>
      </c>
      <c r="U1301">
        <f t="shared" si="1326"/>
        <v>35.07014028056112</v>
      </c>
      <c r="V1301" s="220">
        <f>U1301*100/SUM(U1300,U1301,U1303,U1304)</f>
        <v>49.435028248587564</v>
      </c>
      <c r="W1301" s="14" t="s">
        <v>425</v>
      </c>
      <c r="X1301">
        <f t="shared" si="1358"/>
        <v>11.37005649717514</v>
      </c>
      <c r="Y1301" s="220" t="s">
        <v>1666</v>
      </c>
      <c r="Z1301" s="220" t="str">
        <f t="shared" ref="Z1301:AA1301" si="1361">Y1301</f>
        <v>*</v>
      </c>
      <c r="AA1301" s="792" t="str">
        <f t="shared" si="1361"/>
        <v>*</v>
      </c>
      <c r="AB1301" s="18" t="s">
        <v>1666</v>
      </c>
      <c r="AC1301" s="13" t="str">
        <f t="shared" ref="AC1301:AH1301" si="1362">AB1301</f>
        <v>*</v>
      </c>
      <c r="AD1301" s="13" t="str">
        <f t="shared" si="1362"/>
        <v>*</v>
      </c>
      <c r="AE1301" s="220" t="str">
        <f t="shared" si="1362"/>
        <v>*</v>
      </c>
      <c r="AF1301" s="220" t="str">
        <f t="shared" si="1362"/>
        <v>*</v>
      </c>
      <c r="AG1301" s="220" t="str">
        <f t="shared" si="1362"/>
        <v>*</v>
      </c>
      <c r="AH1301" s="220" t="str">
        <f t="shared" si="1362"/>
        <v>*</v>
      </c>
    </row>
    <row r="1302" spans="1:34" ht="12.75">
      <c r="A1302" s="14" t="s">
        <v>4664</v>
      </c>
      <c r="B1302" s="24" t="s">
        <v>2768</v>
      </c>
      <c r="C1302" s="14" t="s">
        <v>2804</v>
      </c>
      <c r="D1302" s="14" t="s">
        <v>2911</v>
      </c>
      <c r="E1302" s="14" t="s">
        <v>3094</v>
      </c>
      <c r="F1302" s="13">
        <v>20</v>
      </c>
      <c r="G1302" s="14" t="s">
        <v>4665</v>
      </c>
      <c r="H1302" s="567">
        <v>19297</v>
      </c>
      <c r="I1302" s="14" t="s">
        <v>4667</v>
      </c>
      <c r="J1302" s="14" t="s">
        <v>4668</v>
      </c>
      <c r="K1302" s="478">
        <v>0.23</v>
      </c>
      <c r="L1302" s="220">
        <v>4.5999999999999996</v>
      </c>
      <c r="M1302" s="568" t="s">
        <v>4669</v>
      </c>
      <c r="N1302" s="573" t="s">
        <v>4670</v>
      </c>
      <c r="O1302" s="569" t="s">
        <v>2976</v>
      </c>
      <c r="P1302" s="14" t="s">
        <v>2938</v>
      </c>
      <c r="Q1302" s="435" t="s">
        <v>2939</v>
      </c>
      <c r="R1302" s="14">
        <v>29</v>
      </c>
      <c r="S1302" s="14">
        <f t="shared" si="1195"/>
        <v>1.3339999999999999</v>
      </c>
      <c r="T1302">
        <f>SUM(R1300:R1304)</f>
        <v>99.800000000000011</v>
      </c>
      <c r="U1302">
        <f t="shared" si="1326"/>
        <v>29.058116232464926</v>
      </c>
      <c r="V1302" s="481">
        <f>U1302</f>
        <v>29.058116232464926</v>
      </c>
      <c r="W1302" s="482" t="s">
        <v>72</v>
      </c>
      <c r="X1302" s="482">
        <f t="shared" si="1358"/>
        <v>6.6833667334669329</v>
      </c>
      <c r="Y1302" s="481">
        <f t="shared" ref="Y1302:AA1302" si="1363">X1302</f>
        <v>6.6833667334669329</v>
      </c>
      <c r="Z1302" s="481">
        <f t="shared" si="1363"/>
        <v>6.6833667334669329</v>
      </c>
      <c r="AA1302" s="810">
        <f t="shared" si="1363"/>
        <v>6.6833667334669329</v>
      </c>
      <c r="AB1302" s="456" t="s">
        <v>72</v>
      </c>
      <c r="AC1302" s="469" t="s">
        <v>2938</v>
      </c>
      <c r="AD1302" s="469" t="s">
        <v>2940</v>
      </c>
      <c r="AE1302" s="457">
        <v>0</v>
      </c>
      <c r="AF1302" s="457">
        <v>0</v>
      </c>
      <c r="AG1302" s="457">
        <v>0</v>
      </c>
      <c r="AH1302" s="457">
        <v>0</v>
      </c>
    </row>
    <row r="1303" spans="1:34" ht="12.75">
      <c r="A1303" s="14" t="s">
        <v>4664</v>
      </c>
      <c r="B1303" s="24" t="s">
        <v>2768</v>
      </c>
      <c r="C1303" s="14" t="s">
        <v>2804</v>
      </c>
      <c r="D1303" s="14" t="s">
        <v>2911</v>
      </c>
      <c r="E1303" s="14" t="s">
        <v>3094</v>
      </c>
      <c r="F1303" s="13">
        <v>20</v>
      </c>
      <c r="G1303" s="14" t="s">
        <v>4665</v>
      </c>
      <c r="H1303" s="567">
        <v>19297</v>
      </c>
      <c r="I1303" s="14" t="s">
        <v>4667</v>
      </c>
      <c r="J1303" s="14" t="s">
        <v>4668</v>
      </c>
      <c r="K1303" s="478">
        <v>0.23</v>
      </c>
      <c r="L1303" s="220">
        <v>4.5999999999999996</v>
      </c>
      <c r="M1303" s="568" t="s">
        <v>4669</v>
      </c>
      <c r="N1303" s="573" t="s">
        <v>4670</v>
      </c>
      <c r="O1303" s="569" t="s">
        <v>2976</v>
      </c>
      <c r="P1303" s="14" t="s">
        <v>3041</v>
      </c>
      <c r="Q1303" s="486" t="s">
        <v>3089</v>
      </c>
      <c r="R1303" s="14">
        <v>0.4</v>
      </c>
      <c r="S1303" s="14">
        <f t="shared" si="1195"/>
        <v>1.84E-2</v>
      </c>
      <c r="T1303">
        <f>SUM(R1300:R1304)</f>
        <v>99.800000000000011</v>
      </c>
      <c r="U1303">
        <f t="shared" si="1326"/>
        <v>0.40080160320641278</v>
      </c>
      <c r="V1303" s="220">
        <f>U1303*100/SUM(U1300,U1301,U1303,U1304)</f>
        <v>0.56497175141242928</v>
      </c>
      <c r="W1303" s="14" t="s">
        <v>81</v>
      </c>
      <c r="X1303">
        <f t="shared" si="1358"/>
        <v>0.12994350282485875</v>
      </c>
      <c r="Y1303" s="499">
        <f t="shared" ref="Y1303:AA1303" si="1364">X1303</f>
        <v>0.12994350282485875</v>
      </c>
      <c r="Z1303" s="220">
        <f t="shared" si="1364"/>
        <v>0.12994350282485875</v>
      </c>
      <c r="AA1303" s="792">
        <f t="shared" si="1364"/>
        <v>0.12994350282485875</v>
      </c>
      <c r="AB1303" s="18" t="s">
        <v>81</v>
      </c>
      <c r="AC1303" s="13" t="s">
        <v>18</v>
      </c>
      <c r="AD1303" s="13" t="s">
        <v>18</v>
      </c>
      <c r="AE1303" s="12">
        <v>1.9912385503783353E-2</v>
      </c>
      <c r="AF1303" s="12">
        <v>5.6949422540820388E-2</v>
      </c>
      <c r="AG1303" s="12">
        <v>3.8829151732377542E-3</v>
      </c>
      <c r="AH1303" s="12">
        <v>5.6321186778176026E-3</v>
      </c>
    </row>
    <row r="1304" spans="1:34" ht="12.75">
      <c r="A1304" s="617" t="s">
        <v>4664</v>
      </c>
      <c r="B1304" s="794" t="s">
        <v>2768</v>
      </c>
      <c r="C1304" s="617" t="s">
        <v>2804</v>
      </c>
      <c r="D1304" s="617" t="s">
        <v>2911</v>
      </c>
      <c r="E1304" s="617" t="s">
        <v>3094</v>
      </c>
      <c r="F1304" s="799">
        <v>20</v>
      </c>
      <c r="G1304" s="617" t="s">
        <v>4665</v>
      </c>
      <c r="H1304" s="910">
        <v>19297</v>
      </c>
      <c r="I1304" s="617" t="s">
        <v>4667</v>
      </c>
      <c r="J1304" s="617" t="s">
        <v>4668</v>
      </c>
      <c r="K1304" s="838">
        <v>0.23</v>
      </c>
      <c r="L1304" s="725">
        <v>4.5999999999999996</v>
      </c>
      <c r="M1304" s="911" t="s">
        <v>4669</v>
      </c>
      <c r="N1304" s="917" t="s">
        <v>4670</v>
      </c>
      <c r="O1304" s="912" t="s">
        <v>2976</v>
      </c>
      <c r="P1304" s="617" t="s">
        <v>83</v>
      </c>
      <c r="Q1304" s="876" t="s">
        <v>3430</v>
      </c>
      <c r="R1304" s="617">
        <v>0.4</v>
      </c>
      <c r="S1304" s="617">
        <f t="shared" si="1195"/>
        <v>1.84E-2</v>
      </c>
      <c r="T1304" s="933">
        <f>SUM(R1300:R1304)</f>
        <v>99.800000000000011</v>
      </c>
      <c r="U1304" s="617">
        <f t="shared" si="1326"/>
        <v>0.40080160320641278</v>
      </c>
      <c r="V1304" s="725">
        <f>U1304*100/SUM(U1300,U1301,U1303,U1304)</f>
        <v>0.56497175141242928</v>
      </c>
      <c r="W1304" s="617" t="s">
        <v>83</v>
      </c>
      <c r="X1304" s="617">
        <f t="shared" si="1358"/>
        <v>0.12994350282485875</v>
      </c>
      <c r="Y1304" s="862">
        <f t="shared" ref="Y1304:AA1304" si="1365">X1304</f>
        <v>0.12994350282485875</v>
      </c>
      <c r="Z1304" s="725">
        <f t="shared" si="1365"/>
        <v>0.12994350282485875</v>
      </c>
      <c r="AA1304" s="455">
        <f t="shared" si="1365"/>
        <v>0.12994350282485875</v>
      </c>
      <c r="AB1304" s="793" t="s">
        <v>83</v>
      </c>
      <c r="AC1304" s="617" t="s">
        <v>83</v>
      </c>
      <c r="AD1304" s="617" t="s">
        <v>2951</v>
      </c>
      <c r="AE1304" s="635">
        <v>0</v>
      </c>
      <c r="AF1304" s="635">
        <v>0</v>
      </c>
      <c r="AG1304" s="635">
        <v>0</v>
      </c>
      <c r="AH1304" s="635">
        <v>0</v>
      </c>
    </row>
    <row r="1305" spans="1:34" ht="12.75">
      <c r="A1305" s="14" t="s">
        <v>4671</v>
      </c>
      <c r="B1305" s="24" t="s">
        <v>2768</v>
      </c>
      <c r="C1305" s="14" t="s">
        <v>2806</v>
      </c>
      <c r="D1305" s="14" t="s">
        <v>2911</v>
      </c>
      <c r="E1305" s="14" t="s">
        <v>4672</v>
      </c>
      <c r="F1305" s="13">
        <v>16</v>
      </c>
      <c r="G1305" s="14" t="s">
        <v>4665</v>
      </c>
      <c r="H1305" s="567">
        <v>16098</v>
      </c>
      <c r="I1305" s="655" t="s">
        <v>4672</v>
      </c>
      <c r="J1305" s="14" t="s">
        <v>4673</v>
      </c>
      <c r="K1305" s="478">
        <v>0.8</v>
      </c>
      <c r="L1305" s="220">
        <v>12.8</v>
      </c>
      <c r="M1305" s="568" t="s">
        <v>4674</v>
      </c>
      <c r="N1305" s="568"/>
      <c r="O1305" s="569"/>
      <c r="P1305" s="14" t="s">
        <v>4521</v>
      </c>
      <c r="Q1305" s="14" t="s">
        <v>4522</v>
      </c>
      <c r="R1305" s="14">
        <v>80</v>
      </c>
      <c r="S1305" s="14">
        <f t="shared" si="1195"/>
        <v>10.240000000000002</v>
      </c>
      <c r="T1305" s="487">
        <f>SUM(R1305:R1310)</f>
        <v>94.6</v>
      </c>
      <c r="U1305">
        <f t="shared" si="1326"/>
        <v>84.566596194503177</v>
      </c>
      <c r="V1305" s="220"/>
      <c r="W1305" s="14" t="s">
        <v>4523</v>
      </c>
      <c r="X1305">
        <f t="shared" ref="X1305:X1320" si="1366">U1305*K1305</f>
        <v>67.65327695560255</v>
      </c>
      <c r="Y1305" s="220">
        <f>SUM(X1305,X1311)</f>
        <v>78.437590681092743</v>
      </c>
      <c r="Z1305" s="220">
        <f t="shared" ref="Z1305:AA1305" si="1367">Y1305</f>
        <v>78.437590681092743</v>
      </c>
      <c r="AA1305" s="792">
        <f t="shared" si="1367"/>
        <v>78.437590681092743</v>
      </c>
      <c r="AB1305" s="18" t="s">
        <v>2772</v>
      </c>
      <c r="AC1305" s="13" t="s">
        <v>312</v>
      </c>
      <c r="AD1305" s="13" t="s">
        <v>4675</v>
      </c>
      <c r="AE1305" s="12">
        <v>3.8427539589960401E-3</v>
      </c>
      <c r="AF1305" s="12">
        <v>1.5537788094869101E-2</v>
      </c>
      <c r="AG1305" s="12">
        <v>2.14E-4</v>
      </c>
      <c r="AH1305" s="12">
        <v>5.7320234924778215E-4</v>
      </c>
    </row>
    <row r="1306" spans="1:34" ht="12.75">
      <c r="A1306" s="14" t="s">
        <v>4671</v>
      </c>
      <c r="B1306" s="24" t="s">
        <v>2768</v>
      </c>
      <c r="C1306" s="14" t="s">
        <v>2806</v>
      </c>
      <c r="D1306" s="14" t="s">
        <v>2911</v>
      </c>
      <c r="E1306" s="14" t="s">
        <v>4672</v>
      </c>
      <c r="F1306" s="13">
        <v>16</v>
      </c>
      <c r="G1306" s="14" t="s">
        <v>4665</v>
      </c>
      <c r="H1306" s="567">
        <v>16098</v>
      </c>
      <c r="I1306" s="655" t="s">
        <v>4672</v>
      </c>
      <c r="J1306" s="14" t="s">
        <v>4673</v>
      </c>
      <c r="K1306" s="478">
        <v>0.8</v>
      </c>
      <c r="L1306" s="220">
        <v>12.8</v>
      </c>
      <c r="M1306" s="568" t="s">
        <v>4674</v>
      </c>
      <c r="N1306" s="568"/>
      <c r="O1306" s="569"/>
      <c r="P1306" s="14" t="s">
        <v>2945</v>
      </c>
      <c r="Q1306" s="14" t="s">
        <v>2946</v>
      </c>
      <c r="R1306" s="14">
        <v>7</v>
      </c>
      <c r="S1306" s="14">
        <f t="shared" si="1195"/>
        <v>0.89600000000000013</v>
      </c>
      <c r="T1306" s="487">
        <f>SUM(R1305:R1310)</f>
        <v>94.6</v>
      </c>
      <c r="U1306">
        <f t="shared" si="1326"/>
        <v>7.3995771670190278</v>
      </c>
      <c r="V1306" s="220"/>
      <c r="W1306" s="14" t="s">
        <v>433</v>
      </c>
      <c r="X1306">
        <f t="shared" si="1366"/>
        <v>5.9196617336152224</v>
      </c>
      <c r="Y1306" s="220">
        <f>SUM(X1306,X1314)</f>
        <v>7.2922107532230651</v>
      </c>
      <c r="Z1306" s="220">
        <f t="shared" ref="Z1306:AA1306" si="1368">Y1306</f>
        <v>7.2922107532230651</v>
      </c>
      <c r="AA1306" s="792">
        <f t="shared" si="1368"/>
        <v>7.2922107532230651</v>
      </c>
      <c r="AB1306" s="18" t="s">
        <v>433</v>
      </c>
      <c r="AC1306" s="13" t="s">
        <v>433</v>
      </c>
      <c r="AD1306" s="13" t="s">
        <v>2947</v>
      </c>
      <c r="AE1306" s="12">
        <v>3.0104466724907065E-4</v>
      </c>
      <c r="AF1306" s="12">
        <v>1.2500000000000001E-2</v>
      </c>
      <c r="AG1306" s="12">
        <v>5.1818181818181835E-4</v>
      </c>
      <c r="AH1306" s="12">
        <v>4.0084080366977777E-4</v>
      </c>
    </row>
    <row r="1307" spans="1:34" ht="12.75">
      <c r="A1307" s="14" t="s">
        <v>4671</v>
      </c>
      <c r="B1307" s="24" t="s">
        <v>2768</v>
      </c>
      <c r="C1307" s="14" t="s">
        <v>2806</v>
      </c>
      <c r="D1307" s="14" t="s">
        <v>2911</v>
      </c>
      <c r="E1307" s="14" t="s">
        <v>4672</v>
      </c>
      <c r="F1307" s="13">
        <v>16</v>
      </c>
      <c r="G1307" s="14" t="s">
        <v>4665</v>
      </c>
      <c r="H1307" s="567">
        <v>16098</v>
      </c>
      <c r="I1307" s="655" t="s">
        <v>4672</v>
      </c>
      <c r="J1307" s="14" t="s">
        <v>4673</v>
      </c>
      <c r="K1307" s="478">
        <v>0.8</v>
      </c>
      <c r="L1307" s="220">
        <v>12.8</v>
      </c>
      <c r="M1307" s="568" t="s">
        <v>4674</v>
      </c>
      <c r="N1307" s="568"/>
      <c r="O1307" s="569"/>
      <c r="P1307" s="14" t="s">
        <v>3139</v>
      </c>
      <c r="Q1307" s="435" t="s">
        <v>3140</v>
      </c>
      <c r="R1307" s="14">
        <v>4.4000000000000004</v>
      </c>
      <c r="S1307" s="14">
        <f t="shared" si="1195"/>
        <v>0.56320000000000003</v>
      </c>
      <c r="T1307" s="487">
        <f>SUM(R1305:R1310)</f>
        <v>94.6</v>
      </c>
      <c r="U1307">
        <f t="shared" si="1326"/>
        <v>4.6511627906976756</v>
      </c>
      <c r="V1307" s="220"/>
      <c r="W1307" s="14" t="s">
        <v>4321</v>
      </c>
      <c r="X1307">
        <f t="shared" si="1366"/>
        <v>3.7209302325581408</v>
      </c>
      <c r="Y1307" s="220">
        <f>SUM(X1307,X1309,X1315,X1317,X1318)</f>
        <v>7.3821249430004565</v>
      </c>
      <c r="Z1307" s="220">
        <f>SUM(Y1307,Y1309,Y1317,Y1318)-X1315</f>
        <v>4.8331053351573194</v>
      </c>
      <c r="AA1307" s="792">
        <f>Z1307</f>
        <v>4.8331053351573194</v>
      </c>
      <c r="AB1307" s="18" t="s">
        <v>2807</v>
      </c>
      <c r="AC1307" s="13" t="s">
        <v>2982</v>
      </c>
      <c r="AD1307" s="13" t="s">
        <v>2983</v>
      </c>
      <c r="AE1307" s="12">
        <v>2.9691872042618299E-2</v>
      </c>
      <c r="AF1307" s="12">
        <v>7.5368545517799299E-2</v>
      </c>
      <c r="AG1307" s="12">
        <v>2.9014018691588786E-4</v>
      </c>
      <c r="AH1307" s="12">
        <v>1.4770983615231311E-3</v>
      </c>
    </row>
    <row r="1308" spans="1:34" ht="12.75">
      <c r="A1308" s="14" t="s">
        <v>4671</v>
      </c>
      <c r="B1308" s="24" t="s">
        <v>2768</v>
      </c>
      <c r="C1308" s="14" t="s">
        <v>2806</v>
      </c>
      <c r="D1308" s="14" t="s">
        <v>2911</v>
      </c>
      <c r="E1308" s="14" t="s">
        <v>4672</v>
      </c>
      <c r="F1308" s="13">
        <v>16</v>
      </c>
      <c r="G1308" s="14" t="s">
        <v>4665</v>
      </c>
      <c r="H1308" s="567">
        <v>16098</v>
      </c>
      <c r="I1308" s="655" t="s">
        <v>4672</v>
      </c>
      <c r="J1308" s="14" t="s">
        <v>4673</v>
      </c>
      <c r="K1308" s="478">
        <v>0.8</v>
      </c>
      <c r="L1308" s="220">
        <v>12.8</v>
      </c>
      <c r="M1308" s="568" t="s">
        <v>4674</v>
      </c>
      <c r="N1308" s="568"/>
      <c r="O1308" s="569"/>
      <c r="P1308" s="655" t="s">
        <v>4676</v>
      </c>
      <c r="Q1308" s="527" t="s">
        <v>3114</v>
      </c>
      <c r="R1308" s="14">
        <v>2.1</v>
      </c>
      <c r="S1308" s="14">
        <f t="shared" si="1195"/>
        <v>0.26880000000000004</v>
      </c>
      <c r="T1308" s="487">
        <f>SUM(R1305:R1310)</f>
        <v>94.6</v>
      </c>
      <c r="U1308">
        <f t="shared" si="1326"/>
        <v>2.2198731501057085</v>
      </c>
      <c r="V1308" s="220"/>
      <c r="W1308" s="14" t="s">
        <v>340</v>
      </c>
      <c r="X1308">
        <f t="shared" si="1366"/>
        <v>1.7758985200845669</v>
      </c>
      <c r="Y1308" s="499">
        <f>SUM(X1308,X1316)</f>
        <v>1.9719769514571159</v>
      </c>
      <c r="Z1308" s="220">
        <f t="shared" ref="Z1308:AA1308" si="1369">Y1308</f>
        <v>1.9719769514571159</v>
      </c>
      <c r="AA1308" s="792">
        <f t="shared" si="1369"/>
        <v>1.9719769514571159</v>
      </c>
      <c r="AB1308" s="18" t="s">
        <v>340</v>
      </c>
      <c r="AC1308" s="13" t="s">
        <v>3115</v>
      </c>
      <c r="AD1308" s="13" t="s">
        <v>3116</v>
      </c>
      <c r="AE1308" s="12">
        <v>2.1708241661196198E-2</v>
      </c>
      <c r="AF1308" s="12">
        <v>0.36572952458380198</v>
      </c>
      <c r="AG1308" s="12">
        <v>4.6350652173913045E-4</v>
      </c>
      <c r="AH1308" s="12">
        <v>1.6975608035415088E-3</v>
      </c>
    </row>
    <row r="1309" spans="1:34" ht="12.75">
      <c r="A1309" s="14" t="s">
        <v>4671</v>
      </c>
      <c r="B1309" s="24" t="s">
        <v>2768</v>
      </c>
      <c r="C1309" s="14" t="s">
        <v>2806</v>
      </c>
      <c r="D1309" s="14" t="s">
        <v>2911</v>
      </c>
      <c r="E1309" s="14" t="s">
        <v>4672</v>
      </c>
      <c r="F1309" s="13">
        <v>16</v>
      </c>
      <c r="G1309" s="14" t="s">
        <v>4665</v>
      </c>
      <c r="H1309" s="567">
        <v>16098</v>
      </c>
      <c r="I1309" s="655" t="s">
        <v>4672</v>
      </c>
      <c r="J1309" s="14" t="s">
        <v>4673</v>
      </c>
      <c r="K1309" s="478">
        <v>0.8</v>
      </c>
      <c r="L1309" s="220">
        <v>12.8</v>
      </c>
      <c r="M1309" s="568" t="s">
        <v>4674</v>
      </c>
      <c r="N1309" s="568"/>
      <c r="O1309" s="569"/>
      <c r="P1309" s="489" t="s">
        <v>2980</v>
      </c>
      <c r="Q1309" s="563" t="s">
        <v>2981</v>
      </c>
      <c r="R1309" s="14">
        <f t="shared" ref="R1309:R1310" si="1370">1.1/2</f>
        <v>0.55000000000000004</v>
      </c>
      <c r="S1309" s="14">
        <f t="shared" si="1195"/>
        <v>7.0400000000000004E-2</v>
      </c>
      <c r="T1309" s="935">
        <f>SUM(R1305:R1310)</f>
        <v>94.6</v>
      </c>
      <c r="U1309">
        <f t="shared" si="1326"/>
        <v>0.58139534883720945</v>
      </c>
      <c r="V1309" s="220"/>
      <c r="W1309" s="14" t="s">
        <v>349</v>
      </c>
      <c r="X1309">
        <f t="shared" si="1366"/>
        <v>0.4651162790697676</v>
      </c>
      <c r="Y1309" s="220" t="s">
        <v>1666</v>
      </c>
      <c r="Z1309" s="220" t="str">
        <f t="shared" ref="Z1309:AH1309" si="1371">Y1309</f>
        <v>*</v>
      </c>
      <c r="AA1309" s="792" t="str">
        <f t="shared" si="1371"/>
        <v>*</v>
      </c>
      <c r="AB1309" s="458" t="str">
        <f t="shared" si="1371"/>
        <v>*</v>
      </c>
      <c r="AC1309" s="497" t="str">
        <f t="shared" si="1371"/>
        <v>*</v>
      </c>
      <c r="AD1309" s="497" t="str">
        <f t="shared" si="1371"/>
        <v>*</v>
      </c>
      <c r="AE1309" s="483" t="str">
        <f t="shared" si="1371"/>
        <v>*</v>
      </c>
      <c r="AF1309" s="483" t="str">
        <f t="shared" si="1371"/>
        <v>*</v>
      </c>
      <c r="AG1309" s="483" t="str">
        <f t="shared" si="1371"/>
        <v>*</v>
      </c>
      <c r="AH1309" s="483" t="str">
        <f t="shared" si="1371"/>
        <v>*</v>
      </c>
    </row>
    <row r="1310" spans="1:34" ht="12.75">
      <c r="A1310" s="14" t="s">
        <v>4671</v>
      </c>
      <c r="B1310" s="24" t="s">
        <v>2768</v>
      </c>
      <c r="C1310" s="14" t="s">
        <v>2806</v>
      </c>
      <c r="D1310" s="14" t="s">
        <v>2911</v>
      </c>
      <c r="E1310" s="14" t="s">
        <v>4672</v>
      </c>
      <c r="F1310" s="13">
        <v>16</v>
      </c>
      <c r="G1310" s="14" t="s">
        <v>4665</v>
      </c>
      <c r="H1310" s="567">
        <v>16098</v>
      </c>
      <c r="I1310" s="848" t="s">
        <v>4672</v>
      </c>
      <c r="J1310" s="135" t="s">
        <v>4673</v>
      </c>
      <c r="K1310" s="475">
        <v>0.8</v>
      </c>
      <c r="L1310" s="476">
        <v>12.8</v>
      </c>
      <c r="M1310" s="570" t="s">
        <v>4674</v>
      </c>
      <c r="N1310" s="570"/>
      <c r="O1310" s="571"/>
      <c r="P1310" s="135" t="s">
        <v>2980</v>
      </c>
      <c r="Q1310" s="495" t="s">
        <v>4366</v>
      </c>
      <c r="R1310" s="135">
        <f t="shared" si="1370"/>
        <v>0.55000000000000004</v>
      </c>
      <c r="S1310" s="135">
        <f t="shared" si="1195"/>
        <v>7.0400000000000004E-2</v>
      </c>
      <c r="T1310" s="898">
        <f>SUM(R1305:R1310)</f>
        <v>94.6</v>
      </c>
      <c r="U1310" s="135">
        <f t="shared" si="1326"/>
        <v>0.58139534883720945</v>
      </c>
      <c r="V1310" s="476"/>
      <c r="W1310" s="135" t="s">
        <v>2521</v>
      </c>
      <c r="X1310">
        <f t="shared" si="1366"/>
        <v>0.4651162790697676</v>
      </c>
      <c r="Y1310" s="499">
        <f>SUM(X1310,X1320)</f>
        <v>0.53178294573643425</v>
      </c>
      <c r="Z1310" s="220">
        <f t="shared" ref="Z1310:AA1310" si="1372">Y1310</f>
        <v>0.53178294573643425</v>
      </c>
      <c r="AA1310" s="792">
        <f t="shared" si="1372"/>
        <v>0.53178294573643425</v>
      </c>
      <c r="AB1310" s="18" t="s">
        <v>324</v>
      </c>
      <c r="AC1310" s="13" t="s">
        <v>18</v>
      </c>
      <c r="AD1310" s="13" t="s">
        <v>3144</v>
      </c>
      <c r="AE1310" s="12">
        <v>1.0652903141570055E-3</v>
      </c>
      <c r="AF1310" s="12">
        <v>1.7273631840796021E-2</v>
      </c>
      <c r="AG1310" s="12">
        <v>1.3582399999999999E-4</v>
      </c>
      <c r="AH1310" s="12">
        <v>2.14E-3</v>
      </c>
    </row>
    <row r="1311" spans="1:34" ht="12.75">
      <c r="A1311" s="14" t="s">
        <v>4671</v>
      </c>
      <c r="B1311" s="24" t="s">
        <v>2768</v>
      </c>
      <c r="C1311" s="14" t="s">
        <v>2806</v>
      </c>
      <c r="D1311" s="14" t="s">
        <v>2911</v>
      </c>
      <c r="E1311" s="14" t="s">
        <v>4672</v>
      </c>
      <c r="F1311" s="13">
        <v>16</v>
      </c>
      <c r="G1311" s="14" t="s">
        <v>4665</v>
      </c>
      <c r="H1311" s="567">
        <v>16098</v>
      </c>
      <c r="I1311" s="655" t="s">
        <v>4677</v>
      </c>
      <c r="J1311" s="14" t="s">
        <v>4678</v>
      </c>
      <c r="K1311" s="478">
        <v>0.2</v>
      </c>
      <c r="L1311" s="220">
        <v>3.2</v>
      </c>
      <c r="M1311" s="568" t="s">
        <v>4679</v>
      </c>
      <c r="N1311" s="568"/>
      <c r="O1311" s="569"/>
      <c r="P1311" s="14" t="s">
        <v>4521</v>
      </c>
      <c r="Q1311" s="14" t="s">
        <v>4522</v>
      </c>
      <c r="R1311" s="14">
        <v>55</v>
      </c>
      <c r="S1311" s="14">
        <f t="shared" si="1195"/>
        <v>1.7600000000000002</v>
      </c>
      <c r="T1311" s="487">
        <f>SUM(R1311:R1320)</f>
        <v>102</v>
      </c>
      <c r="U1311">
        <f t="shared" si="1326"/>
        <v>53.921568627450981</v>
      </c>
      <c r="V1311" s="220"/>
      <c r="W1311" s="14" t="s">
        <v>4523</v>
      </c>
      <c r="X1311">
        <f t="shared" si="1366"/>
        <v>10.784313725490197</v>
      </c>
      <c r="Y1311" s="220" t="s">
        <v>1666</v>
      </c>
      <c r="Z1311" s="220" t="str">
        <f t="shared" ref="Z1311:AH1311" si="1373">Y1311</f>
        <v>*</v>
      </c>
      <c r="AA1311" s="792" t="str">
        <f t="shared" si="1373"/>
        <v>*</v>
      </c>
      <c r="AB1311" s="458" t="str">
        <f t="shared" si="1373"/>
        <v>*</v>
      </c>
      <c r="AC1311" s="497" t="str">
        <f t="shared" si="1373"/>
        <v>*</v>
      </c>
      <c r="AD1311" s="497" t="str">
        <f t="shared" si="1373"/>
        <v>*</v>
      </c>
      <c r="AE1311" s="483" t="str">
        <f t="shared" si="1373"/>
        <v>*</v>
      </c>
      <c r="AF1311" s="483" t="str">
        <f t="shared" si="1373"/>
        <v>*</v>
      </c>
      <c r="AG1311" s="483" t="str">
        <f t="shared" si="1373"/>
        <v>*</v>
      </c>
      <c r="AH1311" s="483" t="str">
        <f t="shared" si="1373"/>
        <v>*</v>
      </c>
    </row>
    <row r="1312" spans="1:34" ht="12.75">
      <c r="A1312" s="14" t="s">
        <v>4671</v>
      </c>
      <c r="B1312" s="24" t="s">
        <v>2768</v>
      </c>
      <c r="C1312" s="14" t="s">
        <v>2806</v>
      </c>
      <c r="D1312" s="14" t="s">
        <v>2911</v>
      </c>
      <c r="E1312" s="14" t="s">
        <v>4672</v>
      </c>
      <c r="F1312" s="13">
        <v>16</v>
      </c>
      <c r="G1312" s="14" t="s">
        <v>4665</v>
      </c>
      <c r="H1312" s="567">
        <v>16098</v>
      </c>
      <c r="I1312" s="655" t="s">
        <v>4677</v>
      </c>
      <c r="J1312" s="14" t="s">
        <v>4678</v>
      </c>
      <c r="K1312" s="478">
        <v>0.2</v>
      </c>
      <c r="L1312" s="220">
        <v>3.2</v>
      </c>
      <c r="M1312" s="568" t="s">
        <v>4679</v>
      </c>
      <c r="N1312" s="568"/>
      <c r="O1312" s="569"/>
      <c r="P1312" s="655" t="s">
        <v>2977</v>
      </c>
      <c r="Q1312" s="486" t="s">
        <v>4680</v>
      </c>
      <c r="R1312" s="14">
        <v>15</v>
      </c>
      <c r="S1312" s="14">
        <f t="shared" si="1195"/>
        <v>0.48</v>
      </c>
      <c r="T1312" s="487">
        <f>SUM(R1311:R1320)</f>
        <v>102</v>
      </c>
      <c r="U1312">
        <f t="shared" si="1326"/>
        <v>14.705882352941176</v>
      </c>
      <c r="V1312" s="220"/>
      <c r="W1312" s="14" t="s">
        <v>227</v>
      </c>
      <c r="X1312">
        <f t="shared" si="1366"/>
        <v>2.9411764705882355</v>
      </c>
      <c r="Y1312" s="220">
        <f>SUM(X1312,X1313)</f>
        <v>4.3137254901960791</v>
      </c>
      <c r="Z1312" s="220">
        <f t="shared" ref="Z1312:Z1313" si="1374">X1312</f>
        <v>2.9411764705882355</v>
      </c>
      <c r="AA1312" s="792">
        <f t="shared" ref="AA1312:AA1313" si="1375">Z1312</f>
        <v>2.9411764705882355</v>
      </c>
      <c r="AB1312" s="18" t="s">
        <v>227</v>
      </c>
      <c r="AC1312" s="13" t="s">
        <v>55</v>
      </c>
      <c r="AD1312" s="13" t="s">
        <v>2979</v>
      </c>
      <c r="AE1312" s="12">
        <v>2.5055367220000002E-3</v>
      </c>
      <c r="AF1312" s="12">
        <v>3.8459841414181101E-2</v>
      </c>
      <c r="AG1312" s="12">
        <v>1.1035422343324251E-4</v>
      </c>
      <c r="AH1312" s="12">
        <v>8.109653861711444E-4</v>
      </c>
    </row>
    <row r="1313" spans="1:34" ht="12.75">
      <c r="A1313" s="14" t="s">
        <v>4671</v>
      </c>
      <c r="B1313" s="24" t="s">
        <v>2768</v>
      </c>
      <c r="C1313" s="14" t="s">
        <v>2806</v>
      </c>
      <c r="D1313" s="14" t="s">
        <v>2911</v>
      </c>
      <c r="E1313" s="14" t="s">
        <v>4672</v>
      </c>
      <c r="F1313" s="13">
        <v>16</v>
      </c>
      <c r="G1313" s="14" t="s">
        <v>4665</v>
      </c>
      <c r="H1313" s="567">
        <v>16098</v>
      </c>
      <c r="I1313" s="655" t="s">
        <v>4677</v>
      </c>
      <c r="J1313" s="14" t="s">
        <v>4678</v>
      </c>
      <c r="K1313" s="478">
        <v>0.2</v>
      </c>
      <c r="L1313" s="220">
        <v>3.2</v>
      </c>
      <c r="M1313" s="568" t="s">
        <v>4679</v>
      </c>
      <c r="N1313" s="568"/>
      <c r="O1313" s="569"/>
      <c r="P1313" s="14" t="s">
        <v>2962</v>
      </c>
      <c r="Q1313" s="14" t="s">
        <v>4681</v>
      </c>
      <c r="R1313" s="14">
        <v>7</v>
      </c>
      <c r="S1313" s="14">
        <f t="shared" si="1195"/>
        <v>0.22400000000000003</v>
      </c>
      <c r="T1313" s="487">
        <f>SUM(R1311:R1320)</f>
        <v>102</v>
      </c>
      <c r="U1313">
        <f t="shared" si="1326"/>
        <v>6.8627450980392153</v>
      </c>
      <c r="V1313" s="220"/>
      <c r="W1313" s="14" t="s">
        <v>425</v>
      </c>
      <c r="X1313">
        <f t="shared" si="1366"/>
        <v>1.3725490196078431</v>
      </c>
      <c r="Y1313" s="220" t="s">
        <v>1666</v>
      </c>
      <c r="Z1313" s="220">
        <f t="shared" si="1374"/>
        <v>1.3725490196078431</v>
      </c>
      <c r="AA1313" s="792">
        <f t="shared" si="1375"/>
        <v>1.3725490196078431</v>
      </c>
      <c r="AB1313" s="18" t="s">
        <v>425</v>
      </c>
      <c r="AC1313" s="13" t="s">
        <v>2964</v>
      </c>
      <c r="AD1313" s="13" t="s">
        <v>2965</v>
      </c>
      <c r="AE1313" s="12">
        <v>3.8102374934982654E-3</v>
      </c>
      <c r="AF1313" s="12">
        <v>0.20470422547079484</v>
      </c>
      <c r="AG1313" s="12">
        <v>1.210810810810811E-4</v>
      </c>
      <c r="AH1313" s="12">
        <v>1.0002400855855065E-3</v>
      </c>
    </row>
    <row r="1314" spans="1:34" ht="12.75">
      <c r="A1314" s="14" t="s">
        <v>4671</v>
      </c>
      <c r="B1314" s="24" t="s">
        <v>2768</v>
      </c>
      <c r="C1314" s="14" t="s">
        <v>2806</v>
      </c>
      <c r="D1314" s="14" t="s">
        <v>2911</v>
      </c>
      <c r="E1314" s="14" t="s">
        <v>4672</v>
      </c>
      <c r="F1314" s="13">
        <v>16</v>
      </c>
      <c r="G1314" s="14" t="s">
        <v>4665</v>
      </c>
      <c r="H1314" s="567">
        <v>16098</v>
      </c>
      <c r="I1314" s="655" t="s">
        <v>4677</v>
      </c>
      <c r="J1314" s="14" t="s">
        <v>4678</v>
      </c>
      <c r="K1314" s="478">
        <v>0.2</v>
      </c>
      <c r="L1314" s="220">
        <v>3.2</v>
      </c>
      <c r="M1314" s="568" t="s">
        <v>4679</v>
      </c>
      <c r="N1314" s="568"/>
      <c r="O1314" s="569"/>
      <c r="P1314" s="14" t="s">
        <v>2945</v>
      </c>
      <c r="Q1314" s="14" t="s">
        <v>2946</v>
      </c>
      <c r="R1314" s="14">
        <v>7</v>
      </c>
      <c r="S1314" s="14">
        <f t="shared" si="1195"/>
        <v>0.22400000000000003</v>
      </c>
      <c r="T1314" s="487">
        <f>SUM(R1311:R1320)</f>
        <v>102</v>
      </c>
      <c r="U1314">
        <f t="shared" si="1326"/>
        <v>6.8627450980392153</v>
      </c>
      <c r="V1314" s="220"/>
      <c r="W1314" s="14" t="s">
        <v>433</v>
      </c>
      <c r="X1314">
        <f t="shared" si="1366"/>
        <v>1.3725490196078431</v>
      </c>
      <c r="Y1314" s="220" t="s">
        <v>1666</v>
      </c>
      <c r="Z1314" s="220" t="str">
        <f t="shared" ref="Z1314:AH1314" si="1376">Y1314</f>
        <v>*</v>
      </c>
      <c r="AA1314" s="792" t="str">
        <f t="shared" si="1376"/>
        <v>*</v>
      </c>
      <c r="AB1314" s="458" t="str">
        <f t="shared" si="1376"/>
        <v>*</v>
      </c>
      <c r="AC1314" s="497" t="str">
        <f t="shared" si="1376"/>
        <v>*</v>
      </c>
      <c r="AD1314" s="497" t="str">
        <f t="shared" si="1376"/>
        <v>*</v>
      </c>
      <c r="AE1314" s="483" t="str">
        <f t="shared" si="1376"/>
        <v>*</v>
      </c>
      <c r="AF1314" s="483" t="str">
        <f t="shared" si="1376"/>
        <v>*</v>
      </c>
      <c r="AG1314" s="483" t="str">
        <f t="shared" si="1376"/>
        <v>*</v>
      </c>
      <c r="AH1314" s="483" t="str">
        <f t="shared" si="1376"/>
        <v>*</v>
      </c>
    </row>
    <row r="1315" spans="1:34" ht="12.75">
      <c r="A1315" s="14" t="s">
        <v>4671</v>
      </c>
      <c r="B1315" s="24" t="s">
        <v>2768</v>
      </c>
      <c r="C1315" s="14" t="s">
        <v>2806</v>
      </c>
      <c r="D1315" s="14" t="s">
        <v>2911</v>
      </c>
      <c r="E1315" s="14" t="s">
        <v>4672</v>
      </c>
      <c r="F1315" s="13">
        <v>16</v>
      </c>
      <c r="G1315" s="14" t="s">
        <v>4665</v>
      </c>
      <c r="H1315" s="567">
        <v>16098</v>
      </c>
      <c r="I1315" s="655" t="s">
        <v>4677</v>
      </c>
      <c r="J1315" s="14" t="s">
        <v>4678</v>
      </c>
      <c r="K1315" s="478">
        <v>0.2</v>
      </c>
      <c r="L1315" s="220">
        <v>3.2</v>
      </c>
      <c r="M1315" s="568" t="s">
        <v>4679</v>
      </c>
      <c r="N1315" s="568"/>
      <c r="O1315" s="569"/>
      <c r="P1315" s="14" t="s">
        <v>3483</v>
      </c>
      <c r="Q1315" s="14" t="s">
        <v>3442</v>
      </c>
      <c r="R1315" s="14">
        <v>13</v>
      </c>
      <c r="S1315" s="14">
        <f t="shared" si="1195"/>
        <v>0.41600000000000004</v>
      </c>
      <c r="T1315" s="487">
        <f>SUM(R1311:R1320)</f>
        <v>102</v>
      </c>
      <c r="U1315">
        <f t="shared" si="1326"/>
        <v>12.745098039215685</v>
      </c>
      <c r="V1315" s="220"/>
      <c r="W1315" s="14" t="s">
        <v>4682</v>
      </c>
      <c r="X1315">
        <f t="shared" si="1366"/>
        <v>2.5490196078431371</v>
      </c>
      <c r="Y1315" s="220" t="s">
        <v>1666</v>
      </c>
      <c r="Z1315" s="220">
        <f>X1315</f>
        <v>2.5490196078431371</v>
      </c>
      <c r="AA1315" s="792">
        <f t="shared" ref="AA1315:AA1316" si="1377">Z1315</f>
        <v>2.5490196078431371</v>
      </c>
      <c r="AB1315" s="18" t="s">
        <v>2808</v>
      </c>
      <c r="AC1315" s="13" t="s">
        <v>3485</v>
      </c>
      <c r="AD1315" s="13" t="s">
        <v>2944</v>
      </c>
      <c r="AE1315" s="12">
        <v>4.7062756261925113E-3</v>
      </c>
      <c r="AF1315" s="12">
        <v>3.8210906557435767E-2</v>
      </c>
      <c r="AG1315" s="12">
        <v>7.6086956521739124E-5</v>
      </c>
      <c r="AH1315" s="12">
        <v>5.9908272287602653E-4</v>
      </c>
    </row>
    <row r="1316" spans="1:34" ht="12.75">
      <c r="A1316" s="14" t="s">
        <v>4671</v>
      </c>
      <c r="B1316" s="24" t="s">
        <v>2768</v>
      </c>
      <c r="C1316" s="14" t="s">
        <v>2806</v>
      </c>
      <c r="D1316" s="14" t="s">
        <v>2911</v>
      </c>
      <c r="E1316" s="14" t="s">
        <v>4672</v>
      </c>
      <c r="F1316" s="13">
        <v>16</v>
      </c>
      <c r="G1316" s="14" t="s">
        <v>4665</v>
      </c>
      <c r="H1316" s="567">
        <v>16098</v>
      </c>
      <c r="I1316" s="655" t="s">
        <v>4677</v>
      </c>
      <c r="J1316" s="14" t="s">
        <v>4678</v>
      </c>
      <c r="K1316" s="478">
        <v>0.2</v>
      </c>
      <c r="L1316" s="220">
        <v>3.2</v>
      </c>
      <c r="M1316" s="568" t="s">
        <v>4679</v>
      </c>
      <c r="N1316" s="568"/>
      <c r="O1316" s="569"/>
      <c r="P1316" s="490" t="s">
        <v>1376</v>
      </c>
      <c r="Q1316" s="936" t="s">
        <v>3114</v>
      </c>
      <c r="R1316" s="14">
        <v>1</v>
      </c>
      <c r="S1316" s="14">
        <f t="shared" si="1195"/>
        <v>3.2000000000000001E-2</v>
      </c>
      <c r="T1316" s="487">
        <f>SUM(R1311:R1320)</f>
        <v>102</v>
      </c>
      <c r="U1316">
        <f t="shared" si="1326"/>
        <v>0.98039215686274506</v>
      </c>
      <c r="V1316" s="220"/>
      <c r="W1316" s="14" t="s">
        <v>340</v>
      </c>
      <c r="X1316">
        <f t="shared" si="1366"/>
        <v>0.19607843137254902</v>
      </c>
      <c r="Y1316" s="220" t="s">
        <v>1624</v>
      </c>
      <c r="Z1316" s="220" t="s">
        <v>1666</v>
      </c>
      <c r="AA1316" s="792" t="str">
        <f t="shared" si="1377"/>
        <v>*</v>
      </c>
      <c r="AB1316" s="458" t="str">
        <f t="shared" ref="AB1316:AH1316" si="1378">AA1316</f>
        <v>*</v>
      </c>
      <c r="AC1316" s="497" t="str">
        <f t="shared" si="1378"/>
        <v>*</v>
      </c>
      <c r="AD1316" s="497" t="str">
        <f t="shared" si="1378"/>
        <v>*</v>
      </c>
      <c r="AE1316" s="483" t="str">
        <f t="shared" si="1378"/>
        <v>*</v>
      </c>
      <c r="AF1316" s="483" t="str">
        <f t="shared" si="1378"/>
        <v>*</v>
      </c>
      <c r="AG1316" s="483" t="str">
        <f t="shared" si="1378"/>
        <v>*</v>
      </c>
      <c r="AH1316" s="483" t="str">
        <f t="shared" si="1378"/>
        <v>*</v>
      </c>
    </row>
    <row r="1317" spans="1:34" ht="12.75">
      <c r="A1317" s="14" t="s">
        <v>4671</v>
      </c>
      <c r="B1317" s="24" t="s">
        <v>2768</v>
      </c>
      <c r="C1317" s="14" t="s">
        <v>2806</v>
      </c>
      <c r="D1317" s="14" t="s">
        <v>2911</v>
      </c>
      <c r="E1317" s="14" t="s">
        <v>4672</v>
      </c>
      <c r="F1317" s="13">
        <v>16</v>
      </c>
      <c r="G1317" s="14" t="s">
        <v>4665</v>
      </c>
      <c r="H1317" s="567">
        <v>16098</v>
      </c>
      <c r="I1317" s="655" t="s">
        <v>4677</v>
      </c>
      <c r="J1317" s="14" t="s">
        <v>4678</v>
      </c>
      <c r="K1317" s="478">
        <v>0.2</v>
      </c>
      <c r="L1317" s="220">
        <v>3.2</v>
      </c>
      <c r="M1317" s="568" t="s">
        <v>4679</v>
      </c>
      <c r="N1317" s="568"/>
      <c r="O1317" s="569"/>
      <c r="P1317" s="489" t="s">
        <v>4658</v>
      </c>
      <c r="Q1317" s="563" t="s">
        <v>4552</v>
      </c>
      <c r="R1317" s="14">
        <f>4*0.72</f>
        <v>2.88</v>
      </c>
      <c r="S1317" s="14">
        <f t="shared" si="1195"/>
        <v>9.2160000000000006E-2</v>
      </c>
      <c r="T1317" s="487">
        <f>SUM(R1311:R1320)</f>
        <v>102</v>
      </c>
      <c r="U1317">
        <f t="shared" si="1326"/>
        <v>2.8235294117647061</v>
      </c>
      <c r="V1317" s="220"/>
      <c r="W1317" s="14" t="s">
        <v>346</v>
      </c>
      <c r="X1317">
        <f t="shared" si="1366"/>
        <v>0.56470588235294128</v>
      </c>
      <c r="Y1317" s="220" t="s">
        <v>1666</v>
      </c>
      <c r="Z1317" s="220" t="str">
        <f t="shared" ref="Z1317:AH1317" si="1379">Y1317</f>
        <v>*</v>
      </c>
      <c r="AA1317" s="792" t="str">
        <f t="shared" si="1379"/>
        <v>*</v>
      </c>
      <c r="AB1317" s="458" t="str">
        <f t="shared" si="1379"/>
        <v>*</v>
      </c>
      <c r="AC1317" s="497" t="str">
        <f t="shared" si="1379"/>
        <v>*</v>
      </c>
      <c r="AD1317" s="497" t="str">
        <f t="shared" si="1379"/>
        <v>*</v>
      </c>
      <c r="AE1317" s="483" t="str">
        <f t="shared" si="1379"/>
        <v>*</v>
      </c>
      <c r="AF1317" s="483" t="str">
        <f t="shared" si="1379"/>
        <v>*</v>
      </c>
      <c r="AG1317" s="483" t="str">
        <f t="shared" si="1379"/>
        <v>*</v>
      </c>
      <c r="AH1317" s="483" t="str">
        <f t="shared" si="1379"/>
        <v>*</v>
      </c>
    </row>
    <row r="1318" spans="1:34" ht="12.75">
      <c r="A1318" s="14" t="s">
        <v>4671</v>
      </c>
      <c r="B1318" s="24" t="s">
        <v>2768</v>
      </c>
      <c r="C1318" s="14" t="s">
        <v>2806</v>
      </c>
      <c r="D1318" s="14" t="s">
        <v>2911</v>
      </c>
      <c r="E1318" s="14" t="s">
        <v>4672</v>
      </c>
      <c r="F1318" s="13">
        <v>16</v>
      </c>
      <c r="G1318" s="14" t="s">
        <v>4665</v>
      </c>
      <c r="H1318" s="567">
        <v>16098</v>
      </c>
      <c r="I1318" s="655" t="s">
        <v>4677</v>
      </c>
      <c r="J1318" s="14" t="s">
        <v>4678</v>
      </c>
      <c r="K1318" s="478">
        <v>0.2</v>
      </c>
      <c r="L1318" s="220">
        <v>3.2</v>
      </c>
      <c r="M1318" s="568" t="s">
        <v>4679</v>
      </c>
      <c r="N1318" s="568"/>
      <c r="O1318" s="569"/>
      <c r="P1318" s="14" t="s">
        <v>4658</v>
      </c>
      <c r="Q1318" s="486" t="s">
        <v>2981</v>
      </c>
      <c r="R1318" s="14">
        <f>4*0.105</f>
        <v>0.42</v>
      </c>
      <c r="S1318" s="14">
        <f t="shared" si="1195"/>
        <v>1.3440000000000001E-2</v>
      </c>
      <c r="T1318" s="487">
        <f>SUM(R1311:R1320)</f>
        <v>102</v>
      </c>
      <c r="U1318">
        <f t="shared" si="1326"/>
        <v>0.41176470588235292</v>
      </c>
      <c r="V1318" s="220"/>
      <c r="W1318" s="14" t="s">
        <v>349</v>
      </c>
      <c r="X1318">
        <f t="shared" si="1366"/>
        <v>8.2352941176470587E-2</v>
      </c>
      <c r="Y1318" s="220" t="s">
        <v>1666</v>
      </c>
      <c r="Z1318" s="220" t="str">
        <f t="shared" ref="Z1318:AH1318" si="1380">Y1318</f>
        <v>*</v>
      </c>
      <c r="AA1318" s="792" t="str">
        <f t="shared" si="1380"/>
        <v>*</v>
      </c>
      <c r="AB1318" s="458" t="str">
        <f t="shared" si="1380"/>
        <v>*</v>
      </c>
      <c r="AC1318" s="497" t="str">
        <f t="shared" si="1380"/>
        <v>*</v>
      </c>
      <c r="AD1318" s="497" t="str">
        <f t="shared" si="1380"/>
        <v>*</v>
      </c>
      <c r="AE1318" s="483" t="str">
        <f t="shared" si="1380"/>
        <v>*</v>
      </c>
      <c r="AF1318" s="483" t="str">
        <f t="shared" si="1380"/>
        <v>*</v>
      </c>
      <c r="AG1318" s="483" t="str">
        <f t="shared" si="1380"/>
        <v>*</v>
      </c>
      <c r="AH1318" s="483" t="str">
        <f t="shared" si="1380"/>
        <v>*</v>
      </c>
    </row>
    <row r="1319" spans="1:34" ht="12.75">
      <c r="A1319" s="14" t="s">
        <v>4671</v>
      </c>
      <c r="B1319" s="24" t="s">
        <v>2768</v>
      </c>
      <c r="C1319" s="14" t="s">
        <v>2806</v>
      </c>
      <c r="D1319" s="14" t="s">
        <v>2911</v>
      </c>
      <c r="E1319" s="14" t="s">
        <v>4672</v>
      </c>
      <c r="F1319" s="13">
        <v>16</v>
      </c>
      <c r="G1319" s="14" t="s">
        <v>4665</v>
      </c>
      <c r="H1319" s="567">
        <v>16098</v>
      </c>
      <c r="I1319" s="655" t="s">
        <v>4677</v>
      </c>
      <c r="J1319" s="14" t="s">
        <v>4678</v>
      </c>
      <c r="K1319" s="478">
        <v>0.2</v>
      </c>
      <c r="L1319" s="220">
        <v>3.2</v>
      </c>
      <c r="M1319" s="568" t="s">
        <v>4679</v>
      </c>
      <c r="N1319" s="568"/>
      <c r="O1319" s="569"/>
      <c r="P1319" s="14" t="s">
        <v>4658</v>
      </c>
      <c r="Q1319" s="486" t="s">
        <v>4554</v>
      </c>
      <c r="R1319" s="14">
        <f>4*0.09</f>
        <v>0.36</v>
      </c>
      <c r="S1319" s="14">
        <f t="shared" si="1195"/>
        <v>1.1520000000000001E-2</v>
      </c>
      <c r="T1319" s="487">
        <f>SUM(R1311:R1320)</f>
        <v>102</v>
      </c>
      <c r="U1319">
        <f t="shared" si="1326"/>
        <v>0.35294117647058826</v>
      </c>
      <c r="V1319" s="220"/>
      <c r="W1319" s="14" t="s">
        <v>337</v>
      </c>
      <c r="X1319">
        <f t="shared" si="1366"/>
        <v>7.058823529411766E-2</v>
      </c>
      <c r="Y1319" s="499">
        <f t="shared" ref="Y1319:AA1319" si="1381">X1319</f>
        <v>7.058823529411766E-2</v>
      </c>
      <c r="Z1319" s="220">
        <f t="shared" si="1381"/>
        <v>7.058823529411766E-2</v>
      </c>
      <c r="AA1319" s="792">
        <f t="shared" si="1381"/>
        <v>7.058823529411766E-2</v>
      </c>
      <c r="AB1319" s="18" t="s">
        <v>332</v>
      </c>
      <c r="AC1319" s="13" t="s">
        <v>18</v>
      </c>
      <c r="AD1319" s="13" t="s">
        <v>3144</v>
      </c>
      <c r="AE1319" s="12">
        <v>2.3E-3</v>
      </c>
      <c r="AF1319" s="12">
        <v>4.7879999999999999E-2</v>
      </c>
      <c r="AG1319" s="12">
        <v>9.9999999999999995E-7</v>
      </c>
      <c r="AH1319" s="12">
        <v>4.4092488403675551E-4</v>
      </c>
    </row>
    <row r="1320" spans="1:34" ht="12.75">
      <c r="A1320" s="617" t="s">
        <v>4671</v>
      </c>
      <c r="B1320" s="794" t="s">
        <v>2768</v>
      </c>
      <c r="C1320" s="617" t="s">
        <v>2806</v>
      </c>
      <c r="D1320" s="617" t="s">
        <v>2911</v>
      </c>
      <c r="E1320" s="617" t="s">
        <v>4672</v>
      </c>
      <c r="F1320" s="799">
        <v>16</v>
      </c>
      <c r="G1320" s="617" t="s">
        <v>4665</v>
      </c>
      <c r="H1320" s="910">
        <v>16098</v>
      </c>
      <c r="I1320" s="849" t="s">
        <v>4677</v>
      </c>
      <c r="J1320" s="617" t="s">
        <v>4678</v>
      </c>
      <c r="K1320" s="838">
        <v>0.2</v>
      </c>
      <c r="L1320" s="725">
        <v>3.2</v>
      </c>
      <c r="M1320" s="911" t="s">
        <v>4679</v>
      </c>
      <c r="N1320" s="911"/>
      <c r="O1320" s="912"/>
      <c r="P1320" s="617" t="s">
        <v>4658</v>
      </c>
      <c r="Q1320" s="856" t="s">
        <v>4555</v>
      </c>
      <c r="R1320" s="617">
        <f>4*0.085</f>
        <v>0.34</v>
      </c>
      <c r="S1320" s="617">
        <f t="shared" si="1195"/>
        <v>1.0880000000000001E-2</v>
      </c>
      <c r="T1320" s="870">
        <f>SUM(R1311:R1320)</f>
        <v>102</v>
      </c>
      <c r="U1320" s="617">
        <f t="shared" si="1326"/>
        <v>0.33333333333333331</v>
      </c>
      <c r="V1320" s="725"/>
      <c r="W1320" s="617" t="s">
        <v>2521</v>
      </c>
      <c r="X1320" s="617">
        <f t="shared" si="1366"/>
        <v>6.6666666666666666E-2</v>
      </c>
      <c r="Y1320" s="725" t="s">
        <v>1624</v>
      </c>
      <c r="Z1320" s="725" t="s">
        <v>1666</v>
      </c>
      <c r="AA1320" s="455" t="str">
        <f>Z1320</f>
        <v>*</v>
      </c>
      <c r="AB1320" s="793" t="s">
        <v>1666</v>
      </c>
      <c r="AC1320" s="799" t="s">
        <v>1666</v>
      </c>
      <c r="AD1320" s="799" t="s">
        <v>1666</v>
      </c>
      <c r="AE1320" s="808" t="s">
        <v>1666</v>
      </c>
      <c r="AF1320" s="808" t="s">
        <v>1666</v>
      </c>
      <c r="AG1320" s="808" t="s">
        <v>1666</v>
      </c>
      <c r="AH1320" s="808" t="s">
        <v>1666</v>
      </c>
    </row>
    <row r="1321" spans="1:34" ht="14.25">
      <c r="A1321" s="14" t="s">
        <v>4683</v>
      </c>
      <c r="B1321" s="24" t="s">
        <v>2768</v>
      </c>
      <c r="C1321" s="14" t="s">
        <v>2809</v>
      </c>
      <c r="D1321" s="14" t="s">
        <v>2911</v>
      </c>
      <c r="E1321" s="14" t="s">
        <v>4684</v>
      </c>
      <c r="F1321" s="13">
        <v>26.16</v>
      </c>
      <c r="G1321" s="14" t="s">
        <v>4685</v>
      </c>
      <c r="H1321" s="13">
        <v>19034</v>
      </c>
      <c r="I1321" s="655" t="s">
        <v>4686</v>
      </c>
      <c r="J1321" s="14" t="s">
        <v>4687</v>
      </c>
      <c r="K1321" s="478">
        <v>0.72</v>
      </c>
      <c r="L1321" s="220">
        <v>19.440000000000001</v>
      </c>
      <c r="M1321" s="473" t="s">
        <v>4688</v>
      </c>
      <c r="N1321" s="479" t="s">
        <v>2937</v>
      </c>
      <c r="O1321" s="480" t="s">
        <v>2976</v>
      </c>
      <c r="P1321" s="655" t="s">
        <v>4684</v>
      </c>
      <c r="Q1321" s="14" t="s">
        <v>4689</v>
      </c>
      <c r="R1321" s="14">
        <v>87.15</v>
      </c>
      <c r="S1321" s="14">
        <f t="shared" si="1195"/>
        <v>16.941960000000002</v>
      </c>
      <c r="T1321">
        <f>SUM(R1321:R1325)</f>
        <v>100</v>
      </c>
      <c r="U1321">
        <f t="shared" ref="U1321:U1325" si="1382">R1321</f>
        <v>87.15</v>
      </c>
      <c r="V1321" s="220">
        <f t="shared" ref="V1321:V1325" si="1383">U1321</f>
        <v>87.15</v>
      </c>
      <c r="W1321" s="14" t="s">
        <v>2810</v>
      </c>
      <c r="X1321">
        <f t="shared" ref="X1321:X1542" si="1384">V1321*K1321</f>
        <v>62.748000000000005</v>
      </c>
      <c r="Y1321" s="220">
        <f>SUM(X1321,X1326)</f>
        <v>90.748000000000005</v>
      </c>
      <c r="Z1321" s="220">
        <f t="shared" ref="Z1321:AA1321" si="1385">Y1321</f>
        <v>90.748000000000005</v>
      </c>
      <c r="AA1321" s="792">
        <f t="shared" si="1385"/>
        <v>90.748000000000005</v>
      </c>
      <c r="AB1321" s="18" t="s">
        <v>2810</v>
      </c>
      <c r="AC1321" s="13" t="s">
        <v>4690</v>
      </c>
      <c r="AD1321" s="14" t="s">
        <v>4691</v>
      </c>
      <c r="AE1321" s="822">
        <v>1.752583727203297E-3</v>
      </c>
      <c r="AF1321" s="822">
        <v>9.4157200190816151E-2</v>
      </c>
      <c r="AG1321" s="823">
        <v>5.4351301115241636E-5</v>
      </c>
      <c r="AH1321" s="822">
        <v>3.99414019024745E-4</v>
      </c>
    </row>
    <row r="1322" spans="1:34" ht="14.25">
      <c r="A1322" s="14" t="s">
        <v>4683</v>
      </c>
      <c r="B1322" s="24" t="s">
        <v>2768</v>
      </c>
      <c r="C1322" s="14" t="s">
        <v>2809</v>
      </c>
      <c r="D1322" s="14" t="s">
        <v>2911</v>
      </c>
      <c r="E1322" s="14" t="s">
        <v>4684</v>
      </c>
      <c r="F1322" s="13">
        <v>26.16</v>
      </c>
      <c r="G1322" s="14" t="s">
        <v>4685</v>
      </c>
      <c r="H1322" s="567">
        <v>19034</v>
      </c>
      <c r="I1322" s="655" t="s">
        <v>4686</v>
      </c>
      <c r="J1322" s="14" t="s">
        <v>4687</v>
      </c>
      <c r="K1322" s="478">
        <v>0.72</v>
      </c>
      <c r="L1322" s="220">
        <v>19.440000000000001</v>
      </c>
      <c r="M1322" s="568" t="s">
        <v>4688</v>
      </c>
      <c r="N1322" s="479" t="s">
        <v>2937</v>
      </c>
      <c r="O1322" s="569" t="s">
        <v>2976</v>
      </c>
      <c r="P1322" s="655" t="s">
        <v>2987</v>
      </c>
      <c r="Q1322" s="486" t="s">
        <v>2981</v>
      </c>
      <c r="R1322" s="14">
        <v>7.5</v>
      </c>
      <c r="S1322" s="14">
        <f t="shared" si="1195"/>
        <v>1.458</v>
      </c>
      <c r="T1322">
        <f>SUM(R1321:R1325)</f>
        <v>100</v>
      </c>
      <c r="U1322">
        <f t="shared" si="1382"/>
        <v>7.5</v>
      </c>
      <c r="V1322" s="220">
        <f t="shared" si="1383"/>
        <v>7.5</v>
      </c>
      <c r="W1322" s="14" t="s">
        <v>349</v>
      </c>
      <c r="X1322">
        <f t="shared" si="1384"/>
        <v>5.3999999999999995</v>
      </c>
      <c r="Y1322" s="220">
        <f t="shared" ref="Y1322:AA1322" si="1386">X1322</f>
        <v>5.3999999999999995</v>
      </c>
      <c r="Z1322" s="220">
        <f t="shared" si="1386"/>
        <v>5.3999999999999995</v>
      </c>
      <c r="AA1322" s="824">
        <f t="shared" si="1386"/>
        <v>5.3999999999999995</v>
      </c>
      <c r="AB1322" s="18" t="s">
        <v>346</v>
      </c>
      <c r="AC1322" s="13" t="s">
        <v>2982</v>
      </c>
      <c r="AD1322" s="13" t="s">
        <v>2983</v>
      </c>
      <c r="AE1322" s="12">
        <v>2.9691872042618299E-2</v>
      </c>
      <c r="AF1322" s="12">
        <v>7.5368545517799299E-2</v>
      </c>
      <c r="AG1322" s="12">
        <v>2.9014018691588786E-4</v>
      </c>
      <c r="AH1322" s="12">
        <v>1.4770983615231311E-3</v>
      </c>
    </row>
    <row r="1323" spans="1:34" ht="14.25">
      <c r="A1323" s="14" t="s">
        <v>4683</v>
      </c>
      <c r="B1323" s="24" t="s">
        <v>2768</v>
      </c>
      <c r="C1323" s="14" t="s">
        <v>2809</v>
      </c>
      <c r="D1323" s="14" t="s">
        <v>2911</v>
      </c>
      <c r="E1323" s="14" t="s">
        <v>4684</v>
      </c>
      <c r="F1323" s="13">
        <v>26.16</v>
      </c>
      <c r="G1323" s="14" t="s">
        <v>4685</v>
      </c>
      <c r="H1323" s="567">
        <v>19034</v>
      </c>
      <c r="I1323" s="655" t="s">
        <v>4686</v>
      </c>
      <c r="J1323" s="14" t="s">
        <v>4687</v>
      </c>
      <c r="K1323" s="478">
        <v>0.72</v>
      </c>
      <c r="L1323" s="220">
        <v>19.440000000000001</v>
      </c>
      <c r="M1323" s="568" t="s">
        <v>4688</v>
      </c>
      <c r="N1323" s="479" t="s">
        <v>2937</v>
      </c>
      <c r="O1323" s="569" t="s">
        <v>2976</v>
      </c>
      <c r="P1323" s="14" t="s">
        <v>4692</v>
      </c>
      <c r="Q1323" s="486" t="s">
        <v>4693</v>
      </c>
      <c r="R1323" s="14">
        <v>2</v>
      </c>
      <c r="S1323" s="14">
        <f t="shared" si="1195"/>
        <v>0.38880000000000003</v>
      </c>
      <c r="T1323">
        <f>SUM(R1321:R1325)</f>
        <v>100</v>
      </c>
      <c r="U1323">
        <f t="shared" si="1382"/>
        <v>2</v>
      </c>
      <c r="V1323" s="220">
        <f t="shared" si="1383"/>
        <v>2</v>
      </c>
      <c r="W1323" s="14" t="s">
        <v>1368</v>
      </c>
      <c r="X1323">
        <f t="shared" si="1384"/>
        <v>1.44</v>
      </c>
      <c r="Y1323" s="499">
        <f t="shared" ref="Y1323:AA1323" si="1387">X1323</f>
        <v>1.44</v>
      </c>
      <c r="Z1323" s="220">
        <f t="shared" si="1387"/>
        <v>1.44</v>
      </c>
      <c r="AA1323" s="824">
        <f t="shared" si="1387"/>
        <v>1.44</v>
      </c>
      <c r="AB1323" s="18" t="s">
        <v>332</v>
      </c>
      <c r="AC1323" s="13" t="s">
        <v>18</v>
      </c>
      <c r="AD1323" s="13" t="s">
        <v>3144</v>
      </c>
      <c r="AE1323" s="12">
        <v>2.3E-3</v>
      </c>
      <c r="AF1323" s="12">
        <v>4.7879999999999999E-2</v>
      </c>
      <c r="AG1323" s="12">
        <v>9.9999999999999995E-7</v>
      </c>
      <c r="AH1323" s="12">
        <v>4.4092488403675551E-4</v>
      </c>
    </row>
    <row r="1324" spans="1:34" ht="14.25">
      <c r="A1324" s="14" t="s">
        <v>4683</v>
      </c>
      <c r="B1324" s="24" t="s">
        <v>2768</v>
      </c>
      <c r="C1324" s="14" t="s">
        <v>2809</v>
      </c>
      <c r="D1324" s="14" t="s">
        <v>2911</v>
      </c>
      <c r="E1324" s="14" t="s">
        <v>4684</v>
      </c>
      <c r="F1324" s="13">
        <v>26.16</v>
      </c>
      <c r="G1324" s="14" t="s">
        <v>4685</v>
      </c>
      <c r="H1324" s="567">
        <v>19034</v>
      </c>
      <c r="I1324" s="655" t="s">
        <v>4686</v>
      </c>
      <c r="J1324" s="14" t="s">
        <v>4687</v>
      </c>
      <c r="K1324" s="478">
        <v>0.72</v>
      </c>
      <c r="L1324" s="220">
        <v>19.440000000000001</v>
      </c>
      <c r="M1324" s="568" t="s">
        <v>4688</v>
      </c>
      <c r="N1324" s="479" t="s">
        <v>2937</v>
      </c>
      <c r="O1324" s="569" t="s">
        <v>2976</v>
      </c>
      <c r="P1324" s="14" t="s">
        <v>83</v>
      </c>
      <c r="Q1324" s="527" t="s">
        <v>3430</v>
      </c>
      <c r="R1324" s="14">
        <v>3.25</v>
      </c>
      <c r="S1324" s="14">
        <f t="shared" si="1195"/>
        <v>0.63180000000000003</v>
      </c>
      <c r="T1324">
        <f>SUM(R1321:R1325)</f>
        <v>100</v>
      </c>
      <c r="U1324">
        <f t="shared" si="1382"/>
        <v>3.25</v>
      </c>
      <c r="V1324" s="220">
        <f t="shared" si="1383"/>
        <v>3.25</v>
      </c>
      <c r="W1324" s="14" t="s">
        <v>83</v>
      </c>
      <c r="X1324">
        <f t="shared" si="1384"/>
        <v>2.34</v>
      </c>
      <c r="Y1324" s="499">
        <f t="shared" ref="Y1324:Y1325" si="1388">X1324</f>
        <v>2.34</v>
      </c>
      <c r="Z1324" s="220" t="s">
        <v>1624</v>
      </c>
      <c r="AA1324" s="824">
        <f>Y1324</f>
        <v>2.34</v>
      </c>
      <c r="AB1324" s="18" t="s">
        <v>83</v>
      </c>
      <c r="AC1324" s="14" t="s">
        <v>83</v>
      </c>
      <c r="AD1324" s="14" t="s">
        <v>2951</v>
      </c>
      <c r="AE1324" s="12">
        <v>0</v>
      </c>
      <c r="AF1324" s="12">
        <v>0</v>
      </c>
      <c r="AG1324" s="12">
        <v>0</v>
      </c>
      <c r="AH1324" s="12">
        <v>0</v>
      </c>
    </row>
    <row r="1325" spans="1:34" ht="14.25">
      <c r="A1325" s="14" t="s">
        <v>4683</v>
      </c>
      <c r="B1325" s="24" t="s">
        <v>2768</v>
      </c>
      <c r="C1325" s="14" t="s">
        <v>2809</v>
      </c>
      <c r="D1325" s="14" t="s">
        <v>2911</v>
      </c>
      <c r="E1325" s="14" t="s">
        <v>4684</v>
      </c>
      <c r="F1325" s="13">
        <v>26.16</v>
      </c>
      <c r="G1325" s="14" t="s">
        <v>4685</v>
      </c>
      <c r="H1325" s="567">
        <v>19034</v>
      </c>
      <c r="I1325" s="848" t="s">
        <v>4686</v>
      </c>
      <c r="J1325" s="135" t="s">
        <v>4687</v>
      </c>
      <c r="K1325" s="475">
        <v>0.72</v>
      </c>
      <c r="L1325" s="476">
        <v>19.440000000000001</v>
      </c>
      <c r="M1325" s="570" t="s">
        <v>4688</v>
      </c>
      <c r="N1325" s="493" t="s">
        <v>2937</v>
      </c>
      <c r="O1325" s="571" t="s">
        <v>2976</v>
      </c>
      <c r="P1325" s="135" t="s">
        <v>2994</v>
      </c>
      <c r="Q1325" s="135" t="s">
        <v>4694</v>
      </c>
      <c r="R1325" s="135">
        <v>0.1</v>
      </c>
      <c r="S1325" s="135">
        <f t="shared" si="1195"/>
        <v>1.9440000000000002E-2</v>
      </c>
      <c r="T1325" s="135">
        <f>SUM(R1321:R1325)</f>
        <v>100</v>
      </c>
      <c r="U1325" s="135">
        <f t="shared" si="1382"/>
        <v>0.1</v>
      </c>
      <c r="V1325" s="476">
        <f t="shared" si="1383"/>
        <v>0.1</v>
      </c>
      <c r="W1325" s="135" t="s">
        <v>121</v>
      </c>
      <c r="X1325">
        <f t="shared" si="1384"/>
        <v>7.1999999999999995E-2</v>
      </c>
      <c r="Y1325" s="499">
        <f t="shared" si="1388"/>
        <v>7.1999999999999995E-2</v>
      </c>
      <c r="Z1325" s="220">
        <f t="shared" ref="Z1325:AA1325" si="1389">Y1325</f>
        <v>7.1999999999999995E-2</v>
      </c>
      <c r="AA1325" s="824">
        <f t="shared" si="1389"/>
        <v>7.1999999999999995E-2</v>
      </c>
      <c r="AB1325" s="18" t="s">
        <v>121</v>
      </c>
      <c r="AC1325" s="13" t="s">
        <v>121</v>
      </c>
      <c r="AD1325" s="13" t="s">
        <v>3016</v>
      </c>
      <c r="AE1325" s="12">
        <v>4.1127278199052132E-2</v>
      </c>
      <c r="AF1325" s="12">
        <v>0.12092157867298578</v>
      </c>
      <c r="AG1325" s="12">
        <v>8.0618486208530824E-4</v>
      </c>
      <c r="AH1325" s="12">
        <v>7.5857890995260661E-3</v>
      </c>
    </row>
    <row r="1326" spans="1:34" ht="12.75">
      <c r="A1326" s="617" t="s">
        <v>4683</v>
      </c>
      <c r="B1326" s="799" t="s">
        <v>2768</v>
      </c>
      <c r="C1326" s="617" t="s">
        <v>2809</v>
      </c>
      <c r="D1326" s="617" t="s">
        <v>2911</v>
      </c>
      <c r="E1326" s="617" t="s">
        <v>4684</v>
      </c>
      <c r="F1326" s="799">
        <v>26.16</v>
      </c>
      <c r="G1326" s="617" t="s">
        <v>4685</v>
      </c>
      <c r="H1326" s="910">
        <v>19034</v>
      </c>
      <c r="I1326" s="849" t="s">
        <v>4684</v>
      </c>
      <c r="J1326" s="617" t="s">
        <v>4695</v>
      </c>
      <c r="K1326" s="838">
        <v>0.28000000000000003</v>
      </c>
      <c r="L1326" s="725">
        <v>6.72</v>
      </c>
      <c r="M1326" s="911" t="s">
        <v>4696</v>
      </c>
      <c r="N1326" s="911" t="s">
        <v>4697</v>
      </c>
      <c r="O1326" s="912"/>
      <c r="P1326" s="849" t="s">
        <v>4684</v>
      </c>
      <c r="Q1326" s="617" t="s">
        <v>4698</v>
      </c>
      <c r="R1326" s="617">
        <v>100</v>
      </c>
      <c r="S1326" s="617">
        <f t="shared" si="1195"/>
        <v>6.72</v>
      </c>
      <c r="T1326" s="617">
        <v>100</v>
      </c>
      <c r="U1326" s="617">
        <v>100</v>
      </c>
      <c r="V1326" s="725">
        <v>100</v>
      </c>
      <c r="W1326" s="617" t="s">
        <v>2810</v>
      </c>
      <c r="X1326" s="617">
        <f t="shared" si="1384"/>
        <v>28.000000000000004</v>
      </c>
      <c r="Y1326" s="725" t="s">
        <v>1666</v>
      </c>
      <c r="Z1326" s="725" t="s">
        <v>1666</v>
      </c>
      <c r="AA1326" s="825" t="str">
        <f>Z1326</f>
        <v>*</v>
      </c>
      <c r="AB1326" s="793" t="s">
        <v>1666</v>
      </c>
      <c r="AC1326" s="799" t="str">
        <f t="shared" ref="AC1326:AH1326" si="1390">AB1326</f>
        <v>*</v>
      </c>
      <c r="AD1326" s="799" t="str">
        <f t="shared" si="1390"/>
        <v>*</v>
      </c>
      <c r="AE1326" s="725" t="str">
        <f t="shared" si="1390"/>
        <v>*</v>
      </c>
      <c r="AF1326" s="725" t="str">
        <f t="shared" si="1390"/>
        <v>*</v>
      </c>
      <c r="AG1326" s="725" t="str">
        <f t="shared" si="1390"/>
        <v>*</v>
      </c>
      <c r="AH1326" s="725" t="str">
        <f t="shared" si="1390"/>
        <v>*</v>
      </c>
    </row>
    <row r="1327" spans="1:34" ht="14.25">
      <c r="A1327" s="14" t="s">
        <v>4699</v>
      </c>
      <c r="B1327" s="24" t="s">
        <v>2768</v>
      </c>
      <c r="C1327" s="14" t="s">
        <v>2811</v>
      </c>
      <c r="D1327" s="14" t="s">
        <v>2911</v>
      </c>
      <c r="E1327" s="14" t="s">
        <v>4690</v>
      </c>
      <c r="F1327" s="13">
        <v>30.13</v>
      </c>
      <c r="G1327" s="14" t="s">
        <v>4685</v>
      </c>
      <c r="H1327" s="567" t="s">
        <v>2973</v>
      </c>
      <c r="I1327" s="14" t="s">
        <v>4700</v>
      </c>
      <c r="J1327" s="14" t="s">
        <v>4701</v>
      </c>
      <c r="K1327" s="478">
        <f t="shared" ref="K1327:K1332" si="1391">25/99</f>
        <v>0.25252525252525254</v>
      </c>
      <c r="L1327" s="220">
        <v>7.68</v>
      </c>
      <c r="M1327" s="568" t="s">
        <v>4702</v>
      </c>
      <c r="N1327" s="479" t="s">
        <v>2937</v>
      </c>
      <c r="O1327" s="569" t="s">
        <v>2976</v>
      </c>
      <c r="P1327" s="655" t="s">
        <v>4684</v>
      </c>
      <c r="Q1327" s="14" t="s">
        <v>4689</v>
      </c>
      <c r="R1327" s="14">
        <v>70</v>
      </c>
      <c r="S1327" s="14">
        <f t="shared" si="1195"/>
        <v>5.3760000000000003</v>
      </c>
      <c r="T1327">
        <f>SUM(R1327:R1332)</f>
        <v>101.1</v>
      </c>
      <c r="U1327">
        <f>R1327/T1332*100</f>
        <v>69.238377843719093</v>
      </c>
      <c r="V1327" s="220">
        <f t="shared" ref="V1327:V1332" si="1392">U1327</f>
        <v>69.238377843719093</v>
      </c>
      <c r="W1327" s="14" t="s">
        <v>2810</v>
      </c>
      <c r="X1327">
        <f t="shared" si="1384"/>
        <v>17.484438849424013</v>
      </c>
      <c r="Y1327" s="220">
        <f>SUM(X1327,X1333,X1339,X1341)</f>
        <v>69.688067172455334</v>
      </c>
      <c r="Z1327" s="220">
        <f t="shared" ref="Z1327:AA1327" si="1393">Y1327</f>
        <v>69.688067172455334</v>
      </c>
      <c r="AA1327" s="792">
        <f t="shared" si="1393"/>
        <v>69.688067172455334</v>
      </c>
      <c r="AB1327" s="18" t="s">
        <v>2810</v>
      </c>
      <c r="AC1327" s="13" t="s">
        <v>4690</v>
      </c>
      <c r="AD1327" s="14" t="s">
        <v>4691</v>
      </c>
      <c r="AE1327" s="822">
        <v>1.752583727203297E-3</v>
      </c>
      <c r="AF1327" s="822">
        <v>9.4157200190816151E-2</v>
      </c>
      <c r="AG1327" s="823">
        <v>5.4351301115241636E-5</v>
      </c>
      <c r="AH1327" s="822">
        <v>3.99414019024745E-4</v>
      </c>
    </row>
    <row r="1328" spans="1:34" ht="14.25">
      <c r="A1328" s="14" t="s">
        <v>4699</v>
      </c>
      <c r="B1328" s="24" t="s">
        <v>2768</v>
      </c>
      <c r="C1328" s="14" t="s">
        <v>2811</v>
      </c>
      <c r="D1328" s="14" t="s">
        <v>2911</v>
      </c>
      <c r="E1328" s="14" t="s">
        <v>4690</v>
      </c>
      <c r="F1328" s="13">
        <v>30.13</v>
      </c>
      <c r="G1328" s="14" t="s">
        <v>4685</v>
      </c>
      <c r="H1328" s="567" t="s">
        <v>2973</v>
      </c>
      <c r="I1328" s="14" t="s">
        <v>4700</v>
      </c>
      <c r="J1328" s="14" t="s">
        <v>4701</v>
      </c>
      <c r="K1328" s="478">
        <f t="shared" si="1391"/>
        <v>0.25252525252525254</v>
      </c>
      <c r="L1328" s="220">
        <v>7.68</v>
      </c>
      <c r="M1328" s="568" t="s">
        <v>4702</v>
      </c>
      <c r="N1328" s="479" t="s">
        <v>2937</v>
      </c>
      <c r="O1328" s="569" t="s">
        <v>2976</v>
      </c>
      <c r="P1328" s="14" t="s">
        <v>330</v>
      </c>
      <c r="Q1328" s="486" t="s">
        <v>3113</v>
      </c>
      <c r="R1328" s="14">
        <v>18</v>
      </c>
      <c r="S1328" s="14">
        <f t="shared" si="1195"/>
        <v>1.3823999999999999</v>
      </c>
      <c r="T1328">
        <f>SUM(R1327:R1332)</f>
        <v>101.1</v>
      </c>
      <c r="U1328">
        <f>R1328*100/T1332</f>
        <v>17.804154302670625</v>
      </c>
      <c r="V1328" s="220">
        <f t="shared" si="1392"/>
        <v>17.804154302670625</v>
      </c>
      <c r="W1328" s="14" t="s">
        <v>332</v>
      </c>
      <c r="X1328">
        <f t="shared" si="1384"/>
        <v>4.4959985612804614</v>
      </c>
      <c r="Y1328" s="220">
        <f>SUM(X1328,X1335)</f>
        <v>8.7173162154339359</v>
      </c>
      <c r="Z1328" s="220">
        <f t="shared" ref="Z1328:AA1328" si="1394">Y1328</f>
        <v>8.7173162154339359</v>
      </c>
      <c r="AA1328" s="792">
        <f t="shared" si="1394"/>
        <v>8.7173162154339359</v>
      </c>
      <c r="AB1328" s="18" t="s">
        <v>332</v>
      </c>
      <c r="AC1328" s="13" t="s">
        <v>4703</v>
      </c>
      <c r="AD1328" s="13" t="s">
        <v>18</v>
      </c>
      <c r="AE1328" s="12">
        <v>2.3E-3</v>
      </c>
      <c r="AF1328" s="12">
        <v>4.7879999999999999E-2</v>
      </c>
      <c r="AG1328" s="12">
        <v>9.9999999999999995E-7</v>
      </c>
      <c r="AH1328" s="12">
        <v>4.4092488403675551E-4</v>
      </c>
    </row>
    <row r="1329" spans="1:34" ht="14.25">
      <c r="A1329" s="14" t="s">
        <v>4699</v>
      </c>
      <c r="B1329" s="24" t="s">
        <v>2768</v>
      </c>
      <c r="C1329" s="14" t="s">
        <v>2811</v>
      </c>
      <c r="D1329" s="14" t="s">
        <v>2911</v>
      </c>
      <c r="E1329" s="14" t="s">
        <v>4690</v>
      </c>
      <c r="F1329" s="13">
        <v>30.13</v>
      </c>
      <c r="G1329" s="14" t="s">
        <v>4685</v>
      </c>
      <c r="H1329" s="567" t="s">
        <v>2973</v>
      </c>
      <c r="I1329" s="14" t="s">
        <v>4700</v>
      </c>
      <c r="J1329" s="14" t="s">
        <v>4701</v>
      </c>
      <c r="K1329" s="478">
        <f t="shared" si="1391"/>
        <v>0.25252525252525254</v>
      </c>
      <c r="L1329" s="220">
        <v>7.68</v>
      </c>
      <c r="M1329" s="568" t="s">
        <v>4702</v>
      </c>
      <c r="N1329" s="479" t="s">
        <v>2937</v>
      </c>
      <c r="O1329" s="569" t="s">
        <v>2976</v>
      </c>
      <c r="P1329" s="655" t="s">
        <v>2987</v>
      </c>
      <c r="Q1329" s="486" t="s">
        <v>2981</v>
      </c>
      <c r="R1329" s="14">
        <v>10</v>
      </c>
      <c r="S1329" s="14">
        <f t="shared" si="1195"/>
        <v>0.76800000000000002</v>
      </c>
      <c r="T1329">
        <f>SUM(R1327:R1332)</f>
        <v>101.1</v>
      </c>
      <c r="U1329">
        <f>R1329*100/T1332</f>
        <v>9.8911968348170127</v>
      </c>
      <c r="V1329" s="220">
        <f t="shared" si="1392"/>
        <v>9.8911968348170127</v>
      </c>
      <c r="W1329" s="14" t="s">
        <v>349</v>
      </c>
      <c r="X1329">
        <f t="shared" si="1384"/>
        <v>2.4977769784891448</v>
      </c>
      <c r="Y1329" s="220">
        <f>SUM(X1329,X1334,X1337,X1340)</f>
        <v>15.900460530426425</v>
      </c>
      <c r="Z1329" s="220">
        <f t="shared" ref="Z1329:AA1329" si="1395">Y1329</f>
        <v>15.900460530426425</v>
      </c>
      <c r="AA1329" s="792">
        <f t="shared" si="1395"/>
        <v>15.900460530426425</v>
      </c>
      <c r="AB1329" s="18" t="s">
        <v>2812</v>
      </c>
      <c r="AC1329" s="13" t="s">
        <v>2982</v>
      </c>
      <c r="AD1329" s="13" t="s">
        <v>2983</v>
      </c>
      <c r="AE1329" s="12">
        <v>2.9691872042618299E-2</v>
      </c>
      <c r="AF1329" s="12">
        <v>7.5368545517799299E-2</v>
      </c>
      <c r="AG1329" s="12">
        <v>2.9014018691588786E-4</v>
      </c>
      <c r="AH1329" s="12">
        <v>1.4770983615231311E-3</v>
      </c>
    </row>
    <row r="1330" spans="1:34" ht="14.25">
      <c r="A1330" s="14" t="s">
        <v>4699</v>
      </c>
      <c r="B1330" s="24" t="s">
        <v>2768</v>
      </c>
      <c r="C1330" s="14" t="s">
        <v>2811</v>
      </c>
      <c r="D1330" s="14" t="s">
        <v>2911</v>
      </c>
      <c r="E1330" s="14" t="s">
        <v>4690</v>
      </c>
      <c r="F1330" s="13">
        <v>30.13</v>
      </c>
      <c r="G1330" s="14" t="s">
        <v>4685</v>
      </c>
      <c r="H1330" s="567" t="s">
        <v>2973</v>
      </c>
      <c r="I1330" s="14" t="s">
        <v>4700</v>
      </c>
      <c r="J1330" s="14" t="s">
        <v>4701</v>
      </c>
      <c r="K1330" s="478">
        <f t="shared" si="1391"/>
        <v>0.25252525252525254</v>
      </c>
      <c r="L1330" s="220">
        <v>7.68</v>
      </c>
      <c r="M1330" s="568" t="s">
        <v>4702</v>
      </c>
      <c r="N1330" s="479" t="s">
        <v>2937</v>
      </c>
      <c r="O1330" s="569" t="s">
        <v>2976</v>
      </c>
      <c r="P1330" s="14" t="s">
        <v>83</v>
      </c>
      <c r="Q1330" s="527" t="s">
        <v>3430</v>
      </c>
      <c r="R1330" s="14">
        <v>2</v>
      </c>
      <c r="S1330" s="14">
        <f t="shared" si="1195"/>
        <v>0.15359999999999999</v>
      </c>
      <c r="T1330">
        <f>SUM(R1327:R1332)</f>
        <v>101.1</v>
      </c>
      <c r="U1330">
        <f>R1330*100/T1332</f>
        <v>1.9782393669634026</v>
      </c>
      <c r="V1330" s="220">
        <f t="shared" si="1392"/>
        <v>1.9782393669634026</v>
      </c>
      <c r="W1330" s="14" t="s">
        <v>83</v>
      </c>
      <c r="X1330">
        <f t="shared" si="1384"/>
        <v>0.49955539569782897</v>
      </c>
      <c r="Y1330" s="220">
        <f>SUM(X1330,X1336)</f>
        <v>1.2031083380567416</v>
      </c>
      <c r="Z1330" s="220">
        <f>SUM(X1330,X1336)</f>
        <v>1.2031083380567416</v>
      </c>
      <c r="AA1330" s="792">
        <f t="shared" ref="AA1330:AA1342" si="1396">Z1330</f>
        <v>1.2031083380567416</v>
      </c>
      <c r="AB1330" s="18" t="s">
        <v>83</v>
      </c>
      <c r="AC1330" s="13" t="s">
        <v>83</v>
      </c>
      <c r="AD1330" s="13" t="s">
        <v>2951</v>
      </c>
      <c r="AE1330" s="12">
        <v>0</v>
      </c>
      <c r="AF1330" s="12">
        <v>0</v>
      </c>
      <c r="AG1330" s="12">
        <v>0</v>
      </c>
      <c r="AH1330" s="12">
        <v>0</v>
      </c>
    </row>
    <row r="1331" spans="1:34" ht="14.25">
      <c r="A1331" s="14" t="s">
        <v>4699</v>
      </c>
      <c r="B1331" s="24" t="s">
        <v>2768</v>
      </c>
      <c r="C1331" s="14" t="s">
        <v>2811</v>
      </c>
      <c r="D1331" s="14" t="s">
        <v>2911</v>
      </c>
      <c r="E1331" s="14" t="s">
        <v>4690</v>
      </c>
      <c r="F1331" s="13">
        <v>30.13</v>
      </c>
      <c r="G1331" s="14" t="s">
        <v>4685</v>
      </c>
      <c r="H1331" s="567" t="s">
        <v>2973</v>
      </c>
      <c r="I1331" s="14" t="s">
        <v>4700</v>
      </c>
      <c r="J1331" s="14" t="s">
        <v>4701</v>
      </c>
      <c r="K1331" s="478">
        <f t="shared" si="1391"/>
        <v>0.25252525252525254</v>
      </c>
      <c r="L1331" s="220">
        <v>7.68</v>
      </c>
      <c r="M1331" s="568" t="s">
        <v>4702</v>
      </c>
      <c r="N1331" s="479" t="s">
        <v>2937</v>
      </c>
      <c r="O1331" s="569" t="s">
        <v>2976</v>
      </c>
      <c r="P1331" s="14" t="s">
        <v>3013</v>
      </c>
      <c r="Q1331" s="88" t="s">
        <v>4704</v>
      </c>
      <c r="R1331" s="14">
        <v>1</v>
      </c>
      <c r="S1331" s="14">
        <f t="shared" si="1195"/>
        <v>7.6799999999999993E-2</v>
      </c>
      <c r="T1331">
        <f>SUM(R1327:R1332)</f>
        <v>101.1</v>
      </c>
      <c r="U1331">
        <f>R1331*100/T1332</f>
        <v>0.98911968348170132</v>
      </c>
      <c r="V1331" s="220">
        <f t="shared" si="1392"/>
        <v>0.98911968348170132</v>
      </c>
      <c r="W1331" s="14" t="s">
        <v>88</v>
      </c>
      <c r="X1331">
        <f t="shared" si="1384"/>
        <v>0.24977769784891449</v>
      </c>
      <c r="Y1331" s="220">
        <f>SUM(X1331,X1332,X1338,X1342)</f>
        <v>4.4910477436275746</v>
      </c>
      <c r="Z1331" s="220">
        <f>SUM(X1331,X1342)</f>
        <v>4.2901817382529552</v>
      </c>
      <c r="AA1331" s="792">
        <f t="shared" si="1396"/>
        <v>4.2901817382529552</v>
      </c>
      <c r="AB1331" s="18" t="s">
        <v>88</v>
      </c>
      <c r="AC1331" s="13" t="s">
        <v>3015</v>
      </c>
      <c r="AD1331" s="14" t="s">
        <v>3016</v>
      </c>
      <c r="AE1331" s="12">
        <v>5.5280749052132698E-2</v>
      </c>
      <c r="AF1331" s="12">
        <v>0.16253532298578199</v>
      </c>
      <c r="AG1331" s="12">
        <v>1.0836239353080568E-3</v>
      </c>
      <c r="AH1331" s="12">
        <v>1.0196349526066351E-2</v>
      </c>
    </row>
    <row r="1332" spans="1:34" ht="14.25">
      <c r="A1332" s="14" t="s">
        <v>4699</v>
      </c>
      <c r="B1332" s="24" t="s">
        <v>2768</v>
      </c>
      <c r="C1332" s="14" t="s">
        <v>2811</v>
      </c>
      <c r="D1332" s="14" t="s">
        <v>2911</v>
      </c>
      <c r="E1332" s="14" t="s">
        <v>4690</v>
      </c>
      <c r="F1332" s="13">
        <v>30.13</v>
      </c>
      <c r="G1332" s="14" t="s">
        <v>4685</v>
      </c>
      <c r="H1332" s="567" t="s">
        <v>2973</v>
      </c>
      <c r="I1332" s="135" t="s">
        <v>4700</v>
      </c>
      <c r="J1332" s="135" t="s">
        <v>4701</v>
      </c>
      <c r="K1332" s="475">
        <f t="shared" si="1391"/>
        <v>0.25252525252525254</v>
      </c>
      <c r="L1332" s="476">
        <v>7.68</v>
      </c>
      <c r="M1332" s="570" t="s">
        <v>4702</v>
      </c>
      <c r="N1332" s="493" t="s">
        <v>2937</v>
      </c>
      <c r="O1332" s="571" t="s">
        <v>2976</v>
      </c>
      <c r="P1332" s="135" t="s">
        <v>2994</v>
      </c>
      <c r="Q1332" s="135" t="s">
        <v>4705</v>
      </c>
      <c r="R1332" s="135">
        <v>0.1</v>
      </c>
      <c r="S1332" s="135">
        <f t="shared" si="1195"/>
        <v>7.6800000000000002E-3</v>
      </c>
      <c r="T1332" s="584">
        <f>SUM(R1327:R1332)</f>
        <v>101.1</v>
      </c>
      <c r="U1332" s="135">
        <f>R1332*100/T1332</f>
        <v>9.8911968348170135E-2</v>
      </c>
      <c r="V1332" s="476">
        <f t="shared" si="1392"/>
        <v>9.8911968348170135E-2</v>
      </c>
      <c r="W1332" s="135" t="s">
        <v>121</v>
      </c>
      <c r="X1332">
        <f t="shared" si="1384"/>
        <v>2.4977769784891451E-2</v>
      </c>
      <c r="Y1332" s="220" t="s">
        <v>1666</v>
      </c>
      <c r="Z1332" s="220">
        <f>SUM(X1332,X1338)</f>
        <v>0.20086600537461957</v>
      </c>
      <c r="AA1332" s="792">
        <f t="shared" si="1396"/>
        <v>0.20086600537461957</v>
      </c>
      <c r="AB1332" s="18" t="s">
        <v>121</v>
      </c>
      <c r="AC1332" s="13" t="s">
        <v>121</v>
      </c>
      <c r="AD1332" s="14" t="s">
        <v>3016</v>
      </c>
      <c r="AE1332" s="12">
        <v>4.1127278199052132E-2</v>
      </c>
      <c r="AF1332" s="12">
        <v>0.12092157867298578</v>
      </c>
      <c r="AG1332" s="12">
        <v>8.0618486208530824E-4</v>
      </c>
      <c r="AH1332" s="12">
        <v>7.5857890995260661E-3</v>
      </c>
    </row>
    <row r="1333" spans="1:34" ht="14.25">
      <c r="A1333" s="14" t="s">
        <v>4699</v>
      </c>
      <c r="B1333" s="24" t="s">
        <v>2768</v>
      </c>
      <c r="C1333" s="14" t="s">
        <v>2811</v>
      </c>
      <c r="D1333" s="14" t="s">
        <v>2911</v>
      </c>
      <c r="E1333" s="14" t="s">
        <v>4690</v>
      </c>
      <c r="F1333" s="13">
        <v>30.13</v>
      </c>
      <c r="G1333" s="14" t="s">
        <v>4685</v>
      </c>
      <c r="H1333" s="567" t="s">
        <v>2973</v>
      </c>
      <c r="I1333" s="14" t="s">
        <v>4690</v>
      </c>
      <c r="J1333" s="14" t="s">
        <v>4706</v>
      </c>
      <c r="K1333" s="478">
        <f t="shared" ref="K1333:K1338" si="1397">35/99</f>
        <v>0.35353535353535354</v>
      </c>
      <c r="L1333" s="220">
        <v>10.56</v>
      </c>
      <c r="M1333" s="568" t="s">
        <v>4707</v>
      </c>
      <c r="N1333" s="479" t="s">
        <v>2937</v>
      </c>
      <c r="O1333" s="569" t="s">
        <v>4708</v>
      </c>
      <c r="P1333" s="655" t="s">
        <v>4684</v>
      </c>
      <c r="Q1333" s="14" t="s">
        <v>4689</v>
      </c>
      <c r="R1333" s="14">
        <v>68</v>
      </c>
      <c r="S1333" s="14">
        <f t="shared" si="1195"/>
        <v>7.1808000000000005</v>
      </c>
      <c r="T1333">
        <f>SUM(R1333:R1338)</f>
        <v>100.5</v>
      </c>
      <c r="U1333">
        <f>R1333/T1338*100</f>
        <v>67.661691542288565</v>
      </c>
      <c r="V1333" s="220">
        <v>67.661691542288565</v>
      </c>
      <c r="W1333" s="14" t="s">
        <v>2810</v>
      </c>
      <c r="X1333">
        <f t="shared" si="1384"/>
        <v>23.920800040203027</v>
      </c>
      <c r="Y1333" s="220" t="s">
        <v>1666</v>
      </c>
      <c r="Z1333" s="220" t="s">
        <v>1666</v>
      </c>
      <c r="AA1333" s="792" t="str">
        <f t="shared" si="1396"/>
        <v>*</v>
      </c>
      <c r="AB1333" s="458" t="str">
        <f t="shared" ref="AB1333:AH1333" si="1398">AA1333</f>
        <v>*</v>
      </c>
      <c r="AC1333" s="458" t="str">
        <f t="shared" si="1398"/>
        <v>*</v>
      </c>
      <c r="AD1333" s="458" t="str">
        <f t="shared" si="1398"/>
        <v>*</v>
      </c>
      <c r="AE1333" s="462" t="str">
        <f t="shared" si="1398"/>
        <v>*</v>
      </c>
      <c r="AF1333" s="462" t="str">
        <f t="shared" si="1398"/>
        <v>*</v>
      </c>
      <c r="AG1333" s="462" t="str">
        <f t="shared" si="1398"/>
        <v>*</v>
      </c>
      <c r="AH1333" s="462" t="str">
        <f t="shared" si="1398"/>
        <v>*</v>
      </c>
    </row>
    <row r="1334" spans="1:34" ht="14.25">
      <c r="A1334" s="14" t="s">
        <v>4699</v>
      </c>
      <c r="B1334" s="24" t="s">
        <v>2768</v>
      </c>
      <c r="C1334" s="14" t="s">
        <v>2811</v>
      </c>
      <c r="D1334" s="14" t="s">
        <v>2911</v>
      </c>
      <c r="E1334" s="14" t="s">
        <v>4690</v>
      </c>
      <c r="F1334" s="13">
        <v>30.13</v>
      </c>
      <c r="G1334" s="14" t="s">
        <v>4685</v>
      </c>
      <c r="H1334" s="567" t="s">
        <v>2973</v>
      </c>
      <c r="I1334" s="14" t="s">
        <v>4690</v>
      </c>
      <c r="J1334" s="14" t="s">
        <v>4706</v>
      </c>
      <c r="K1334" s="478">
        <f t="shared" si="1397"/>
        <v>0.35353535353535354</v>
      </c>
      <c r="L1334" s="220">
        <v>10.56</v>
      </c>
      <c r="M1334" s="568" t="s">
        <v>4707</v>
      </c>
      <c r="N1334" s="479" t="s">
        <v>2937</v>
      </c>
      <c r="O1334" s="569" t="s">
        <v>4708</v>
      </c>
      <c r="P1334" s="655" t="s">
        <v>2987</v>
      </c>
      <c r="Q1334" s="486" t="s">
        <v>2981</v>
      </c>
      <c r="R1334" s="14">
        <v>17</v>
      </c>
      <c r="S1334" s="14">
        <f t="shared" si="1195"/>
        <v>1.7952000000000001</v>
      </c>
      <c r="T1334">
        <f>SUM(R1333:R1338)</f>
        <v>100.5</v>
      </c>
      <c r="U1334">
        <f>R1334/T1338*100</f>
        <v>16.915422885572141</v>
      </c>
      <c r="V1334" s="220">
        <v>16.915422885572141</v>
      </c>
      <c r="W1334" s="14" t="s">
        <v>4709</v>
      </c>
      <c r="X1334">
        <f t="shared" si="1384"/>
        <v>5.9802000100507566</v>
      </c>
      <c r="Y1334" s="220" t="s">
        <v>1666</v>
      </c>
      <c r="Z1334" s="220" t="s">
        <v>1666</v>
      </c>
      <c r="AA1334" s="792" t="str">
        <f t="shared" si="1396"/>
        <v>*</v>
      </c>
      <c r="AB1334" s="458" t="str">
        <f t="shared" ref="AB1334:AH1334" si="1399">AA1334</f>
        <v>*</v>
      </c>
      <c r="AC1334" s="458" t="str">
        <f t="shared" si="1399"/>
        <v>*</v>
      </c>
      <c r="AD1334" s="458" t="str">
        <f t="shared" si="1399"/>
        <v>*</v>
      </c>
      <c r="AE1334" s="462" t="str">
        <f t="shared" si="1399"/>
        <v>*</v>
      </c>
      <c r="AF1334" s="462" t="str">
        <f t="shared" si="1399"/>
        <v>*</v>
      </c>
      <c r="AG1334" s="462" t="str">
        <f t="shared" si="1399"/>
        <v>*</v>
      </c>
      <c r="AH1334" s="462" t="str">
        <f t="shared" si="1399"/>
        <v>*</v>
      </c>
    </row>
    <row r="1335" spans="1:34" ht="14.25">
      <c r="A1335" s="14" t="s">
        <v>4699</v>
      </c>
      <c r="B1335" s="24" t="s">
        <v>2768</v>
      </c>
      <c r="C1335" s="14" t="s">
        <v>2811</v>
      </c>
      <c r="D1335" s="14" t="s">
        <v>2911</v>
      </c>
      <c r="E1335" s="14" t="s">
        <v>4690</v>
      </c>
      <c r="F1335" s="13">
        <v>30.13</v>
      </c>
      <c r="G1335" s="14" t="s">
        <v>4685</v>
      </c>
      <c r="H1335" s="567" t="s">
        <v>2973</v>
      </c>
      <c r="I1335" s="14" t="s">
        <v>4690</v>
      </c>
      <c r="J1335" s="14" t="s">
        <v>4706</v>
      </c>
      <c r="K1335" s="478">
        <f t="shared" si="1397"/>
        <v>0.35353535353535354</v>
      </c>
      <c r="L1335" s="220">
        <v>10.56</v>
      </c>
      <c r="M1335" s="568" t="s">
        <v>4707</v>
      </c>
      <c r="N1335" s="479" t="s">
        <v>2937</v>
      </c>
      <c r="O1335" s="569" t="s">
        <v>4708</v>
      </c>
      <c r="P1335" s="14" t="s">
        <v>330</v>
      </c>
      <c r="Q1335" s="486" t="s">
        <v>3113</v>
      </c>
      <c r="R1335" s="14">
        <v>12</v>
      </c>
      <c r="S1335" s="14">
        <f t="shared" si="1195"/>
        <v>1.2672000000000001</v>
      </c>
      <c r="T1335">
        <f>SUM(R1333:R1338)</f>
        <v>100.5</v>
      </c>
      <c r="U1335">
        <f>R1335/T1338*100</f>
        <v>11.940298507462686</v>
      </c>
      <c r="V1335" s="220">
        <v>11.940298507462686</v>
      </c>
      <c r="W1335" s="14" t="s">
        <v>332</v>
      </c>
      <c r="X1335">
        <f t="shared" si="1384"/>
        <v>4.2213176541534745</v>
      </c>
      <c r="Y1335" s="220" t="s">
        <v>1666</v>
      </c>
      <c r="Z1335" s="220" t="s">
        <v>1666</v>
      </c>
      <c r="AA1335" s="792" t="str">
        <f t="shared" si="1396"/>
        <v>*</v>
      </c>
      <c r="AB1335" s="458" t="str">
        <f t="shared" ref="AB1335:AH1335" si="1400">AA1335</f>
        <v>*</v>
      </c>
      <c r="AC1335" s="458" t="str">
        <f t="shared" si="1400"/>
        <v>*</v>
      </c>
      <c r="AD1335" s="458" t="str">
        <f t="shared" si="1400"/>
        <v>*</v>
      </c>
      <c r="AE1335" s="462" t="str">
        <f t="shared" si="1400"/>
        <v>*</v>
      </c>
      <c r="AF1335" s="462" t="str">
        <f t="shared" si="1400"/>
        <v>*</v>
      </c>
      <c r="AG1335" s="462" t="str">
        <f t="shared" si="1400"/>
        <v>*</v>
      </c>
      <c r="AH1335" s="462" t="str">
        <f t="shared" si="1400"/>
        <v>*</v>
      </c>
    </row>
    <row r="1336" spans="1:34" ht="14.25">
      <c r="A1336" s="14" t="s">
        <v>4699</v>
      </c>
      <c r="B1336" s="24" t="s">
        <v>2768</v>
      </c>
      <c r="C1336" s="14" t="s">
        <v>2811</v>
      </c>
      <c r="D1336" s="14" t="s">
        <v>2911</v>
      </c>
      <c r="E1336" s="14" t="s">
        <v>4690</v>
      </c>
      <c r="F1336" s="13">
        <v>30.13</v>
      </c>
      <c r="G1336" s="14" t="s">
        <v>4685</v>
      </c>
      <c r="H1336" s="567" t="s">
        <v>2973</v>
      </c>
      <c r="I1336" s="14" t="s">
        <v>4690</v>
      </c>
      <c r="J1336" s="14" t="s">
        <v>4706</v>
      </c>
      <c r="K1336" s="478">
        <f t="shared" si="1397"/>
        <v>0.35353535353535354</v>
      </c>
      <c r="L1336" s="220">
        <v>10.56</v>
      </c>
      <c r="M1336" s="568" t="s">
        <v>4707</v>
      </c>
      <c r="N1336" s="479" t="s">
        <v>2937</v>
      </c>
      <c r="O1336" s="569" t="s">
        <v>4708</v>
      </c>
      <c r="P1336" s="14" t="s">
        <v>83</v>
      </c>
      <c r="Q1336" s="527" t="s">
        <v>3430</v>
      </c>
      <c r="R1336" s="14">
        <v>2</v>
      </c>
      <c r="S1336" s="14">
        <f t="shared" si="1195"/>
        <v>0.21120000000000003</v>
      </c>
      <c r="T1336" s="560">
        <f>SUM(R1333:R1338)</f>
        <v>100.5</v>
      </c>
      <c r="U1336">
        <f>R1336/T1338*100</f>
        <v>1.9900497512437811</v>
      </c>
      <c r="V1336" s="220">
        <v>1.9900497512437811</v>
      </c>
      <c r="W1336" s="14" t="s">
        <v>83</v>
      </c>
      <c r="X1336">
        <f t="shared" si="1384"/>
        <v>0.70355294235891253</v>
      </c>
      <c r="Y1336" s="220" t="s">
        <v>1624</v>
      </c>
      <c r="Z1336" s="220" t="s">
        <v>1666</v>
      </c>
      <c r="AA1336" s="792" t="str">
        <f t="shared" si="1396"/>
        <v>*</v>
      </c>
      <c r="AB1336" s="458" t="str">
        <f t="shared" ref="AB1336:AH1336" si="1401">AA1336</f>
        <v>*</v>
      </c>
      <c r="AC1336" s="458" t="str">
        <f t="shared" si="1401"/>
        <v>*</v>
      </c>
      <c r="AD1336" s="458" t="str">
        <f t="shared" si="1401"/>
        <v>*</v>
      </c>
      <c r="AE1336" s="462" t="str">
        <f t="shared" si="1401"/>
        <v>*</v>
      </c>
      <c r="AF1336" s="462" t="str">
        <f t="shared" si="1401"/>
        <v>*</v>
      </c>
      <c r="AG1336" s="462" t="str">
        <f t="shared" si="1401"/>
        <v>*</v>
      </c>
      <c r="AH1336" s="462" t="str">
        <f t="shared" si="1401"/>
        <v>*</v>
      </c>
    </row>
    <row r="1337" spans="1:34" ht="14.25">
      <c r="A1337" s="14" t="s">
        <v>4699</v>
      </c>
      <c r="B1337" s="24" t="s">
        <v>2768</v>
      </c>
      <c r="C1337" s="14" t="s">
        <v>2811</v>
      </c>
      <c r="D1337" s="14" t="s">
        <v>2911</v>
      </c>
      <c r="E1337" s="14" t="s">
        <v>4690</v>
      </c>
      <c r="F1337" s="13">
        <v>30.13</v>
      </c>
      <c r="G1337" s="14" t="s">
        <v>4685</v>
      </c>
      <c r="H1337" s="567" t="s">
        <v>2973</v>
      </c>
      <c r="I1337" s="14" t="s">
        <v>4690</v>
      </c>
      <c r="J1337" s="14" t="s">
        <v>4706</v>
      </c>
      <c r="K1337" s="478">
        <f t="shared" si="1397"/>
        <v>0.35353535353535354</v>
      </c>
      <c r="L1337" s="220">
        <v>10.56</v>
      </c>
      <c r="M1337" s="568" t="s">
        <v>4707</v>
      </c>
      <c r="N1337" s="479" t="s">
        <v>2937</v>
      </c>
      <c r="O1337" s="569" t="s">
        <v>4708</v>
      </c>
      <c r="P1337" s="14" t="s">
        <v>3021</v>
      </c>
      <c r="Q1337" s="486" t="s">
        <v>3022</v>
      </c>
      <c r="R1337" s="14">
        <v>1</v>
      </c>
      <c r="S1337" s="14">
        <f t="shared" si="1195"/>
        <v>0.10560000000000001</v>
      </c>
      <c r="T1337" s="560">
        <f>SUM(R1333:R1338)</f>
        <v>100.5</v>
      </c>
      <c r="U1337">
        <f>R1337/T1338*100</f>
        <v>0.99502487562189057</v>
      </c>
      <c r="V1337" s="220">
        <v>0.99502487562189057</v>
      </c>
      <c r="W1337" s="14" t="s">
        <v>346</v>
      </c>
      <c r="X1337">
        <f t="shared" si="1384"/>
        <v>0.35177647117945626</v>
      </c>
      <c r="Y1337" s="220" t="s">
        <v>1666</v>
      </c>
      <c r="Z1337" s="220" t="s">
        <v>1666</v>
      </c>
      <c r="AA1337" s="792" t="str">
        <f t="shared" si="1396"/>
        <v>*</v>
      </c>
      <c r="AB1337" s="458" t="str">
        <f t="shared" ref="AB1337:AH1337" si="1402">AA1337</f>
        <v>*</v>
      </c>
      <c r="AC1337" s="458" t="str">
        <f t="shared" si="1402"/>
        <v>*</v>
      </c>
      <c r="AD1337" s="458" t="str">
        <f t="shared" si="1402"/>
        <v>*</v>
      </c>
      <c r="AE1337" s="462" t="str">
        <f t="shared" si="1402"/>
        <v>*</v>
      </c>
      <c r="AF1337" s="462" t="str">
        <f t="shared" si="1402"/>
        <v>*</v>
      </c>
      <c r="AG1337" s="462" t="str">
        <f t="shared" si="1402"/>
        <v>*</v>
      </c>
      <c r="AH1337" s="462" t="str">
        <f t="shared" si="1402"/>
        <v>*</v>
      </c>
    </row>
    <row r="1338" spans="1:34" ht="14.25">
      <c r="A1338" s="14" t="s">
        <v>4699</v>
      </c>
      <c r="B1338" s="24" t="s">
        <v>2768</v>
      </c>
      <c r="C1338" s="14" t="s">
        <v>2811</v>
      </c>
      <c r="D1338" s="14" t="s">
        <v>2911</v>
      </c>
      <c r="E1338" s="14" t="s">
        <v>4690</v>
      </c>
      <c r="F1338" s="13">
        <v>30.13</v>
      </c>
      <c r="G1338" s="14" t="s">
        <v>4685</v>
      </c>
      <c r="H1338" s="567" t="s">
        <v>2973</v>
      </c>
      <c r="I1338" s="135" t="s">
        <v>4690</v>
      </c>
      <c r="J1338" s="135" t="s">
        <v>4706</v>
      </c>
      <c r="K1338" s="475">
        <f t="shared" si="1397"/>
        <v>0.35353535353535354</v>
      </c>
      <c r="L1338" s="476">
        <v>10.56</v>
      </c>
      <c r="M1338" s="570" t="s">
        <v>4707</v>
      </c>
      <c r="N1338" s="493" t="s">
        <v>2937</v>
      </c>
      <c r="O1338" s="571" t="s">
        <v>4708</v>
      </c>
      <c r="P1338" s="135" t="s">
        <v>2994</v>
      </c>
      <c r="Q1338" s="561" t="s">
        <v>2995</v>
      </c>
      <c r="R1338" s="135">
        <v>0.5</v>
      </c>
      <c r="S1338" s="135">
        <f t="shared" si="1195"/>
        <v>5.2800000000000007E-2</v>
      </c>
      <c r="T1338" s="584">
        <f>SUM(R1333:R1338)</f>
        <v>100.5</v>
      </c>
      <c r="U1338" s="585">
        <f>R1338/T1338*100</f>
        <v>0.49751243781094528</v>
      </c>
      <c r="V1338" s="220">
        <v>0.49751243781094528</v>
      </c>
      <c r="W1338" s="14" t="s">
        <v>121</v>
      </c>
      <c r="X1338">
        <f t="shared" si="1384"/>
        <v>0.17588823558972813</v>
      </c>
      <c r="Y1338" s="220" t="s">
        <v>1666</v>
      </c>
      <c r="Z1338" s="220" t="s">
        <v>1666</v>
      </c>
      <c r="AA1338" s="792" t="str">
        <f t="shared" si="1396"/>
        <v>*</v>
      </c>
      <c r="AB1338" s="458" t="str">
        <f t="shared" ref="AB1338:AH1338" si="1403">AA1338</f>
        <v>*</v>
      </c>
      <c r="AC1338" s="458" t="str">
        <f t="shared" si="1403"/>
        <v>*</v>
      </c>
      <c r="AD1338" s="458" t="str">
        <f t="shared" si="1403"/>
        <v>*</v>
      </c>
      <c r="AE1338" s="462" t="str">
        <f t="shared" si="1403"/>
        <v>*</v>
      </c>
      <c r="AF1338" s="462" t="str">
        <f t="shared" si="1403"/>
        <v>*</v>
      </c>
      <c r="AG1338" s="462" t="str">
        <f t="shared" si="1403"/>
        <v>*</v>
      </c>
      <c r="AH1338" s="462" t="str">
        <f t="shared" si="1403"/>
        <v>*</v>
      </c>
    </row>
    <row r="1339" spans="1:34" ht="12.75">
      <c r="A1339" s="14" t="s">
        <v>4699</v>
      </c>
      <c r="B1339" s="13" t="s">
        <v>2768</v>
      </c>
      <c r="C1339" s="14" t="s">
        <v>2811</v>
      </c>
      <c r="D1339" s="14" t="s">
        <v>2911</v>
      </c>
      <c r="E1339" s="14" t="s">
        <v>4690</v>
      </c>
      <c r="F1339" s="13">
        <v>30.13</v>
      </c>
      <c r="G1339" s="14" t="s">
        <v>4685</v>
      </c>
      <c r="H1339" s="567" t="s">
        <v>2973</v>
      </c>
      <c r="I1339" s="848" t="s">
        <v>4684</v>
      </c>
      <c r="J1339" s="135" t="s">
        <v>4695</v>
      </c>
      <c r="K1339" s="475">
        <f>18/99</f>
        <v>0.18181818181818182</v>
      </c>
      <c r="L1339" s="476">
        <v>5.52</v>
      </c>
      <c r="M1339" s="570" t="s">
        <v>4696</v>
      </c>
      <c r="N1339" s="570"/>
      <c r="O1339" s="571"/>
      <c r="P1339" s="848" t="s">
        <v>4684</v>
      </c>
      <c r="Q1339" s="135" t="s">
        <v>4689</v>
      </c>
      <c r="R1339" s="135">
        <v>100</v>
      </c>
      <c r="S1339" s="135">
        <f t="shared" si="1195"/>
        <v>5.52</v>
      </c>
      <c r="T1339" s="135">
        <f t="shared" ref="T1339:T1342" si="1404">R1339</f>
        <v>100</v>
      </c>
      <c r="U1339" s="298">
        <f t="shared" ref="U1339:U1342" si="1405">T1339</f>
        <v>100</v>
      </c>
      <c r="V1339" s="528">
        <v>100</v>
      </c>
      <c r="W1339" s="298" t="s">
        <v>2810</v>
      </c>
      <c r="X1339">
        <f t="shared" si="1384"/>
        <v>18.181818181818183</v>
      </c>
      <c r="Y1339" s="220" t="s">
        <v>1666</v>
      </c>
      <c r="Z1339" s="220" t="s">
        <v>1666</v>
      </c>
      <c r="AA1339" s="792" t="str">
        <f t="shared" si="1396"/>
        <v>*</v>
      </c>
      <c r="AB1339" s="458" t="str">
        <f t="shared" ref="AB1339:AH1339" si="1406">AA1339</f>
        <v>*</v>
      </c>
      <c r="AC1339" s="458" t="str">
        <f t="shared" si="1406"/>
        <v>*</v>
      </c>
      <c r="AD1339" s="458" t="str">
        <f t="shared" si="1406"/>
        <v>*</v>
      </c>
      <c r="AE1339" s="462" t="str">
        <f t="shared" si="1406"/>
        <v>*</v>
      </c>
      <c r="AF1339" s="462" t="str">
        <f t="shared" si="1406"/>
        <v>*</v>
      </c>
      <c r="AG1339" s="462" t="str">
        <f t="shared" si="1406"/>
        <v>*</v>
      </c>
      <c r="AH1339" s="462" t="str">
        <f t="shared" si="1406"/>
        <v>*</v>
      </c>
    </row>
    <row r="1340" spans="1:34" ht="12.75">
      <c r="A1340" s="14" t="s">
        <v>4699</v>
      </c>
      <c r="B1340" s="13" t="s">
        <v>2768</v>
      </c>
      <c r="C1340" s="14" t="s">
        <v>2811</v>
      </c>
      <c r="D1340" s="14" t="s">
        <v>2911</v>
      </c>
      <c r="E1340" s="14" t="s">
        <v>4690</v>
      </c>
      <c r="F1340" s="13">
        <v>30.13</v>
      </c>
      <c r="G1340" s="14" t="s">
        <v>4685</v>
      </c>
      <c r="H1340" s="567" t="s">
        <v>2973</v>
      </c>
      <c r="I1340" s="135" t="s">
        <v>4710</v>
      </c>
      <c r="J1340" s="135" t="s">
        <v>4711</v>
      </c>
      <c r="K1340" s="475">
        <f>7/99</f>
        <v>7.0707070707070704E-2</v>
      </c>
      <c r="L1340" s="476">
        <v>2.0699999999999998</v>
      </c>
      <c r="M1340" s="586" t="s">
        <v>1624</v>
      </c>
      <c r="N1340" s="586"/>
      <c r="O1340" s="587"/>
      <c r="P1340" s="135" t="s">
        <v>4710</v>
      </c>
      <c r="Q1340" s="135" t="s">
        <v>4711</v>
      </c>
      <c r="R1340" s="135">
        <v>100</v>
      </c>
      <c r="S1340" s="135">
        <f t="shared" si="1195"/>
        <v>2.0699999999999998</v>
      </c>
      <c r="T1340" s="135">
        <f t="shared" si="1404"/>
        <v>100</v>
      </c>
      <c r="U1340" s="298">
        <f t="shared" si="1405"/>
        <v>100</v>
      </c>
      <c r="V1340" s="528">
        <v>100</v>
      </c>
      <c r="W1340" s="298" t="s">
        <v>346</v>
      </c>
      <c r="X1340">
        <f t="shared" si="1384"/>
        <v>7.0707070707070701</v>
      </c>
      <c r="Y1340" s="220" t="s">
        <v>1666</v>
      </c>
      <c r="Z1340" s="220" t="s">
        <v>1666</v>
      </c>
      <c r="AA1340" s="792" t="str">
        <f t="shared" si="1396"/>
        <v>*</v>
      </c>
      <c r="AB1340" s="458" t="str">
        <f t="shared" ref="AB1340:AH1340" si="1407">AA1340</f>
        <v>*</v>
      </c>
      <c r="AC1340" s="458" t="str">
        <f t="shared" si="1407"/>
        <v>*</v>
      </c>
      <c r="AD1340" s="458" t="str">
        <f t="shared" si="1407"/>
        <v>*</v>
      </c>
      <c r="AE1340" s="462" t="str">
        <f t="shared" si="1407"/>
        <v>*</v>
      </c>
      <c r="AF1340" s="462" t="str">
        <f t="shared" si="1407"/>
        <v>*</v>
      </c>
      <c r="AG1340" s="462" t="str">
        <f t="shared" si="1407"/>
        <v>*</v>
      </c>
      <c r="AH1340" s="462" t="str">
        <f t="shared" si="1407"/>
        <v>*</v>
      </c>
    </row>
    <row r="1341" spans="1:34" ht="12.75">
      <c r="A1341" s="14" t="s">
        <v>4699</v>
      </c>
      <c r="B1341" s="13" t="s">
        <v>2768</v>
      </c>
      <c r="C1341" s="14" t="s">
        <v>2811</v>
      </c>
      <c r="D1341" s="14" t="s">
        <v>2911</v>
      </c>
      <c r="E1341" s="14" t="s">
        <v>4690</v>
      </c>
      <c r="F1341" s="13">
        <v>30.13</v>
      </c>
      <c r="G1341" s="14" t="s">
        <v>4685</v>
      </c>
      <c r="H1341" s="567" t="s">
        <v>2973</v>
      </c>
      <c r="I1341" s="848" t="s">
        <v>4712</v>
      </c>
      <c r="J1341" s="135" t="s">
        <v>4695</v>
      </c>
      <c r="K1341" s="475">
        <f>10/99</f>
        <v>0.10101010101010101</v>
      </c>
      <c r="L1341" s="476">
        <v>3</v>
      </c>
      <c r="M1341" s="570" t="s">
        <v>4696</v>
      </c>
      <c r="N1341" s="570"/>
      <c r="O1341" s="571"/>
      <c r="P1341" s="848" t="s">
        <v>4684</v>
      </c>
      <c r="Q1341" s="135" t="s">
        <v>4689</v>
      </c>
      <c r="R1341" s="135">
        <v>100</v>
      </c>
      <c r="S1341" s="135">
        <f t="shared" si="1195"/>
        <v>3</v>
      </c>
      <c r="T1341" s="135">
        <f t="shared" si="1404"/>
        <v>100</v>
      </c>
      <c r="U1341" s="298">
        <f t="shared" si="1405"/>
        <v>100</v>
      </c>
      <c r="V1341" s="528">
        <v>100</v>
      </c>
      <c r="W1341" s="298" t="s">
        <v>2810</v>
      </c>
      <c r="X1341">
        <f t="shared" si="1384"/>
        <v>10.1010101010101</v>
      </c>
      <c r="Y1341" s="220" t="s">
        <v>1666</v>
      </c>
      <c r="Z1341" s="220" t="s">
        <v>1666</v>
      </c>
      <c r="AA1341" s="792" t="str">
        <f t="shared" si="1396"/>
        <v>*</v>
      </c>
      <c r="AB1341" s="458" t="str">
        <f t="shared" ref="AB1341:AH1341" si="1408">AA1341</f>
        <v>*</v>
      </c>
      <c r="AC1341" s="458" t="str">
        <f t="shared" si="1408"/>
        <v>*</v>
      </c>
      <c r="AD1341" s="458" t="str">
        <f t="shared" si="1408"/>
        <v>*</v>
      </c>
      <c r="AE1341" s="462" t="str">
        <f t="shared" si="1408"/>
        <v>*</v>
      </c>
      <c r="AF1341" s="462" t="str">
        <f t="shared" si="1408"/>
        <v>*</v>
      </c>
      <c r="AG1341" s="462" t="str">
        <f t="shared" si="1408"/>
        <v>*</v>
      </c>
      <c r="AH1341" s="462" t="str">
        <f t="shared" si="1408"/>
        <v>*</v>
      </c>
    </row>
    <row r="1342" spans="1:34" ht="12.75">
      <c r="A1342" s="617" t="s">
        <v>4699</v>
      </c>
      <c r="B1342" s="799" t="s">
        <v>2768</v>
      </c>
      <c r="C1342" s="617" t="s">
        <v>2811</v>
      </c>
      <c r="D1342" s="617" t="s">
        <v>2911</v>
      </c>
      <c r="E1342" s="617" t="s">
        <v>4690</v>
      </c>
      <c r="F1342" s="799">
        <v>30.13</v>
      </c>
      <c r="G1342" s="617" t="s">
        <v>4685</v>
      </c>
      <c r="H1342" s="910" t="s">
        <v>2973</v>
      </c>
      <c r="I1342" s="617" t="s">
        <v>4143</v>
      </c>
      <c r="J1342" s="617" t="s">
        <v>3104</v>
      </c>
      <c r="K1342" s="838">
        <f>4/99</f>
        <v>4.0404040404040407E-2</v>
      </c>
      <c r="L1342" s="725">
        <v>1.3</v>
      </c>
      <c r="M1342" s="911" t="s">
        <v>3105</v>
      </c>
      <c r="N1342" s="911"/>
      <c r="O1342" s="912"/>
      <c r="P1342" s="617" t="s">
        <v>3013</v>
      </c>
      <c r="Q1342" s="937" t="s">
        <v>4704</v>
      </c>
      <c r="R1342" s="617">
        <v>100</v>
      </c>
      <c r="S1342" s="617">
        <f t="shared" si="1195"/>
        <v>1.3</v>
      </c>
      <c r="T1342" s="617">
        <f t="shared" si="1404"/>
        <v>100</v>
      </c>
      <c r="U1342" s="520">
        <f t="shared" si="1405"/>
        <v>100</v>
      </c>
      <c r="V1342" s="725">
        <v>100</v>
      </c>
      <c r="W1342" s="617" t="s">
        <v>88</v>
      </c>
      <c r="X1342" s="617">
        <f t="shared" si="1384"/>
        <v>4.0404040404040407</v>
      </c>
      <c r="Y1342" s="725" t="s">
        <v>1666</v>
      </c>
      <c r="Z1342" s="725" t="s">
        <v>1666</v>
      </c>
      <c r="AA1342" s="455" t="str">
        <f t="shared" si="1396"/>
        <v>*</v>
      </c>
      <c r="AB1342" s="821" t="str">
        <f t="shared" ref="AB1342:AH1342" si="1409">AA1342</f>
        <v>*</v>
      </c>
      <c r="AC1342" s="821" t="str">
        <f t="shared" si="1409"/>
        <v>*</v>
      </c>
      <c r="AD1342" s="821" t="str">
        <f t="shared" si="1409"/>
        <v>*</v>
      </c>
      <c r="AE1342" s="938" t="str">
        <f t="shared" si="1409"/>
        <v>*</v>
      </c>
      <c r="AF1342" s="938" t="str">
        <f t="shared" si="1409"/>
        <v>*</v>
      </c>
      <c r="AG1342" s="938" t="str">
        <f t="shared" si="1409"/>
        <v>*</v>
      </c>
      <c r="AH1342" s="938" t="str">
        <f t="shared" si="1409"/>
        <v>*</v>
      </c>
    </row>
    <row r="1343" spans="1:34" ht="14.25">
      <c r="A1343" s="14" t="s">
        <v>4713</v>
      </c>
      <c r="B1343" s="24" t="s">
        <v>2768</v>
      </c>
      <c r="C1343" s="14" t="s">
        <v>2813</v>
      </c>
      <c r="D1343" s="14" t="s">
        <v>2911</v>
      </c>
      <c r="E1343" s="14" t="s">
        <v>4714</v>
      </c>
      <c r="F1343" s="13">
        <v>56.24</v>
      </c>
      <c r="G1343" s="14" t="s">
        <v>3704</v>
      </c>
      <c r="H1343" s="567" t="s">
        <v>2973</v>
      </c>
      <c r="I1343" s="14" t="s">
        <v>4714</v>
      </c>
      <c r="J1343" s="14" t="s">
        <v>4715</v>
      </c>
      <c r="K1343" s="478">
        <v>0.82</v>
      </c>
      <c r="L1343" s="220">
        <v>43.46</v>
      </c>
      <c r="M1343" s="568" t="s">
        <v>4716</v>
      </c>
      <c r="N1343" s="479" t="s">
        <v>2937</v>
      </c>
      <c r="O1343" s="569" t="s">
        <v>2976</v>
      </c>
      <c r="P1343" s="655" t="s">
        <v>3005</v>
      </c>
      <c r="Q1343" s="486" t="s">
        <v>3006</v>
      </c>
      <c r="R1343" s="14">
        <v>25</v>
      </c>
      <c r="S1343" s="14">
        <f t="shared" si="1195"/>
        <v>10.865</v>
      </c>
      <c r="T1343">
        <f>SUM(R1343:R1374)</f>
        <v>101.95000000000003</v>
      </c>
      <c r="U1343">
        <f>R1343/T1374*100</f>
        <v>24.521824423737119</v>
      </c>
      <c r="V1343" s="220">
        <f>U1343*100/SUM(U1343,U1345:U1374)</f>
        <v>30.506406345332547</v>
      </c>
      <c r="W1343" s="14" t="s">
        <v>2814</v>
      </c>
      <c r="X1343">
        <f t="shared" si="1384"/>
        <v>25.015253203172687</v>
      </c>
      <c r="Y1343" s="220">
        <f>SUM(X1343,X1351,X1375,X1379)</f>
        <v>37.177763782007148</v>
      </c>
      <c r="Z1343" s="220">
        <f t="shared" ref="Z1343:AA1343" si="1410">Y1343</f>
        <v>37.177763782007148</v>
      </c>
      <c r="AA1343" s="792">
        <f t="shared" si="1410"/>
        <v>37.177763782007148</v>
      </c>
      <c r="AB1343" s="18" t="s">
        <v>2814</v>
      </c>
      <c r="AC1343" s="13" t="s">
        <v>215</v>
      </c>
      <c r="AD1343" s="13" t="s">
        <v>3007</v>
      </c>
      <c r="AE1343" s="12">
        <v>5.0851930036188197E-3</v>
      </c>
      <c r="AF1343" s="12">
        <v>5.9995417730640897E-2</v>
      </c>
      <c r="AG1343" s="12">
        <v>3.4699999999999998E-4</v>
      </c>
      <c r="AH1343" s="12">
        <v>2.9762429672480995E-4</v>
      </c>
    </row>
    <row r="1344" spans="1:34" ht="14.25">
      <c r="A1344" s="14" t="s">
        <v>4713</v>
      </c>
      <c r="B1344" s="24" t="s">
        <v>2768</v>
      </c>
      <c r="C1344" s="14" t="s">
        <v>2813</v>
      </c>
      <c r="D1344" s="14" t="s">
        <v>2911</v>
      </c>
      <c r="E1344" s="14" t="s">
        <v>4714</v>
      </c>
      <c r="F1344" s="13">
        <v>56.24</v>
      </c>
      <c r="G1344" s="14" t="s">
        <v>3704</v>
      </c>
      <c r="H1344" s="567" t="s">
        <v>2973</v>
      </c>
      <c r="I1344" s="14" t="s">
        <v>4714</v>
      </c>
      <c r="J1344" s="14" t="s">
        <v>4715</v>
      </c>
      <c r="K1344" s="478">
        <v>0.82</v>
      </c>
      <c r="L1344" s="220">
        <v>43.46</v>
      </c>
      <c r="M1344" s="568" t="s">
        <v>4716</v>
      </c>
      <c r="N1344" s="479" t="s">
        <v>2937</v>
      </c>
      <c r="O1344" s="569" t="s">
        <v>2976</v>
      </c>
      <c r="P1344" s="14" t="s">
        <v>2938</v>
      </c>
      <c r="Q1344" s="435" t="s">
        <v>2939</v>
      </c>
      <c r="R1344" s="14">
        <v>20</v>
      </c>
      <c r="S1344" s="14">
        <f t="shared" si="1195"/>
        <v>8.6920000000000002</v>
      </c>
      <c r="T1344" s="560">
        <f>SUM(R1343:R1374)</f>
        <v>101.95000000000003</v>
      </c>
      <c r="U1344">
        <f>R1344/T1374*100</f>
        <v>19.617459538989696</v>
      </c>
      <c r="V1344" s="481">
        <f>U1344</f>
        <v>19.617459538989696</v>
      </c>
      <c r="W1344" s="482" t="s">
        <v>72</v>
      </c>
      <c r="X1344" s="515">
        <f t="shared" si="1384"/>
        <v>16.08631682197155</v>
      </c>
      <c r="Y1344" s="481">
        <f>SUM(X1344,X1376)</f>
        <v>19.89987614400545</v>
      </c>
      <c r="Z1344" s="481">
        <f t="shared" ref="Z1344:AA1344" si="1411">Y1344</f>
        <v>19.89987614400545</v>
      </c>
      <c r="AA1344" s="810">
        <f t="shared" si="1411"/>
        <v>19.89987614400545</v>
      </c>
      <c r="AB1344" s="456" t="s">
        <v>72</v>
      </c>
      <c r="AC1344" s="469" t="s">
        <v>2938</v>
      </c>
      <c r="AD1344" s="469" t="s">
        <v>2940</v>
      </c>
      <c r="AE1344" s="457">
        <v>0</v>
      </c>
      <c r="AF1344" s="457">
        <v>0</v>
      </c>
      <c r="AG1344" s="457">
        <v>0</v>
      </c>
      <c r="AH1344" s="457">
        <v>0</v>
      </c>
    </row>
    <row r="1345" spans="1:34" ht="14.25">
      <c r="A1345" s="14" t="s">
        <v>4713</v>
      </c>
      <c r="B1345" s="24" t="s">
        <v>2768</v>
      </c>
      <c r="C1345" s="14" t="s">
        <v>2813</v>
      </c>
      <c r="D1345" s="14" t="s">
        <v>2911</v>
      </c>
      <c r="E1345" s="14" t="s">
        <v>4714</v>
      </c>
      <c r="F1345" s="13">
        <v>56.24</v>
      </c>
      <c r="G1345" s="14" t="s">
        <v>3704</v>
      </c>
      <c r="H1345" s="567" t="s">
        <v>2973</v>
      </c>
      <c r="I1345" s="14" t="s">
        <v>4714</v>
      </c>
      <c r="J1345" s="14" t="s">
        <v>4715</v>
      </c>
      <c r="K1345" s="478">
        <v>0.82</v>
      </c>
      <c r="L1345" s="220">
        <v>43.46</v>
      </c>
      <c r="M1345" s="568" t="s">
        <v>4716</v>
      </c>
      <c r="N1345" s="479" t="s">
        <v>2937</v>
      </c>
      <c r="O1345" s="569" t="s">
        <v>2976</v>
      </c>
      <c r="P1345" s="14" t="s">
        <v>2945</v>
      </c>
      <c r="Q1345" s="14" t="s">
        <v>2946</v>
      </c>
      <c r="R1345" s="14">
        <v>16</v>
      </c>
      <c r="S1345" s="14">
        <f t="shared" si="1195"/>
        <v>6.9536000000000007</v>
      </c>
      <c r="T1345" s="560">
        <f>SUM(R1343:R1374)</f>
        <v>101.95000000000003</v>
      </c>
      <c r="U1345">
        <f>R1345/T1374*100</f>
        <v>15.693967631191756</v>
      </c>
      <c r="V1345" s="220">
        <f t="shared" ref="V1345:V1374" si="1412">U1345*100/SUM(U$1343,U$1345:U$1374)</f>
        <v>19.524100061012827</v>
      </c>
      <c r="W1345" s="14" t="s">
        <v>433</v>
      </c>
      <c r="X1345">
        <f t="shared" si="1384"/>
        <v>16.009762050030517</v>
      </c>
      <c r="Y1345" s="220">
        <f>SUM(X1345,X137)</f>
        <v>17.443698547128502</v>
      </c>
      <c r="Z1345" s="220">
        <f t="shared" ref="Z1345:AA1345" si="1413">Y1345</f>
        <v>17.443698547128502</v>
      </c>
      <c r="AA1345" s="792">
        <f t="shared" si="1413"/>
        <v>17.443698547128502</v>
      </c>
      <c r="AB1345" s="18" t="s">
        <v>433</v>
      </c>
      <c r="AC1345" s="13" t="s">
        <v>433</v>
      </c>
      <c r="AD1345" s="13" t="s">
        <v>2947</v>
      </c>
      <c r="AE1345" s="12">
        <v>3.0104466724907065E-4</v>
      </c>
      <c r="AF1345" s="12">
        <v>1.2500000000000001E-2</v>
      </c>
      <c r="AG1345" s="12">
        <v>5.1818181818181835E-4</v>
      </c>
      <c r="AH1345" s="12">
        <v>4.0084080366977777E-4</v>
      </c>
    </row>
    <row r="1346" spans="1:34" ht="14.25">
      <c r="A1346" s="14" t="s">
        <v>4713</v>
      </c>
      <c r="B1346" s="24" t="s">
        <v>2768</v>
      </c>
      <c r="C1346" s="14" t="s">
        <v>2813</v>
      </c>
      <c r="D1346" s="14" t="s">
        <v>2911</v>
      </c>
      <c r="E1346" s="14" t="s">
        <v>4714</v>
      </c>
      <c r="F1346" s="13">
        <v>56.24</v>
      </c>
      <c r="G1346" s="14" t="s">
        <v>3704</v>
      </c>
      <c r="H1346" s="567" t="s">
        <v>2973</v>
      </c>
      <c r="I1346" s="14" t="s">
        <v>4714</v>
      </c>
      <c r="J1346" s="14" t="s">
        <v>4715</v>
      </c>
      <c r="K1346" s="478">
        <v>0.82</v>
      </c>
      <c r="L1346" s="220">
        <v>43.46</v>
      </c>
      <c r="M1346" s="568" t="s">
        <v>4716</v>
      </c>
      <c r="N1346" s="479" t="s">
        <v>2937</v>
      </c>
      <c r="O1346" s="569" t="s">
        <v>2976</v>
      </c>
      <c r="P1346" s="14" t="s">
        <v>330</v>
      </c>
      <c r="Q1346" s="491" t="s">
        <v>3113</v>
      </c>
      <c r="R1346" s="14">
        <v>6.25</v>
      </c>
      <c r="S1346" s="14">
        <f t="shared" si="1195"/>
        <v>2.7162500000000001</v>
      </c>
      <c r="T1346" s="560">
        <f>SUM(R1343:R1374)</f>
        <v>101.95000000000003</v>
      </c>
      <c r="U1346">
        <f>R1346/T1374*100</f>
        <v>6.1304561059342797</v>
      </c>
      <c r="V1346" s="220">
        <f t="shared" si="1412"/>
        <v>7.6266015863331367</v>
      </c>
      <c r="W1346" s="14" t="s">
        <v>332</v>
      </c>
      <c r="X1346">
        <f t="shared" si="1384"/>
        <v>6.2538133007931718</v>
      </c>
      <c r="Y1346" s="220">
        <f>SUM(X1346,X1382,X1383)</f>
        <v>7.3909100749867198</v>
      </c>
      <c r="Z1346" s="220">
        <f>SUM(X1346,X1382)</f>
        <v>6.6651036233738168</v>
      </c>
      <c r="AA1346" s="792">
        <f t="shared" ref="AA1346:AA1347" si="1414">Z1346</f>
        <v>6.6651036233738168</v>
      </c>
      <c r="AB1346" s="18" t="s">
        <v>2815</v>
      </c>
      <c r="AC1346" s="13"/>
      <c r="AD1346" s="13"/>
      <c r="AE1346" s="12">
        <v>2.3E-3</v>
      </c>
      <c r="AF1346" s="12">
        <v>4.7879999999999999E-2</v>
      </c>
      <c r="AG1346" s="12">
        <v>9.9999999999999995E-7</v>
      </c>
      <c r="AH1346" s="12">
        <v>4.4092488403675551E-4</v>
      </c>
    </row>
    <row r="1347" spans="1:34" ht="14.25">
      <c r="A1347" s="14" t="s">
        <v>4713</v>
      </c>
      <c r="B1347" s="24" t="s">
        <v>2768</v>
      </c>
      <c r="C1347" s="14" t="s">
        <v>2813</v>
      </c>
      <c r="D1347" s="14" t="s">
        <v>2911</v>
      </c>
      <c r="E1347" s="14" t="s">
        <v>4714</v>
      </c>
      <c r="F1347" s="13">
        <v>56.24</v>
      </c>
      <c r="G1347" s="14" t="s">
        <v>3704</v>
      </c>
      <c r="H1347" s="567" t="s">
        <v>2973</v>
      </c>
      <c r="I1347" s="14" t="s">
        <v>4714</v>
      </c>
      <c r="J1347" s="14" t="s">
        <v>4715</v>
      </c>
      <c r="K1347" s="478">
        <v>0.82</v>
      </c>
      <c r="L1347" s="220">
        <v>43.46</v>
      </c>
      <c r="M1347" s="568" t="s">
        <v>4716</v>
      </c>
      <c r="N1347" s="479" t="s">
        <v>2937</v>
      </c>
      <c r="O1347" s="569" t="s">
        <v>2976</v>
      </c>
      <c r="P1347" s="939" t="s">
        <v>4717</v>
      </c>
      <c r="Q1347" s="563" t="s">
        <v>2981</v>
      </c>
      <c r="R1347" s="14">
        <v>2.75</v>
      </c>
      <c r="S1347" s="14">
        <f t="shared" si="1195"/>
        <v>1.1951499999999999</v>
      </c>
      <c r="T1347" s="560">
        <f>SUM(R1343:R1374)</f>
        <v>101.95000000000003</v>
      </c>
      <c r="U1347">
        <f t="shared" ref="U1347:U1348" si="1415">R1347/T1347*100</f>
        <v>2.6974006866110831</v>
      </c>
      <c r="V1347" s="220">
        <f t="shared" si="1412"/>
        <v>3.3557046979865799</v>
      </c>
      <c r="W1347" s="14" t="s">
        <v>349</v>
      </c>
      <c r="X1347">
        <f t="shared" si="1384"/>
        <v>2.7516778523489953</v>
      </c>
      <c r="Y1347" s="220">
        <f>SUM(X1347,X1354,X1359,X1380,X1388,X1370)</f>
        <v>6.2802431655809059</v>
      </c>
      <c r="Z1347" s="220">
        <f>SUM(X1347,X1359,X1380,X1388,X1354)</f>
        <v>6.0801211399555237</v>
      </c>
      <c r="AA1347" s="792">
        <f t="shared" si="1414"/>
        <v>6.0801211399555237</v>
      </c>
      <c r="AB1347" s="18" t="s">
        <v>2816</v>
      </c>
      <c r="AC1347" s="13" t="s">
        <v>2982</v>
      </c>
      <c r="AD1347" s="13" t="s">
        <v>2983</v>
      </c>
      <c r="AE1347" s="12">
        <v>2.9691872042618299E-2</v>
      </c>
      <c r="AF1347" s="12">
        <v>7.5368545517799299E-2</v>
      </c>
      <c r="AG1347" s="12">
        <v>2.9014018691588786E-4</v>
      </c>
      <c r="AH1347" s="12">
        <v>1.4770983615231311E-3</v>
      </c>
    </row>
    <row r="1348" spans="1:34" ht="14.25">
      <c r="A1348" s="14" t="s">
        <v>4713</v>
      </c>
      <c r="B1348" s="24" t="s">
        <v>2768</v>
      </c>
      <c r="C1348" s="14" t="s">
        <v>2813</v>
      </c>
      <c r="D1348" s="14" t="s">
        <v>2911</v>
      </c>
      <c r="E1348" s="14" t="s">
        <v>4714</v>
      </c>
      <c r="F1348" s="13">
        <v>56.24</v>
      </c>
      <c r="G1348" s="14" t="s">
        <v>3704</v>
      </c>
      <c r="H1348" s="567" t="s">
        <v>2973</v>
      </c>
      <c r="I1348" s="14" t="s">
        <v>4714</v>
      </c>
      <c r="J1348" s="14" t="s">
        <v>4715</v>
      </c>
      <c r="K1348" s="478">
        <v>0.82</v>
      </c>
      <c r="L1348" s="220">
        <v>43.46</v>
      </c>
      <c r="M1348" s="568" t="s">
        <v>4716</v>
      </c>
      <c r="N1348" s="479" t="s">
        <v>2937</v>
      </c>
      <c r="O1348" s="569" t="s">
        <v>2976</v>
      </c>
      <c r="P1348" s="940" t="s">
        <v>4717</v>
      </c>
      <c r="Q1348" s="491" t="s">
        <v>4336</v>
      </c>
      <c r="R1348" s="14">
        <v>2.75</v>
      </c>
      <c r="S1348" s="14">
        <f t="shared" si="1195"/>
        <v>1.1951499999999999</v>
      </c>
      <c r="T1348" s="560">
        <f>SUM(R1343:R1374)</f>
        <v>101.95000000000003</v>
      </c>
      <c r="U1348">
        <f t="shared" si="1415"/>
        <v>2.6974006866110831</v>
      </c>
      <c r="V1348" s="220">
        <f t="shared" si="1412"/>
        <v>3.3557046979865799</v>
      </c>
      <c r="W1348" s="14" t="s">
        <v>2521</v>
      </c>
      <c r="X1348">
        <f t="shared" si="1384"/>
        <v>2.7516778523489953</v>
      </c>
      <c r="Y1348" s="220">
        <f>SUM(X1348,X1381)</f>
        <v>2.9573230136393178</v>
      </c>
      <c r="Z1348" s="220">
        <f t="shared" ref="Z1348:AA1348" si="1416">Y1348</f>
        <v>2.9573230136393178</v>
      </c>
      <c r="AA1348" s="792">
        <f t="shared" si="1416"/>
        <v>2.9573230136393178</v>
      </c>
      <c r="AB1348" s="18" t="s">
        <v>2803</v>
      </c>
      <c r="AC1348" s="220" t="s">
        <v>4579</v>
      </c>
      <c r="AD1348" s="13" t="s">
        <v>18</v>
      </c>
      <c r="AE1348" s="12">
        <v>1.0652903141570055E-3</v>
      </c>
      <c r="AF1348" s="12">
        <v>1.7273631840796021E-2</v>
      </c>
      <c r="AG1348" s="12">
        <v>1.3582399999999999E-4</v>
      </c>
      <c r="AH1348" s="12">
        <v>2.14E-3</v>
      </c>
    </row>
    <row r="1349" spans="1:34" ht="14.25">
      <c r="A1349" s="14" t="s">
        <v>4713</v>
      </c>
      <c r="B1349" s="24" t="s">
        <v>2768</v>
      </c>
      <c r="C1349" s="14" t="s">
        <v>2813</v>
      </c>
      <c r="D1349" s="14" t="s">
        <v>2911</v>
      </c>
      <c r="E1349" s="14" t="s">
        <v>4714</v>
      </c>
      <c r="F1349" s="13">
        <v>56.24</v>
      </c>
      <c r="G1349" s="14" t="s">
        <v>3704</v>
      </c>
      <c r="H1349" s="567" t="s">
        <v>2973</v>
      </c>
      <c r="I1349" s="14" t="s">
        <v>4714</v>
      </c>
      <c r="J1349" s="14" t="s">
        <v>4715</v>
      </c>
      <c r="K1349" s="478">
        <v>0.82</v>
      </c>
      <c r="L1349" s="220">
        <v>43.46</v>
      </c>
      <c r="M1349" s="568" t="s">
        <v>4716</v>
      </c>
      <c r="N1349" s="479" t="s">
        <v>2937</v>
      </c>
      <c r="O1349" s="569" t="s">
        <v>2976</v>
      </c>
      <c r="P1349" s="655" t="s">
        <v>2977</v>
      </c>
      <c r="Q1349" s="527" t="s">
        <v>2978</v>
      </c>
      <c r="R1349" s="14">
        <v>5</v>
      </c>
      <c r="S1349" s="14">
        <f t="shared" si="1195"/>
        <v>2.173</v>
      </c>
      <c r="T1349" s="560">
        <f>SUM(R1343:R1374)</f>
        <v>101.95000000000003</v>
      </c>
      <c r="U1349">
        <f>R1349/T1374*100</f>
        <v>4.9043648847474239</v>
      </c>
      <c r="V1349" s="220">
        <f t="shared" si="1412"/>
        <v>6.1012812690665097</v>
      </c>
      <c r="W1349" s="14" t="s">
        <v>227</v>
      </c>
      <c r="X1349">
        <f t="shared" si="1384"/>
        <v>5.0030506406345374</v>
      </c>
      <c r="Y1349" s="220">
        <f>SUM(X1349,X1357,X1378,X1385,X1350,X1387)</f>
        <v>12.095421086815337</v>
      </c>
      <c r="Z1349" s="220">
        <f>SUM(X1349,X1378,X1385,X1357)</f>
        <v>6.9714027042453166</v>
      </c>
      <c r="AA1349" s="792">
        <f t="shared" ref="AA1349:AA1356" si="1417">Z1349</f>
        <v>6.9714027042453166</v>
      </c>
      <c r="AB1349" s="18" t="s">
        <v>2817</v>
      </c>
      <c r="AC1349" s="13" t="s">
        <v>55</v>
      </c>
      <c r="AD1349" s="13" t="s">
        <v>2979</v>
      </c>
      <c r="AE1349" s="12">
        <v>2.5055367220000002E-3</v>
      </c>
      <c r="AF1349" s="12">
        <v>3.8459841414181101E-2</v>
      </c>
      <c r="AG1349" s="12">
        <v>1.1035422343324251E-4</v>
      </c>
      <c r="AH1349" s="12">
        <v>8.109653861711444E-4</v>
      </c>
    </row>
    <row r="1350" spans="1:34" ht="14.25">
      <c r="A1350" s="14" t="s">
        <v>4713</v>
      </c>
      <c r="B1350" s="24" t="s">
        <v>2768</v>
      </c>
      <c r="C1350" s="14" t="s">
        <v>2813</v>
      </c>
      <c r="D1350" s="14" t="s">
        <v>2911</v>
      </c>
      <c r="E1350" s="14" t="s">
        <v>4714</v>
      </c>
      <c r="F1350" s="13">
        <v>56.24</v>
      </c>
      <c r="G1350" s="14" t="s">
        <v>3704</v>
      </c>
      <c r="H1350" s="567" t="s">
        <v>2973</v>
      </c>
      <c r="I1350" s="14" t="s">
        <v>4714</v>
      </c>
      <c r="J1350" s="14" t="s">
        <v>4715</v>
      </c>
      <c r="K1350" s="478">
        <v>0.82</v>
      </c>
      <c r="L1350" s="220">
        <v>43.46</v>
      </c>
      <c r="M1350" s="568" t="s">
        <v>4716</v>
      </c>
      <c r="N1350" s="479" t="s">
        <v>2937</v>
      </c>
      <c r="O1350" s="569" t="s">
        <v>2976</v>
      </c>
      <c r="P1350" s="14" t="s">
        <v>2962</v>
      </c>
      <c r="Q1350" s="14" t="s">
        <v>4718</v>
      </c>
      <c r="R1350" s="14">
        <v>5</v>
      </c>
      <c r="S1350" s="14">
        <f t="shared" si="1195"/>
        <v>2.173</v>
      </c>
      <c r="T1350" s="560">
        <f>SUM(R1343:R1374)</f>
        <v>101.95000000000003</v>
      </c>
      <c r="U1350">
        <f>R1350/T1374*100</f>
        <v>4.9043648847474239</v>
      </c>
      <c r="V1350" s="220">
        <f t="shared" si="1412"/>
        <v>6.1012812690665097</v>
      </c>
      <c r="W1350" s="14" t="s">
        <v>425</v>
      </c>
      <c r="X1350">
        <f t="shared" si="1384"/>
        <v>5.0030506406345374</v>
      </c>
      <c r="Y1350" s="220" t="s">
        <v>1666</v>
      </c>
      <c r="Z1350" s="220">
        <f>SUM(X1350,X1387)</f>
        <v>5.1240183825700214</v>
      </c>
      <c r="AA1350" s="792">
        <f t="shared" si="1417"/>
        <v>5.1240183825700214</v>
      </c>
      <c r="AB1350" s="18" t="s">
        <v>425</v>
      </c>
      <c r="AC1350" s="13" t="s">
        <v>2964</v>
      </c>
      <c r="AD1350" s="13" t="s">
        <v>2965</v>
      </c>
      <c r="AE1350" s="12">
        <v>3.8102374934982654E-3</v>
      </c>
      <c r="AF1350" s="12">
        <v>0.20470422547079484</v>
      </c>
      <c r="AG1350" s="12">
        <v>1.210810810810811E-4</v>
      </c>
      <c r="AH1350" s="12">
        <v>1.0002400855855065E-3</v>
      </c>
    </row>
    <row r="1351" spans="1:34" ht="14.25">
      <c r="A1351" s="14" t="s">
        <v>4713</v>
      </c>
      <c r="B1351" s="24" t="s">
        <v>2768</v>
      </c>
      <c r="C1351" s="14" t="s">
        <v>2813</v>
      </c>
      <c r="D1351" s="14" t="s">
        <v>2911</v>
      </c>
      <c r="E1351" s="14" t="s">
        <v>4714</v>
      </c>
      <c r="F1351" s="13">
        <v>56.24</v>
      </c>
      <c r="G1351" s="14" t="s">
        <v>3704</v>
      </c>
      <c r="H1351" s="567" t="s">
        <v>2973</v>
      </c>
      <c r="I1351" s="14" t="s">
        <v>4714</v>
      </c>
      <c r="J1351" s="14" t="s">
        <v>4715</v>
      </c>
      <c r="K1351" s="478">
        <v>0.82</v>
      </c>
      <c r="L1351" s="220">
        <v>43.46</v>
      </c>
      <c r="M1351" s="568" t="s">
        <v>4716</v>
      </c>
      <c r="N1351" s="479" t="s">
        <v>2937</v>
      </c>
      <c r="O1351" s="569" t="s">
        <v>2976</v>
      </c>
      <c r="P1351" s="655" t="s">
        <v>3005</v>
      </c>
      <c r="Q1351" s="486" t="s">
        <v>3006</v>
      </c>
      <c r="R1351" s="14">
        <v>2</v>
      </c>
      <c r="S1351" s="14">
        <f t="shared" si="1195"/>
        <v>0.86920000000000008</v>
      </c>
      <c r="T1351" s="560">
        <f>SUM(R1343:R1374)</f>
        <v>101.95000000000003</v>
      </c>
      <c r="U1351">
        <f>R1351/T1374*100</f>
        <v>1.9617459538989694</v>
      </c>
      <c r="V1351" s="220">
        <f t="shared" si="1412"/>
        <v>2.4405125076266034</v>
      </c>
      <c r="W1351" s="14" t="s">
        <v>2814</v>
      </c>
      <c r="X1351">
        <f t="shared" si="1384"/>
        <v>2.0012202562538146</v>
      </c>
      <c r="Y1351" s="220" t="s">
        <v>1666</v>
      </c>
      <c r="Z1351" s="220" t="s">
        <v>1666</v>
      </c>
      <c r="AA1351" s="792" t="str">
        <f t="shared" si="1417"/>
        <v>*</v>
      </c>
      <c r="AB1351" s="458" t="str">
        <f t="shared" ref="AB1351:AH1351" si="1418">AA1351</f>
        <v>*</v>
      </c>
      <c r="AC1351" s="458" t="str">
        <f t="shared" si="1418"/>
        <v>*</v>
      </c>
      <c r="AD1351" s="458" t="str">
        <f t="shared" si="1418"/>
        <v>*</v>
      </c>
      <c r="AE1351" s="462" t="str">
        <f t="shared" si="1418"/>
        <v>*</v>
      </c>
      <c r="AF1351" s="462" t="str">
        <f t="shared" si="1418"/>
        <v>*</v>
      </c>
      <c r="AG1351" s="462" t="str">
        <f t="shared" si="1418"/>
        <v>*</v>
      </c>
      <c r="AH1351" s="462" t="str">
        <f t="shared" si="1418"/>
        <v>*</v>
      </c>
    </row>
    <row r="1352" spans="1:34" ht="14.25">
      <c r="A1352" s="14" t="s">
        <v>4713</v>
      </c>
      <c r="B1352" s="24" t="s">
        <v>2768</v>
      </c>
      <c r="C1352" s="14" t="s">
        <v>2813</v>
      </c>
      <c r="D1352" s="14" t="s">
        <v>2911</v>
      </c>
      <c r="E1352" s="14" t="s">
        <v>4714</v>
      </c>
      <c r="F1352" s="13">
        <v>56.24</v>
      </c>
      <c r="G1352" s="14" t="s">
        <v>3704</v>
      </c>
      <c r="H1352" s="567" t="s">
        <v>2973</v>
      </c>
      <c r="I1352" s="14" t="s">
        <v>4714</v>
      </c>
      <c r="J1352" s="14" t="s">
        <v>4715</v>
      </c>
      <c r="K1352" s="478">
        <v>0.82</v>
      </c>
      <c r="L1352" s="220">
        <v>43.46</v>
      </c>
      <c r="M1352" s="568" t="s">
        <v>4716</v>
      </c>
      <c r="N1352" s="479" t="s">
        <v>2937</v>
      </c>
      <c r="O1352" s="569" t="s">
        <v>2976</v>
      </c>
      <c r="P1352" s="14" t="s">
        <v>3048</v>
      </c>
      <c r="Q1352" s="435" t="s">
        <v>3049</v>
      </c>
      <c r="R1352" s="14">
        <v>2</v>
      </c>
      <c r="S1352" s="14">
        <f t="shared" si="1195"/>
        <v>0.86920000000000008</v>
      </c>
      <c r="T1352" s="560">
        <f>SUM(R1343:R1374)</f>
        <v>101.95000000000003</v>
      </c>
      <c r="U1352">
        <f>R1352/T1374*100</f>
        <v>1.9617459538989694</v>
      </c>
      <c r="V1352" s="220">
        <f t="shared" si="1412"/>
        <v>2.4405125076266034</v>
      </c>
      <c r="W1352" s="14" t="s">
        <v>2712</v>
      </c>
      <c r="X1352">
        <f t="shared" si="1384"/>
        <v>2.0012202562538146</v>
      </c>
      <c r="Y1352" s="220">
        <f>SUM(X1352,X1384,X1365,X1366)</f>
        <v>2.8853352752465136</v>
      </c>
      <c r="Z1352" s="220">
        <f t="shared" ref="Z1352:Z1353" si="1419">X1352</f>
        <v>2.0012202562538146</v>
      </c>
      <c r="AA1352" s="792">
        <f t="shared" si="1417"/>
        <v>2.0012202562538146</v>
      </c>
      <c r="AB1352" s="18" t="s">
        <v>2712</v>
      </c>
      <c r="AC1352" s="13" t="s">
        <v>878</v>
      </c>
      <c r="AD1352" s="13" t="s">
        <v>3050</v>
      </c>
      <c r="AE1352" s="12">
        <v>4.0401172748815169E-2</v>
      </c>
      <c r="AF1352" s="12">
        <v>0.11878669834123222</v>
      </c>
      <c r="AG1352" s="12">
        <v>7.919516026066351E-4</v>
      </c>
      <c r="AH1352" s="12">
        <v>7.4518613744075819E-3</v>
      </c>
    </row>
    <row r="1353" spans="1:34" ht="14.25">
      <c r="A1353" s="14" t="s">
        <v>4713</v>
      </c>
      <c r="B1353" s="24" t="s">
        <v>2768</v>
      </c>
      <c r="C1353" s="14" t="s">
        <v>2813</v>
      </c>
      <c r="D1353" s="14" t="s">
        <v>2911</v>
      </c>
      <c r="E1353" s="14" t="s">
        <v>4714</v>
      </c>
      <c r="F1353" s="13">
        <v>56.24</v>
      </c>
      <c r="G1353" s="14" t="s">
        <v>3704</v>
      </c>
      <c r="H1353" s="567" t="s">
        <v>2973</v>
      </c>
      <c r="I1353" s="14" t="s">
        <v>4714</v>
      </c>
      <c r="J1353" s="14" t="s">
        <v>4715</v>
      </c>
      <c r="K1353" s="478">
        <v>0.82</v>
      </c>
      <c r="L1353" s="220">
        <v>43.46</v>
      </c>
      <c r="M1353" s="568" t="s">
        <v>4716</v>
      </c>
      <c r="N1353" s="479" t="s">
        <v>2937</v>
      </c>
      <c r="O1353" s="569" t="s">
        <v>2976</v>
      </c>
      <c r="P1353" s="14" t="s">
        <v>86</v>
      </c>
      <c r="Q1353" s="14" t="s">
        <v>3442</v>
      </c>
      <c r="R1353" s="14">
        <v>2</v>
      </c>
      <c r="S1353" s="14">
        <f t="shared" si="1195"/>
        <v>0.86920000000000008</v>
      </c>
      <c r="T1353" s="560">
        <f>SUM(R1343:R1374)</f>
        <v>101.95000000000003</v>
      </c>
      <c r="U1353">
        <f>R1353/T1374*100</f>
        <v>1.9617459538989694</v>
      </c>
      <c r="V1353" s="220">
        <f t="shared" si="1412"/>
        <v>2.4405125076266034</v>
      </c>
      <c r="W1353" s="14" t="s">
        <v>86</v>
      </c>
      <c r="X1353">
        <f t="shared" si="1384"/>
        <v>2.0012202562538146</v>
      </c>
      <c r="Y1353" s="220">
        <f>X1353</f>
        <v>2.0012202562538146</v>
      </c>
      <c r="Z1353" s="220">
        <f t="shared" si="1419"/>
        <v>2.0012202562538146</v>
      </c>
      <c r="AA1353" s="792">
        <f t="shared" si="1417"/>
        <v>2.0012202562538146</v>
      </c>
      <c r="AB1353" s="18" t="s">
        <v>86</v>
      </c>
      <c r="AC1353" s="14" t="s">
        <v>18</v>
      </c>
      <c r="AD1353" s="14" t="s">
        <v>18</v>
      </c>
      <c r="AE1353" s="12">
        <v>0</v>
      </c>
      <c r="AF1353" s="12">
        <v>0</v>
      </c>
      <c r="AG1353" s="12">
        <v>0</v>
      </c>
      <c r="AH1353" s="12">
        <v>0</v>
      </c>
    </row>
    <row r="1354" spans="1:34" ht="14.25">
      <c r="A1354" s="14" t="s">
        <v>4713</v>
      </c>
      <c r="B1354" s="24" t="s">
        <v>2768</v>
      </c>
      <c r="C1354" s="14" t="s">
        <v>2813</v>
      </c>
      <c r="D1354" s="14" t="s">
        <v>2911</v>
      </c>
      <c r="E1354" s="14" t="s">
        <v>4714</v>
      </c>
      <c r="F1354" s="13">
        <v>56.24</v>
      </c>
      <c r="G1354" s="14" t="s">
        <v>3704</v>
      </c>
      <c r="H1354" s="567" t="s">
        <v>2973</v>
      </c>
      <c r="I1354" s="14" t="s">
        <v>4714</v>
      </c>
      <c r="J1354" s="14" t="s">
        <v>4715</v>
      </c>
      <c r="K1354" s="478">
        <v>0.82</v>
      </c>
      <c r="L1354" s="220">
        <v>43.46</v>
      </c>
      <c r="M1354" s="568" t="s">
        <v>4716</v>
      </c>
      <c r="N1354" s="479" t="s">
        <v>2937</v>
      </c>
      <c r="O1354" s="569" t="s">
        <v>2976</v>
      </c>
      <c r="P1354" s="14" t="s">
        <v>3021</v>
      </c>
      <c r="Q1354" s="486" t="s">
        <v>3022</v>
      </c>
      <c r="R1354" s="14">
        <v>2</v>
      </c>
      <c r="S1354" s="14">
        <f t="shared" si="1195"/>
        <v>0.86920000000000008</v>
      </c>
      <c r="T1354" s="560">
        <f>SUM(R1343:R1374)</f>
        <v>101.95000000000003</v>
      </c>
      <c r="U1354">
        <f>R1354/T1374*100</f>
        <v>1.9617459538989694</v>
      </c>
      <c r="V1354" s="220">
        <f t="shared" si="1412"/>
        <v>2.4405125076266034</v>
      </c>
      <c r="W1354" s="14" t="s">
        <v>346</v>
      </c>
      <c r="X1354">
        <f t="shared" si="1384"/>
        <v>2.0012202562538146</v>
      </c>
      <c r="Y1354" s="220" t="s">
        <v>1666</v>
      </c>
      <c r="Z1354" s="220" t="s">
        <v>1666</v>
      </c>
      <c r="AA1354" s="792" t="str">
        <f t="shared" si="1417"/>
        <v>*</v>
      </c>
      <c r="AB1354" s="458" t="str">
        <f t="shared" ref="AB1354:AH1354" si="1420">AA1354</f>
        <v>*</v>
      </c>
      <c r="AC1354" s="458" t="str">
        <f t="shared" si="1420"/>
        <v>*</v>
      </c>
      <c r="AD1354" s="458" t="str">
        <f t="shared" si="1420"/>
        <v>*</v>
      </c>
      <c r="AE1354" s="462" t="str">
        <f t="shared" si="1420"/>
        <v>*</v>
      </c>
      <c r="AF1354" s="462" t="str">
        <f t="shared" si="1420"/>
        <v>*</v>
      </c>
      <c r="AG1354" s="462" t="str">
        <f t="shared" si="1420"/>
        <v>*</v>
      </c>
      <c r="AH1354" s="462" t="str">
        <f t="shared" si="1420"/>
        <v>*</v>
      </c>
    </row>
    <row r="1355" spans="1:34" ht="14.25">
      <c r="A1355" s="14" t="s">
        <v>4713</v>
      </c>
      <c r="B1355" s="24" t="s">
        <v>2768</v>
      </c>
      <c r="C1355" s="14" t="s">
        <v>2813</v>
      </c>
      <c r="D1355" s="14" t="s">
        <v>2911</v>
      </c>
      <c r="E1355" s="14" t="s">
        <v>4714</v>
      </c>
      <c r="F1355" s="13">
        <v>56.24</v>
      </c>
      <c r="G1355" s="14" t="s">
        <v>3704</v>
      </c>
      <c r="H1355" s="567" t="s">
        <v>2973</v>
      </c>
      <c r="I1355" s="14" t="s">
        <v>4714</v>
      </c>
      <c r="J1355" s="14" t="s">
        <v>4715</v>
      </c>
      <c r="K1355" s="478">
        <v>0.82</v>
      </c>
      <c r="L1355" s="220">
        <v>43.46</v>
      </c>
      <c r="M1355" s="568" t="s">
        <v>4716</v>
      </c>
      <c r="N1355" s="479" t="s">
        <v>2937</v>
      </c>
      <c r="O1355" s="569" t="s">
        <v>2976</v>
      </c>
      <c r="P1355" s="14" t="s">
        <v>79</v>
      </c>
      <c r="Q1355" s="486" t="s">
        <v>4169</v>
      </c>
      <c r="R1355" s="14">
        <v>1.5</v>
      </c>
      <c r="S1355" s="14">
        <f t="shared" si="1195"/>
        <v>0.65190000000000003</v>
      </c>
      <c r="T1355" s="560">
        <f>SUM(R1343:R1374)</f>
        <v>101.95000000000003</v>
      </c>
      <c r="U1355">
        <f>R1355/T1374*100</f>
        <v>1.4713094654242271</v>
      </c>
      <c r="V1355" s="220">
        <f t="shared" si="1412"/>
        <v>1.8303843807199529</v>
      </c>
      <c r="W1355" s="14" t="s">
        <v>79</v>
      </c>
      <c r="X1355">
        <f t="shared" si="1384"/>
        <v>1.5009151921903614</v>
      </c>
      <c r="Y1355" s="220">
        <f t="shared" ref="Y1355:Z1355" si="1421">SUM(X1355,X1386)</f>
        <v>1.6218829341258454</v>
      </c>
      <c r="Z1355" s="220">
        <f t="shared" si="1421"/>
        <v>1.6218829341258454</v>
      </c>
      <c r="AA1355" s="792">
        <f t="shared" si="1417"/>
        <v>1.6218829341258454</v>
      </c>
      <c r="AB1355" s="18" t="s">
        <v>79</v>
      </c>
      <c r="AC1355" s="14" t="s">
        <v>18</v>
      </c>
      <c r="AD1355" s="14" t="s">
        <v>18</v>
      </c>
      <c r="AE1355" s="12">
        <v>1.3100000000000001E-2</v>
      </c>
      <c r="AF1355" s="12">
        <v>0.27117000000000002</v>
      </c>
      <c r="AG1355" s="12">
        <v>4.1E-5</v>
      </c>
      <c r="AH1355" s="12">
        <v>1.8699999999999999E-3</v>
      </c>
    </row>
    <row r="1356" spans="1:34" ht="14.25">
      <c r="A1356" s="14" t="s">
        <v>4713</v>
      </c>
      <c r="B1356" s="24" t="s">
        <v>2768</v>
      </c>
      <c r="C1356" s="14" t="s">
        <v>2813</v>
      </c>
      <c r="D1356" s="14" t="s">
        <v>2911</v>
      </c>
      <c r="E1356" s="14" t="s">
        <v>4714</v>
      </c>
      <c r="F1356" s="13">
        <v>56.24</v>
      </c>
      <c r="G1356" s="14" t="s">
        <v>3704</v>
      </c>
      <c r="H1356" s="567" t="s">
        <v>2973</v>
      </c>
      <c r="I1356" s="14" t="s">
        <v>4714</v>
      </c>
      <c r="J1356" s="14" t="s">
        <v>4715</v>
      </c>
      <c r="K1356" s="478">
        <v>0.82</v>
      </c>
      <c r="L1356" s="220">
        <v>43.46</v>
      </c>
      <c r="M1356" s="568" t="s">
        <v>4716</v>
      </c>
      <c r="N1356" s="479" t="s">
        <v>2937</v>
      </c>
      <c r="O1356" s="569" t="s">
        <v>2976</v>
      </c>
      <c r="P1356" s="14" t="s">
        <v>3191</v>
      </c>
      <c r="Q1356" s="486" t="s">
        <v>3192</v>
      </c>
      <c r="R1356" s="14">
        <v>1.5</v>
      </c>
      <c r="S1356" s="14">
        <f t="shared" si="1195"/>
        <v>0.65190000000000003</v>
      </c>
      <c r="T1356" s="560">
        <f>SUM(R1343:R1374)</f>
        <v>101.95000000000003</v>
      </c>
      <c r="U1356">
        <f t="shared" ref="U1356:U1431" si="1422">R1356/T1356*100</f>
        <v>1.4713094654242271</v>
      </c>
      <c r="V1356" s="220">
        <f t="shared" si="1412"/>
        <v>1.8303843807199529</v>
      </c>
      <c r="W1356" s="14" t="s">
        <v>200</v>
      </c>
      <c r="X1356">
        <f t="shared" si="1384"/>
        <v>1.5009151921903614</v>
      </c>
      <c r="Y1356" s="220">
        <f>SUM(X1356,X1360,X1361)</f>
        <v>3.502135448444176</v>
      </c>
      <c r="Z1356" s="220">
        <f>X1356</f>
        <v>1.5009151921903614</v>
      </c>
      <c r="AA1356" s="792">
        <f t="shared" si="1417"/>
        <v>1.5009151921903614</v>
      </c>
      <c r="AB1356" s="18" t="s">
        <v>200</v>
      </c>
      <c r="AC1356" s="13" t="s">
        <v>18</v>
      </c>
      <c r="AD1356" s="13" t="s">
        <v>18</v>
      </c>
      <c r="AE1356" s="22">
        <v>2.4663841103631703E-3</v>
      </c>
      <c r="AF1356" s="12">
        <v>2.0360674810936601E-2</v>
      </c>
      <c r="AG1356" s="12">
        <v>5.4639175257731962E-5</v>
      </c>
      <c r="AH1356" s="12">
        <v>2.7273704167221988E-4</v>
      </c>
    </row>
    <row r="1357" spans="1:34" ht="14.25">
      <c r="A1357" s="14" t="s">
        <v>4713</v>
      </c>
      <c r="B1357" s="24" t="s">
        <v>2768</v>
      </c>
      <c r="C1357" s="14" t="s">
        <v>2813</v>
      </c>
      <c r="D1357" s="14" t="s">
        <v>2911</v>
      </c>
      <c r="E1357" s="14" t="s">
        <v>4714</v>
      </c>
      <c r="F1357" s="13">
        <v>56.24</v>
      </c>
      <c r="G1357" s="14" t="s">
        <v>3704</v>
      </c>
      <c r="H1357" s="567" t="s">
        <v>2973</v>
      </c>
      <c r="I1357" s="14" t="s">
        <v>4714</v>
      </c>
      <c r="J1357" s="14" t="s">
        <v>4715</v>
      </c>
      <c r="K1357" s="478">
        <v>0.82</v>
      </c>
      <c r="L1357" s="220">
        <v>43.46</v>
      </c>
      <c r="M1357" s="568" t="s">
        <v>4716</v>
      </c>
      <c r="N1357" s="479" t="s">
        <v>2937</v>
      </c>
      <c r="O1357" s="569" t="s">
        <v>2976</v>
      </c>
      <c r="P1357" s="14" t="s">
        <v>3859</v>
      </c>
      <c r="Q1357" s="486" t="s">
        <v>3860</v>
      </c>
      <c r="R1357" s="14">
        <v>1</v>
      </c>
      <c r="S1357" s="14">
        <f t="shared" si="1195"/>
        <v>0.43460000000000004</v>
      </c>
      <c r="T1357" s="560">
        <f>SUM(R1343:R1374)</f>
        <v>101.95000000000003</v>
      </c>
      <c r="U1357">
        <f t="shared" si="1422"/>
        <v>0.98087297694948472</v>
      </c>
      <c r="V1357" s="220">
        <f t="shared" si="1412"/>
        <v>1.2202562538133017</v>
      </c>
      <c r="W1357" s="14" t="s">
        <v>222</v>
      </c>
      <c r="X1357">
        <f t="shared" si="1384"/>
        <v>1.0006101281269073</v>
      </c>
      <c r="Y1357" s="220" t="s">
        <v>1666</v>
      </c>
      <c r="Z1357" s="220" t="str">
        <f t="shared" ref="Z1357:AH1357" si="1423">Y1357</f>
        <v>*</v>
      </c>
      <c r="AA1357" s="792" t="str">
        <f t="shared" si="1423"/>
        <v>*</v>
      </c>
      <c r="AB1357" s="458" t="str">
        <f t="shared" si="1423"/>
        <v>*</v>
      </c>
      <c r="AC1357" s="458" t="str">
        <f t="shared" si="1423"/>
        <v>*</v>
      </c>
      <c r="AD1357" s="458" t="str">
        <f t="shared" si="1423"/>
        <v>*</v>
      </c>
      <c r="AE1357" s="462" t="str">
        <f t="shared" si="1423"/>
        <v>*</v>
      </c>
      <c r="AF1357" s="462" t="str">
        <f t="shared" si="1423"/>
        <v>*</v>
      </c>
      <c r="AG1357" s="462" t="str">
        <f t="shared" si="1423"/>
        <v>*</v>
      </c>
      <c r="AH1357" s="462" t="str">
        <f t="shared" si="1423"/>
        <v>*</v>
      </c>
    </row>
    <row r="1358" spans="1:34" ht="14.25">
      <c r="A1358" s="14" t="s">
        <v>4713</v>
      </c>
      <c r="B1358" s="24" t="s">
        <v>2768</v>
      </c>
      <c r="C1358" s="14" t="s">
        <v>2813</v>
      </c>
      <c r="D1358" s="14" t="s">
        <v>2911</v>
      </c>
      <c r="E1358" s="14" t="s">
        <v>4714</v>
      </c>
      <c r="F1358" s="13">
        <v>56.24</v>
      </c>
      <c r="G1358" s="14" t="s">
        <v>3704</v>
      </c>
      <c r="H1358" s="567" t="s">
        <v>2973</v>
      </c>
      <c r="I1358" s="14" t="s">
        <v>4714</v>
      </c>
      <c r="J1358" s="14" t="s">
        <v>4715</v>
      </c>
      <c r="K1358" s="478">
        <v>0.82</v>
      </c>
      <c r="L1358" s="220">
        <v>43.46</v>
      </c>
      <c r="M1358" s="568" t="s">
        <v>4716</v>
      </c>
      <c r="N1358" s="479" t="s">
        <v>2937</v>
      </c>
      <c r="O1358" s="569" t="s">
        <v>2976</v>
      </c>
      <c r="P1358" s="14" t="s">
        <v>139</v>
      </c>
      <c r="Q1358" s="14" t="s">
        <v>3020</v>
      </c>
      <c r="R1358" s="14">
        <v>1</v>
      </c>
      <c r="S1358" s="14">
        <f t="shared" si="1195"/>
        <v>0.43460000000000004</v>
      </c>
      <c r="T1358" s="560">
        <f>SUM(R1343:R1374)</f>
        <v>101.95000000000003</v>
      </c>
      <c r="U1358">
        <f t="shared" si="1422"/>
        <v>0.98087297694948472</v>
      </c>
      <c r="V1358" s="220">
        <f t="shared" si="1412"/>
        <v>1.2202562538133017</v>
      </c>
      <c r="W1358" s="14" t="s">
        <v>139</v>
      </c>
      <c r="X1358">
        <f t="shared" si="1384"/>
        <v>1.0006101281269073</v>
      </c>
      <c r="Y1358" s="499">
        <f>SUM(X1358,X1362,)</f>
        <v>1.500915192190361</v>
      </c>
      <c r="Z1358" s="220">
        <f t="shared" ref="Z1358:AA1358" si="1424">Y1358</f>
        <v>1.500915192190361</v>
      </c>
      <c r="AA1358" s="792">
        <f t="shared" si="1424"/>
        <v>1.500915192190361</v>
      </c>
      <c r="AB1358" s="18" t="s">
        <v>139</v>
      </c>
      <c r="AC1358" s="13" t="s">
        <v>138</v>
      </c>
      <c r="AD1358" s="13" t="s">
        <v>3019</v>
      </c>
      <c r="AE1358" s="12">
        <v>4.0165275294130297E-3</v>
      </c>
      <c r="AF1358" s="12">
        <v>3.2725331200335404E-2</v>
      </c>
      <c r="AG1358" s="12">
        <v>2.4399999999999999E-4</v>
      </c>
      <c r="AH1358" s="12">
        <v>2.0392735E-3</v>
      </c>
    </row>
    <row r="1359" spans="1:34" ht="14.25">
      <c r="A1359" s="14" t="s">
        <v>4713</v>
      </c>
      <c r="B1359" s="24" t="s">
        <v>2768</v>
      </c>
      <c r="C1359" s="14" t="s">
        <v>2813</v>
      </c>
      <c r="D1359" s="14" t="s">
        <v>2911</v>
      </c>
      <c r="E1359" s="14" t="s">
        <v>4714</v>
      </c>
      <c r="F1359" s="13">
        <v>56.24</v>
      </c>
      <c r="G1359" s="14" t="s">
        <v>3704</v>
      </c>
      <c r="H1359" s="567" t="s">
        <v>2973</v>
      </c>
      <c r="I1359" s="14" t="s">
        <v>4714</v>
      </c>
      <c r="J1359" s="14" t="s">
        <v>4715</v>
      </c>
      <c r="K1359" s="478">
        <v>0.82</v>
      </c>
      <c r="L1359" s="220">
        <v>43.46</v>
      </c>
      <c r="M1359" s="568" t="s">
        <v>4716</v>
      </c>
      <c r="N1359" s="479" t="s">
        <v>2937</v>
      </c>
      <c r="O1359" s="569" t="s">
        <v>2976</v>
      </c>
      <c r="P1359" s="14" t="s">
        <v>3072</v>
      </c>
      <c r="Q1359" s="14" t="s">
        <v>3073</v>
      </c>
      <c r="R1359" s="14">
        <v>1</v>
      </c>
      <c r="S1359" s="14">
        <f t="shared" si="1195"/>
        <v>0.43460000000000004</v>
      </c>
      <c r="T1359" s="560">
        <f>SUM(R1343:R1374)</f>
        <v>101.95000000000003</v>
      </c>
      <c r="U1359">
        <f t="shared" si="1422"/>
        <v>0.98087297694948472</v>
      </c>
      <c r="V1359" s="220">
        <f t="shared" si="1412"/>
        <v>1.2202562538133017</v>
      </c>
      <c r="W1359" s="14" t="s">
        <v>343</v>
      </c>
      <c r="X1359">
        <f t="shared" si="1384"/>
        <v>1.0006101281269073</v>
      </c>
      <c r="Y1359" s="220" t="s">
        <v>1666</v>
      </c>
      <c r="Z1359" s="220" t="s">
        <v>1666</v>
      </c>
      <c r="AA1359" s="792" t="str">
        <f t="shared" ref="AA1359:AH1359" si="1425">Z1359</f>
        <v>*</v>
      </c>
      <c r="AB1359" s="458" t="str">
        <f t="shared" si="1425"/>
        <v>*</v>
      </c>
      <c r="AC1359" s="458" t="str">
        <f t="shared" si="1425"/>
        <v>*</v>
      </c>
      <c r="AD1359" s="458" t="str">
        <f t="shared" si="1425"/>
        <v>*</v>
      </c>
      <c r="AE1359" s="462" t="str">
        <f t="shared" si="1425"/>
        <v>*</v>
      </c>
      <c r="AF1359" s="462" t="str">
        <f t="shared" si="1425"/>
        <v>*</v>
      </c>
      <c r="AG1359" s="462" t="str">
        <f t="shared" si="1425"/>
        <v>*</v>
      </c>
      <c r="AH1359" s="462" t="str">
        <f t="shared" si="1425"/>
        <v>*</v>
      </c>
    </row>
    <row r="1360" spans="1:34" ht="14.25">
      <c r="A1360" s="14" t="s">
        <v>4713</v>
      </c>
      <c r="B1360" s="24" t="s">
        <v>2768</v>
      </c>
      <c r="C1360" s="14" t="s">
        <v>2813</v>
      </c>
      <c r="D1360" s="14" t="s">
        <v>2911</v>
      </c>
      <c r="E1360" s="14" t="s">
        <v>4714</v>
      </c>
      <c r="F1360" s="13">
        <v>56.24</v>
      </c>
      <c r="G1360" s="14" t="s">
        <v>3704</v>
      </c>
      <c r="H1360" s="567" t="s">
        <v>2973</v>
      </c>
      <c r="I1360" s="14" t="s">
        <v>4714</v>
      </c>
      <c r="J1360" s="14" t="s">
        <v>4715</v>
      </c>
      <c r="K1360" s="478">
        <v>0.82</v>
      </c>
      <c r="L1360" s="220">
        <v>43.46</v>
      </c>
      <c r="M1360" s="568" t="s">
        <v>4716</v>
      </c>
      <c r="N1360" s="479" t="s">
        <v>2937</v>
      </c>
      <c r="O1360" s="569" t="s">
        <v>2976</v>
      </c>
      <c r="P1360" s="14" t="s">
        <v>3097</v>
      </c>
      <c r="Q1360" s="14" t="s">
        <v>3098</v>
      </c>
      <c r="R1360" s="14">
        <v>1</v>
      </c>
      <c r="S1360" s="14">
        <f t="shared" si="1195"/>
        <v>0.43460000000000004</v>
      </c>
      <c r="T1360" s="560">
        <f>SUM(R1343:R1374)</f>
        <v>101.95000000000003</v>
      </c>
      <c r="U1360">
        <f t="shared" si="1422"/>
        <v>0.98087297694948472</v>
      </c>
      <c r="V1360" s="220">
        <f t="shared" si="1412"/>
        <v>1.2202562538133017</v>
      </c>
      <c r="W1360" s="14" t="s">
        <v>201</v>
      </c>
      <c r="X1360">
        <f t="shared" si="1384"/>
        <v>1.0006101281269073</v>
      </c>
      <c r="Y1360" s="220" t="s">
        <v>1666</v>
      </c>
      <c r="Z1360" s="220">
        <f t="shared" ref="Z1360:Z1361" si="1426">X1360</f>
        <v>1.0006101281269073</v>
      </c>
      <c r="AA1360" s="792">
        <f t="shared" ref="AA1360:AA1362" si="1427">Z1360</f>
        <v>1.0006101281269073</v>
      </c>
      <c r="AB1360" s="18" t="s">
        <v>201</v>
      </c>
      <c r="AC1360" s="13" t="s">
        <v>3097</v>
      </c>
      <c r="AD1360" s="13" t="s">
        <v>3099</v>
      </c>
      <c r="AE1360" s="12">
        <v>4.18475450981867E-4</v>
      </c>
      <c r="AF1360" s="12">
        <v>8.6483234472969298E-3</v>
      </c>
      <c r="AG1360" s="12">
        <v>1.2528735632183908E-4</v>
      </c>
      <c r="AH1360" s="12">
        <v>3.0408612692190031E-4</v>
      </c>
    </row>
    <row r="1361" spans="1:34" ht="14.25">
      <c r="A1361" s="14" t="s">
        <v>4713</v>
      </c>
      <c r="B1361" s="24" t="s">
        <v>2768</v>
      </c>
      <c r="C1361" s="14" t="s">
        <v>2813</v>
      </c>
      <c r="D1361" s="14" t="s">
        <v>2911</v>
      </c>
      <c r="E1361" s="14" t="s">
        <v>4714</v>
      </c>
      <c r="F1361" s="13">
        <v>56.24</v>
      </c>
      <c r="G1361" s="14" t="s">
        <v>3704</v>
      </c>
      <c r="H1361" s="567" t="s">
        <v>2973</v>
      </c>
      <c r="I1361" s="14" t="s">
        <v>4714</v>
      </c>
      <c r="J1361" s="14" t="s">
        <v>4715</v>
      </c>
      <c r="K1361" s="478">
        <v>0.82</v>
      </c>
      <c r="L1361" s="220">
        <v>43.46</v>
      </c>
      <c r="M1361" s="568" t="s">
        <v>4716</v>
      </c>
      <c r="N1361" s="479" t="s">
        <v>2937</v>
      </c>
      <c r="O1361" s="569" t="s">
        <v>2976</v>
      </c>
      <c r="P1361" s="14" t="s">
        <v>3085</v>
      </c>
      <c r="Q1361" s="10" t="s">
        <v>3313</v>
      </c>
      <c r="R1361" s="14">
        <v>1</v>
      </c>
      <c r="S1361" s="14">
        <f t="shared" si="1195"/>
        <v>0.43460000000000004</v>
      </c>
      <c r="T1361" s="560">
        <f>SUM(R1343:R1374)</f>
        <v>101.95000000000003</v>
      </c>
      <c r="U1361">
        <f t="shared" si="1422"/>
        <v>0.98087297694948472</v>
      </c>
      <c r="V1361" s="220">
        <f t="shared" si="1412"/>
        <v>1.2202562538133017</v>
      </c>
      <c r="W1361" s="14" t="s">
        <v>690</v>
      </c>
      <c r="X1361">
        <f t="shared" si="1384"/>
        <v>1.0006101281269073</v>
      </c>
      <c r="Y1361" s="220" t="s">
        <v>1666</v>
      </c>
      <c r="Z1361" s="220">
        <f t="shared" si="1426"/>
        <v>1.0006101281269073</v>
      </c>
      <c r="AA1361" s="792">
        <f t="shared" si="1427"/>
        <v>1.0006101281269073</v>
      </c>
      <c r="AB1361" s="18" t="s">
        <v>690</v>
      </c>
      <c r="AC1361" s="13" t="s">
        <v>3087</v>
      </c>
      <c r="AD1361" s="13" t="s">
        <v>3088</v>
      </c>
      <c r="AE1361" s="12">
        <v>1.9306129458663359E-3</v>
      </c>
      <c r="AF1361" s="12">
        <v>3.9248033695195798E-2</v>
      </c>
      <c r="AG1361" s="12">
        <v>2.2000000000000001E-4</v>
      </c>
      <c r="AH1361" s="12">
        <v>2.1384856875782642E-3</v>
      </c>
    </row>
    <row r="1362" spans="1:34" ht="14.25">
      <c r="A1362" s="14" t="s">
        <v>4713</v>
      </c>
      <c r="B1362" s="24" t="s">
        <v>2768</v>
      </c>
      <c r="C1362" s="14" t="s">
        <v>2813</v>
      </c>
      <c r="D1362" s="14" t="s">
        <v>2911</v>
      </c>
      <c r="E1362" s="14" t="s">
        <v>4714</v>
      </c>
      <c r="F1362" s="13">
        <v>56.24</v>
      </c>
      <c r="G1362" s="14" t="s">
        <v>3704</v>
      </c>
      <c r="H1362" s="567" t="s">
        <v>2973</v>
      </c>
      <c r="I1362" s="14" t="s">
        <v>4714</v>
      </c>
      <c r="J1362" s="14" t="s">
        <v>4715</v>
      </c>
      <c r="K1362" s="478">
        <v>0.82</v>
      </c>
      <c r="L1362" s="220">
        <v>43.46</v>
      </c>
      <c r="M1362" s="568" t="s">
        <v>4716</v>
      </c>
      <c r="N1362" s="479" t="s">
        <v>2937</v>
      </c>
      <c r="O1362" s="569" t="s">
        <v>2976</v>
      </c>
      <c r="P1362" s="14" t="s">
        <v>3017</v>
      </c>
      <c r="Q1362" s="486" t="s">
        <v>3018</v>
      </c>
      <c r="R1362" s="14">
        <v>0.5</v>
      </c>
      <c r="S1362" s="14">
        <f t="shared" si="1195"/>
        <v>0.21730000000000002</v>
      </c>
      <c r="T1362" s="560">
        <f>SUM(R1343:R1374)</f>
        <v>101.95000000000003</v>
      </c>
      <c r="U1362">
        <f t="shared" si="1422"/>
        <v>0.49043648847474236</v>
      </c>
      <c r="V1362" s="220">
        <f t="shared" si="1412"/>
        <v>0.61012812690665086</v>
      </c>
      <c r="W1362" s="14" t="s">
        <v>2792</v>
      </c>
      <c r="X1362">
        <f t="shared" si="1384"/>
        <v>0.50030506406345365</v>
      </c>
      <c r="Y1362" s="220" t="s">
        <v>1624</v>
      </c>
      <c r="Z1362" s="220" t="s">
        <v>1666</v>
      </c>
      <c r="AA1362" s="792" t="str">
        <f t="shared" si="1427"/>
        <v>*</v>
      </c>
      <c r="AB1362" s="458" t="str">
        <f t="shared" ref="AB1362:AH1362" si="1428">AA1362</f>
        <v>*</v>
      </c>
      <c r="AC1362" s="458" t="str">
        <f t="shared" si="1428"/>
        <v>*</v>
      </c>
      <c r="AD1362" s="458" t="str">
        <f t="shared" si="1428"/>
        <v>*</v>
      </c>
      <c r="AE1362" s="462" t="str">
        <f t="shared" si="1428"/>
        <v>*</v>
      </c>
      <c r="AF1362" s="462" t="str">
        <f t="shared" si="1428"/>
        <v>*</v>
      </c>
      <c r="AG1362" s="462" t="str">
        <f t="shared" si="1428"/>
        <v>*</v>
      </c>
      <c r="AH1362" s="462" t="str">
        <f t="shared" si="1428"/>
        <v>*</v>
      </c>
    </row>
    <row r="1363" spans="1:34" ht="14.25">
      <c r="A1363" s="14" t="s">
        <v>4713</v>
      </c>
      <c r="B1363" s="24" t="s">
        <v>2768</v>
      </c>
      <c r="C1363" s="14" t="s">
        <v>2813</v>
      </c>
      <c r="D1363" s="14" t="s">
        <v>2911</v>
      </c>
      <c r="E1363" s="14" t="s">
        <v>4714</v>
      </c>
      <c r="F1363" s="13">
        <v>56.24</v>
      </c>
      <c r="G1363" s="14" t="s">
        <v>3704</v>
      </c>
      <c r="H1363" s="567" t="s">
        <v>2973</v>
      </c>
      <c r="I1363" s="14" t="s">
        <v>4714</v>
      </c>
      <c r="J1363" s="14" t="s">
        <v>4715</v>
      </c>
      <c r="K1363" s="478">
        <v>0.82</v>
      </c>
      <c r="L1363" s="220">
        <v>43.46</v>
      </c>
      <c r="M1363" s="568" t="s">
        <v>4716</v>
      </c>
      <c r="N1363" s="479" t="s">
        <v>2937</v>
      </c>
      <c r="O1363" s="569" t="s">
        <v>2976</v>
      </c>
      <c r="P1363" s="655" t="s">
        <v>4719</v>
      </c>
      <c r="Q1363" s="486" t="s">
        <v>4720</v>
      </c>
      <c r="R1363" s="14">
        <v>0.5</v>
      </c>
      <c r="S1363" s="14">
        <f t="shared" si="1195"/>
        <v>0.21730000000000002</v>
      </c>
      <c r="T1363" s="560">
        <f>SUM(R1343:R1374)</f>
        <v>101.95000000000003</v>
      </c>
      <c r="U1363">
        <f t="shared" si="1422"/>
        <v>0.49043648847474236</v>
      </c>
      <c r="V1363" s="220">
        <f t="shared" si="1412"/>
        <v>0.61012812690665086</v>
      </c>
      <c r="W1363" s="14" t="s">
        <v>4721</v>
      </c>
      <c r="X1363">
        <f t="shared" si="1384"/>
        <v>0.50030506406345365</v>
      </c>
      <c r="Y1363" s="499">
        <f t="shared" ref="Y1363:AA1363" si="1429">X1363</f>
        <v>0.50030506406345365</v>
      </c>
      <c r="Z1363" s="220">
        <f t="shared" si="1429"/>
        <v>0.50030506406345365</v>
      </c>
      <c r="AA1363" s="792">
        <f t="shared" si="1429"/>
        <v>0.50030506406345365</v>
      </c>
      <c r="AB1363" s="809" t="s">
        <v>2818</v>
      </c>
      <c r="AC1363" s="511" t="s">
        <v>3174</v>
      </c>
      <c r="AD1363" s="511" t="s">
        <v>4722</v>
      </c>
      <c r="AE1363" s="468">
        <v>2.2073766211046637E-2</v>
      </c>
      <c r="AF1363" s="468">
        <v>8.7246004352723297E-2</v>
      </c>
      <c r="AG1363" s="468">
        <v>5.8202330775582959E-4</v>
      </c>
      <c r="AH1363" s="468">
        <v>2.670351142205461E-3</v>
      </c>
    </row>
    <row r="1364" spans="1:34" ht="14.25">
      <c r="A1364" s="14" t="s">
        <v>4713</v>
      </c>
      <c r="B1364" s="24" t="s">
        <v>2768</v>
      </c>
      <c r="C1364" s="14" t="s">
        <v>2813</v>
      </c>
      <c r="D1364" s="14" t="s">
        <v>2911</v>
      </c>
      <c r="E1364" s="14" t="s">
        <v>4714</v>
      </c>
      <c r="F1364" s="13">
        <v>56.24</v>
      </c>
      <c r="G1364" s="14" t="s">
        <v>3704</v>
      </c>
      <c r="H1364" s="567" t="s">
        <v>2973</v>
      </c>
      <c r="I1364" s="14" t="s">
        <v>4714</v>
      </c>
      <c r="J1364" s="14" t="s">
        <v>4715</v>
      </c>
      <c r="K1364" s="478">
        <v>0.82</v>
      </c>
      <c r="L1364" s="220">
        <v>43.46</v>
      </c>
      <c r="M1364" s="568" t="s">
        <v>4716</v>
      </c>
      <c r="N1364" s="479" t="s">
        <v>2937</v>
      </c>
      <c r="O1364" s="569" t="s">
        <v>2976</v>
      </c>
      <c r="P1364" s="14" t="s">
        <v>438</v>
      </c>
      <c r="Q1364" s="14" t="s">
        <v>4206</v>
      </c>
      <c r="R1364" s="14">
        <v>0.2</v>
      </c>
      <c r="S1364" s="14">
        <f t="shared" si="1195"/>
        <v>8.6919999999999997E-2</v>
      </c>
      <c r="T1364" s="560">
        <f>SUM(R1343:R1374)</f>
        <v>101.95000000000003</v>
      </c>
      <c r="U1364">
        <f t="shared" si="1422"/>
        <v>0.19617459538989698</v>
      </c>
      <c r="V1364" s="220">
        <f t="shared" si="1412"/>
        <v>0.2440512507626604</v>
      </c>
      <c r="W1364" s="14" t="s">
        <v>438</v>
      </c>
      <c r="X1364">
        <f t="shared" si="1384"/>
        <v>0.20012202562538153</v>
      </c>
      <c r="Y1364" s="499">
        <f t="shared" ref="Y1364:AA1364" si="1430">X1364</f>
        <v>0.20012202562538153</v>
      </c>
      <c r="Z1364" s="220">
        <f t="shared" si="1430"/>
        <v>0.20012202562538153</v>
      </c>
      <c r="AA1364" s="792">
        <f t="shared" si="1430"/>
        <v>0.20012202562538153</v>
      </c>
      <c r="AB1364" s="18" t="s">
        <v>438</v>
      </c>
      <c r="AC1364" s="13" t="s">
        <v>3056</v>
      </c>
      <c r="AD1364" s="13" t="s">
        <v>3057</v>
      </c>
      <c r="AE1364" s="12">
        <v>0</v>
      </c>
      <c r="AF1364" s="12">
        <v>0</v>
      </c>
      <c r="AG1364" s="12">
        <v>0</v>
      </c>
      <c r="AH1364" s="12">
        <v>0</v>
      </c>
    </row>
    <row r="1365" spans="1:34" ht="14.25">
      <c r="A1365" s="14" t="s">
        <v>4713</v>
      </c>
      <c r="B1365" s="24" t="s">
        <v>2768</v>
      </c>
      <c r="C1365" s="14" t="s">
        <v>2813</v>
      </c>
      <c r="D1365" s="14" t="s">
        <v>2911</v>
      </c>
      <c r="E1365" s="14" t="s">
        <v>4714</v>
      </c>
      <c r="F1365" s="13">
        <v>56.24</v>
      </c>
      <c r="G1365" s="14" t="s">
        <v>3704</v>
      </c>
      <c r="H1365" s="567" t="s">
        <v>2973</v>
      </c>
      <c r="I1365" s="14" t="s">
        <v>4714</v>
      </c>
      <c r="J1365" s="14" t="s">
        <v>4715</v>
      </c>
      <c r="K1365" s="478">
        <v>0.82</v>
      </c>
      <c r="L1365" s="220">
        <v>43.46</v>
      </c>
      <c r="M1365" s="568" t="s">
        <v>4716</v>
      </c>
      <c r="N1365" s="479" t="s">
        <v>2937</v>
      </c>
      <c r="O1365" s="569" t="s">
        <v>2976</v>
      </c>
      <c r="P1365" s="14" t="s">
        <v>2994</v>
      </c>
      <c r="Q1365" s="435" t="s">
        <v>2995</v>
      </c>
      <c r="R1365" s="14">
        <v>0.2</v>
      </c>
      <c r="S1365" s="14">
        <f t="shared" si="1195"/>
        <v>8.6919999999999997E-2</v>
      </c>
      <c r="T1365" s="560">
        <f>SUM(R1343:R1374)</f>
        <v>101.95000000000003</v>
      </c>
      <c r="U1365">
        <f t="shared" si="1422"/>
        <v>0.19617459538989698</v>
      </c>
      <c r="V1365" s="220">
        <f t="shared" si="1412"/>
        <v>0.2440512507626604</v>
      </c>
      <c r="W1365" s="14" t="s">
        <v>4723</v>
      </c>
      <c r="X1365">
        <f t="shared" si="1384"/>
        <v>0.20012202562538153</v>
      </c>
      <c r="Y1365" s="220" t="s">
        <v>1666</v>
      </c>
      <c r="Z1365" s="220">
        <f t="shared" ref="Z1365:Z1367" si="1431">X1365</f>
        <v>0.20012202562538153</v>
      </c>
      <c r="AA1365" s="792">
        <f t="shared" ref="AA1365:AA1367" si="1432">Z1365</f>
        <v>0.20012202562538153</v>
      </c>
      <c r="AB1365" s="18" t="s">
        <v>121</v>
      </c>
      <c r="AC1365" s="13" t="s">
        <v>121</v>
      </c>
      <c r="AD1365" s="14" t="s">
        <v>2923</v>
      </c>
      <c r="AE1365" s="12">
        <v>4.1127278199052132E-2</v>
      </c>
      <c r="AF1365" s="12">
        <v>0.12092157867298578</v>
      </c>
      <c r="AG1365" s="12">
        <v>8.0618486208530824E-4</v>
      </c>
      <c r="AH1365" s="12">
        <v>7.5857890995260661E-3</v>
      </c>
    </row>
    <row r="1366" spans="1:34" ht="14.25">
      <c r="A1366" s="14" t="s">
        <v>4713</v>
      </c>
      <c r="B1366" s="24" t="s">
        <v>2768</v>
      </c>
      <c r="C1366" s="14" t="s">
        <v>2813</v>
      </c>
      <c r="D1366" s="14" t="s">
        <v>2911</v>
      </c>
      <c r="E1366" s="14" t="s">
        <v>4714</v>
      </c>
      <c r="F1366" s="13">
        <v>56.24</v>
      </c>
      <c r="G1366" s="14" t="s">
        <v>3704</v>
      </c>
      <c r="H1366" s="567" t="s">
        <v>2973</v>
      </c>
      <c r="I1366" s="14" t="s">
        <v>4714</v>
      </c>
      <c r="J1366" s="14" t="s">
        <v>4715</v>
      </c>
      <c r="K1366" s="478">
        <v>0.82</v>
      </c>
      <c r="L1366" s="220">
        <v>43.46</v>
      </c>
      <c r="M1366" s="568" t="s">
        <v>4716</v>
      </c>
      <c r="N1366" s="479" t="s">
        <v>2937</v>
      </c>
      <c r="O1366" s="569" t="s">
        <v>2976</v>
      </c>
      <c r="P1366" s="14" t="s">
        <v>3013</v>
      </c>
      <c r="Q1366" s="88" t="s">
        <v>4704</v>
      </c>
      <c r="R1366" s="14">
        <v>0.2</v>
      </c>
      <c r="S1366" s="14">
        <f t="shared" si="1195"/>
        <v>8.6919999999999997E-2</v>
      </c>
      <c r="T1366" s="560">
        <f>SUM(R1343:R1374)</f>
        <v>101.95000000000003</v>
      </c>
      <c r="U1366">
        <f t="shared" si="1422"/>
        <v>0.19617459538989698</v>
      </c>
      <c r="V1366" s="220">
        <f t="shared" si="1412"/>
        <v>0.2440512507626604</v>
      </c>
      <c r="W1366" s="14" t="s">
        <v>88</v>
      </c>
      <c r="X1366">
        <f t="shared" si="1384"/>
        <v>0.20012202562538153</v>
      </c>
      <c r="Y1366" s="220" t="s">
        <v>1666</v>
      </c>
      <c r="Z1366" s="220">
        <f t="shared" si="1431"/>
        <v>0.20012202562538153</v>
      </c>
      <c r="AA1366" s="792">
        <f t="shared" si="1432"/>
        <v>0.20012202562538153</v>
      </c>
      <c r="AB1366" s="18" t="s">
        <v>88</v>
      </c>
      <c r="AC1366" s="13" t="s">
        <v>3015</v>
      </c>
      <c r="AD1366" s="14" t="s">
        <v>3016</v>
      </c>
      <c r="AE1366" s="12">
        <v>5.5280749052132698E-2</v>
      </c>
      <c r="AF1366" s="12">
        <v>0.16253532298578199</v>
      </c>
      <c r="AG1366" s="12">
        <v>1.0836239353080568E-3</v>
      </c>
      <c r="AH1366" s="12">
        <v>1.0196349526066351E-2</v>
      </c>
    </row>
    <row r="1367" spans="1:34" ht="14.25">
      <c r="A1367" s="14" t="s">
        <v>4713</v>
      </c>
      <c r="B1367" s="24" t="s">
        <v>2768</v>
      </c>
      <c r="C1367" s="14" t="s">
        <v>2813</v>
      </c>
      <c r="D1367" s="14" t="s">
        <v>2911</v>
      </c>
      <c r="E1367" s="14" t="s">
        <v>4714</v>
      </c>
      <c r="F1367" s="13">
        <v>56.24</v>
      </c>
      <c r="G1367" s="14" t="s">
        <v>3704</v>
      </c>
      <c r="H1367" s="567" t="s">
        <v>2973</v>
      </c>
      <c r="I1367" s="14" t="s">
        <v>4714</v>
      </c>
      <c r="J1367" s="14" t="s">
        <v>4715</v>
      </c>
      <c r="K1367" s="478">
        <v>0.82</v>
      </c>
      <c r="L1367" s="220">
        <v>43.46</v>
      </c>
      <c r="M1367" s="568" t="s">
        <v>4716</v>
      </c>
      <c r="N1367" s="479" t="s">
        <v>2937</v>
      </c>
      <c r="O1367" s="569" t="s">
        <v>2976</v>
      </c>
      <c r="P1367" s="14" t="s">
        <v>3008</v>
      </c>
      <c r="Q1367" s="486" t="s">
        <v>3009</v>
      </c>
      <c r="R1367" s="14">
        <v>0.2</v>
      </c>
      <c r="S1367" s="14">
        <f t="shared" si="1195"/>
        <v>8.6919999999999997E-2</v>
      </c>
      <c r="T1367" s="560">
        <f>SUM(R1343:R1374)</f>
        <v>101.95000000000003</v>
      </c>
      <c r="U1367">
        <f t="shared" si="1422"/>
        <v>0.19617459538989698</v>
      </c>
      <c r="V1367" s="220">
        <f t="shared" si="1412"/>
        <v>0.2440512507626604</v>
      </c>
      <c r="W1367" s="14" t="s">
        <v>1588</v>
      </c>
      <c r="X1367">
        <f t="shared" si="1384"/>
        <v>0.20012202562538153</v>
      </c>
      <c r="Y1367" s="220" t="s">
        <v>1666</v>
      </c>
      <c r="Z1367" s="220">
        <f t="shared" si="1431"/>
        <v>0.20012202562538153</v>
      </c>
      <c r="AA1367" s="792">
        <f t="shared" si="1432"/>
        <v>0.20012202562538153</v>
      </c>
      <c r="AB1367" s="18" t="s">
        <v>1588</v>
      </c>
      <c r="AC1367" s="18" t="str">
        <f t="shared" ref="AC1367:AD1367" si="1433">AB1367</f>
        <v>brown sugar</v>
      </c>
      <c r="AD1367" s="18" t="str">
        <f t="shared" si="1433"/>
        <v>brown sugar</v>
      </c>
      <c r="AE1367" s="12">
        <v>2.9559941486988851E-4</v>
      </c>
      <c r="AF1367" s="12">
        <v>1.227390180878553E-2</v>
      </c>
      <c r="AG1367" s="12">
        <v>5.0880902043692758E-4</v>
      </c>
      <c r="AH1367" s="12">
        <v>3.9359045321580248E-4</v>
      </c>
    </row>
    <row r="1368" spans="1:34" ht="14.25">
      <c r="A1368" s="14" t="s">
        <v>4713</v>
      </c>
      <c r="B1368" s="24" t="s">
        <v>2768</v>
      </c>
      <c r="C1368" s="14" t="s">
        <v>2813</v>
      </c>
      <c r="D1368" s="14" t="s">
        <v>2911</v>
      </c>
      <c r="E1368" s="14" t="s">
        <v>4714</v>
      </c>
      <c r="F1368" s="13">
        <v>56.24</v>
      </c>
      <c r="G1368" s="14" t="s">
        <v>3704</v>
      </c>
      <c r="H1368" s="567" t="s">
        <v>2973</v>
      </c>
      <c r="I1368" s="14" t="s">
        <v>4714</v>
      </c>
      <c r="J1368" s="14" t="s">
        <v>4715</v>
      </c>
      <c r="K1368" s="478">
        <v>0.82</v>
      </c>
      <c r="L1368" s="220">
        <v>43.46</v>
      </c>
      <c r="M1368" s="568" t="s">
        <v>4716</v>
      </c>
      <c r="N1368" s="479" t="s">
        <v>2937</v>
      </c>
      <c r="O1368" s="569" t="s">
        <v>2976</v>
      </c>
      <c r="P1368" s="14" t="s">
        <v>430</v>
      </c>
      <c r="Q1368" s="527" t="s">
        <v>4086</v>
      </c>
      <c r="R1368" s="14">
        <v>0.2</v>
      </c>
      <c r="S1368" s="14">
        <f t="shared" si="1195"/>
        <v>8.6919999999999997E-2</v>
      </c>
      <c r="T1368" s="560">
        <f>SUM(R1343:R1374)</f>
        <v>101.95000000000003</v>
      </c>
      <c r="U1368">
        <f t="shared" si="1422"/>
        <v>0.19617459538989698</v>
      </c>
      <c r="V1368" s="220">
        <f t="shared" si="1412"/>
        <v>0.2440512507626604</v>
      </c>
      <c r="W1368" s="14" t="s">
        <v>430</v>
      </c>
      <c r="X1368">
        <f t="shared" si="1384"/>
        <v>0.20012202562538153</v>
      </c>
      <c r="Y1368" s="499">
        <f t="shared" ref="Y1368:AA1368" si="1434">X1368</f>
        <v>0.20012202562538153</v>
      </c>
      <c r="Z1368" s="220">
        <f t="shared" si="1434"/>
        <v>0.20012202562538153</v>
      </c>
      <c r="AA1368" s="792">
        <f t="shared" si="1434"/>
        <v>0.20012202562538153</v>
      </c>
      <c r="AB1368" s="18" t="s">
        <v>430</v>
      </c>
      <c r="AC1368" s="13" t="s">
        <v>18</v>
      </c>
      <c r="AD1368" s="13" t="s">
        <v>18</v>
      </c>
      <c r="AE1368" s="12">
        <v>0</v>
      </c>
      <c r="AF1368" s="12">
        <v>0</v>
      </c>
      <c r="AG1368" s="12">
        <v>0</v>
      </c>
      <c r="AH1368" s="12">
        <v>0</v>
      </c>
    </row>
    <row r="1369" spans="1:34" ht="14.25">
      <c r="A1369" s="14" t="s">
        <v>4713</v>
      </c>
      <c r="B1369" s="24" t="s">
        <v>2768</v>
      </c>
      <c r="C1369" s="14" t="s">
        <v>2813</v>
      </c>
      <c r="D1369" s="14" t="s">
        <v>2911</v>
      </c>
      <c r="E1369" s="14" t="s">
        <v>4714</v>
      </c>
      <c r="F1369" s="13">
        <v>56.24</v>
      </c>
      <c r="G1369" s="14" t="s">
        <v>3704</v>
      </c>
      <c r="H1369" s="567" t="s">
        <v>2973</v>
      </c>
      <c r="I1369" s="14" t="s">
        <v>4714</v>
      </c>
      <c r="J1369" s="14" t="s">
        <v>4715</v>
      </c>
      <c r="K1369" s="478">
        <v>0.82</v>
      </c>
      <c r="L1369" s="220">
        <v>43.46</v>
      </c>
      <c r="M1369" s="568" t="s">
        <v>4716</v>
      </c>
      <c r="N1369" s="479" t="s">
        <v>2937</v>
      </c>
      <c r="O1369" s="569" t="s">
        <v>2976</v>
      </c>
      <c r="P1369" s="14" t="s">
        <v>421</v>
      </c>
      <c r="Q1369" s="14" t="s">
        <v>2952</v>
      </c>
      <c r="R1369" s="14">
        <v>0.2</v>
      </c>
      <c r="S1369" s="14">
        <f t="shared" si="1195"/>
        <v>8.6919999999999997E-2</v>
      </c>
      <c r="T1369" s="560">
        <f>SUM(R1343:R1374)</f>
        <v>101.95000000000003</v>
      </c>
      <c r="U1369">
        <f t="shared" si="1422"/>
        <v>0.19617459538989698</v>
      </c>
      <c r="V1369" s="220">
        <f t="shared" si="1412"/>
        <v>0.2440512507626604</v>
      </c>
      <c r="W1369" s="14" t="s">
        <v>424</v>
      </c>
      <c r="X1369">
        <f t="shared" si="1384"/>
        <v>0.20012202562538153</v>
      </c>
      <c r="Y1369" s="499">
        <f t="shared" ref="Y1369:AA1369" si="1435">X1369</f>
        <v>0.20012202562538153</v>
      </c>
      <c r="Z1369" s="220">
        <f t="shared" si="1435"/>
        <v>0.20012202562538153</v>
      </c>
      <c r="AA1369" s="792">
        <f t="shared" si="1435"/>
        <v>0.20012202562538153</v>
      </c>
      <c r="AB1369" s="18" t="s">
        <v>424</v>
      </c>
      <c r="AC1369" s="14" t="s">
        <v>2953</v>
      </c>
      <c r="AD1369" s="14" t="s">
        <v>2954</v>
      </c>
      <c r="AE1369" s="12">
        <v>0.2509573149461517</v>
      </c>
      <c r="AF1369" s="12">
        <v>0.48063158219067315</v>
      </c>
      <c r="AG1369" s="12">
        <v>2.9767747463359634E-5</v>
      </c>
      <c r="AH1369" s="12">
        <v>1.0994045246148063E-2</v>
      </c>
    </row>
    <row r="1370" spans="1:34" ht="14.25">
      <c r="A1370" s="14" t="s">
        <v>4713</v>
      </c>
      <c r="B1370" s="24" t="s">
        <v>2768</v>
      </c>
      <c r="C1370" s="14" t="s">
        <v>2813</v>
      </c>
      <c r="D1370" s="14" t="s">
        <v>2911</v>
      </c>
      <c r="E1370" s="14" t="s">
        <v>4714</v>
      </c>
      <c r="F1370" s="13">
        <v>56.24</v>
      </c>
      <c r="G1370" s="14" t="s">
        <v>3704</v>
      </c>
      <c r="H1370" s="567" t="s">
        <v>2973</v>
      </c>
      <c r="I1370" s="14" t="s">
        <v>4714</v>
      </c>
      <c r="J1370" s="14" t="s">
        <v>4715</v>
      </c>
      <c r="K1370" s="478">
        <v>0.82</v>
      </c>
      <c r="L1370" s="220">
        <v>43.46</v>
      </c>
      <c r="M1370" s="568" t="s">
        <v>4716</v>
      </c>
      <c r="N1370" s="479" t="s">
        <v>2937</v>
      </c>
      <c r="O1370" s="569" t="s">
        <v>2976</v>
      </c>
      <c r="P1370" s="14" t="s">
        <v>2948</v>
      </c>
      <c r="Q1370" s="14" t="s">
        <v>2949</v>
      </c>
      <c r="R1370" s="14">
        <v>0.2</v>
      </c>
      <c r="S1370" s="14">
        <f t="shared" si="1195"/>
        <v>8.6919999999999997E-2</v>
      </c>
      <c r="T1370" s="560">
        <f>SUM(R1343:R1374)</f>
        <v>101.95000000000003</v>
      </c>
      <c r="U1370">
        <f t="shared" si="1422"/>
        <v>0.19617459538989698</v>
      </c>
      <c r="V1370" s="220">
        <f t="shared" si="1412"/>
        <v>0.2440512507626604</v>
      </c>
      <c r="W1370" s="14" t="s">
        <v>305</v>
      </c>
      <c r="X1370">
        <f t="shared" si="1384"/>
        <v>0.20012202562538153</v>
      </c>
      <c r="Y1370" s="220" t="s">
        <v>1666</v>
      </c>
      <c r="Z1370" s="220">
        <f t="shared" ref="Z1370:Z1373" si="1436">X1370</f>
        <v>0.20012202562538153</v>
      </c>
      <c r="AA1370" s="792">
        <f t="shared" ref="AA1370:AA1373" si="1437">Z1370</f>
        <v>0.20012202562538153</v>
      </c>
      <c r="AB1370" s="18" t="s">
        <v>2684</v>
      </c>
      <c r="AC1370" s="13" t="s">
        <v>3485</v>
      </c>
      <c r="AD1370" s="13" t="s">
        <v>2944</v>
      </c>
      <c r="AE1370" s="12">
        <v>4.7062756261925113E-3</v>
      </c>
      <c r="AF1370" s="12">
        <v>3.8210906557435767E-2</v>
      </c>
      <c r="AG1370" s="12">
        <v>8.2999999999999998E-5</v>
      </c>
      <c r="AH1370" s="12">
        <v>5.9908272287602653E-4</v>
      </c>
    </row>
    <row r="1371" spans="1:34" ht="14.25">
      <c r="A1371" s="14" t="s">
        <v>4713</v>
      </c>
      <c r="B1371" s="24" t="s">
        <v>2768</v>
      </c>
      <c r="C1371" s="14" t="s">
        <v>2813</v>
      </c>
      <c r="D1371" s="14" t="s">
        <v>2911</v>
      </c>
      <c r="E1371" s="14" t="s">
        <v>4714</v>
      </c>
      <c r="F1371" s="13">
        <v>56.24</v>
      </c>
      <c r="G1371" s="14" t="s">
        <v>3704</v>
      </c>
      <c r="H1371" s="567" t="s">
        <v>2973</v>
      </c>
      <c r="I1371" s="14" t="s">
        <v>4714</v>
      </c>
      <c r="J1371" s="14" t="s">
        <v>4715</v>
      </c>
      <c r="K1371" s="478">
        <v>0.82</v>
      </c>
      <c r="L1371" s="220">
        <v>43.46</v>
      </c>
      <c r="M1371" s="568" t="s">
        <v>4716</v>
      </c>
      <c r="N1371" s="479" t="s">
        <v>2937</v>
      </c>
      <c r="O1371" s="569" t="s">
        <v>2976</v>
      </c>
      <c r="P1371" s="14" t="s">
        <v>2849</v>
      </c>
      <c r="Q1371" s="14" t="s">
        <v>4724</v>
      </c>
      <c r="R1371" s="14">
        <v>0.2</v>
      </c>
      <c r="S1371" s="14">
        <f t="shared" si="1195"/>
        <v>8.6919999999999997E-2</v>
      </c>
      <c r="T1371" s="560">
        <f>SUM(R1343:R1374)</f>
        <v>101.95000000000003</v>
      </c>
      <c r="U1371">
        <f t="shared" si="1422"/>
        <v>0.19617459538989698</v>
      </c>
      <c r="V1371" s="220">
        <f t="shared" si="1412"/>
        <v>0.2440512507626604</v>
      </c>
      <c r="W1371" s="14" t="s">
        <v>2849</v>
      </c>
      <c r="X1371">
        <f t="shared" si="1384"/>
        <v>0.20012202562538153</v>
      </c>
      <c r="Y1371" s="499">
        <f>SUM(X1371,X1372,X1373)</f>
        <v>0.60036607687614463</v>
      </c>
      <c r="Z1371" s="220">
        <f t="shared" si="1436"/>
        <v>0.20012202562538153</v>
      </c>
      <c r="AA1371" s="792">
        <f t="shared" si="1437"/>
        <v>0.20012202562538153</v>
      </c>
      <c r="AB1371" s="18" t="s">
        <v>315</v>
      </c>
      <c r="AC1371" s="13" t="s">
        <v>18</v>
      </c>
      <c r="AD1371" s="13" t="s">
        <v>3144</v>
      </c>
      <c r="AE1371" s="12">
        <v>1.5308726E-2</v>
      </c>
      <c r="AF1371" s="12">
        <v>0.61255519650000001</v>
      </c>
      <c r="AG1371" s="12">
        <v>9.2100000000000005E-4</v>
      </c>
      <c r="AH1371" s="12">
        <v>4.999E-3</v>
      </c>
    </row>
    <row r="1372" spans="1:34" ht="14.25">
      <c r="A1372" s="14" t="s">
        <v>4713</v>
      </c>
      <c r="B1372" s="24" t="s">
        <v>2768</v>
      </c>
      <c r="C1372" s="14" t="s">
        <v>2813</v>
      </c>
      <c r="D1372" s="14" t="s">
        <v>2911</v>
      </c>
      <c r="E1372" s="14" t="s">
        <v>4714</v>
      </c>
      <c r="F1372" s="13">
        <v>56.24</v>
      </c>
      <c r="G1372" s="14" t="s">
        <v>3704</v>
      </c>
      <c r="H1372" s="567" t="s">
        <v>2973</v>
      </c>
      <c r="I1372" s="14" t="s">
        <v>4714</v>
      </c>
      <c r="J1372" s="14" t="s">
        <v>4715</v>
      </c>
      <c r="K1372" s="478">
        <v>0.82</v>
      </c>
      <c r="L1372" s="220">
        <v>43.46</v>
      </c>
      <c r="M1372" s="568" t="s">
        <v>4716</v>
      </c>
      <c r="N1372" s="479" t="s">
        <v>2937</v>
      </c>
      <c r="O1372" s="569" t="s">
        <v>2976</v>
      </c>
      <c r="P1372" s="14" t="s">
        <v>316</v>
      </c>
      <c r="Q1372" s="14" t="s">
        <v>4725</v>
      </c>
      <c r="R1372" s="14">
        <v>0.2</v>
      </c>
      <c r="S1372" s="14">
        <f t="shared" si="1195"/>
        <v>8.6919999999999997E-2</v>
      </c>
      <c r="T1372" s="560">
        <f>SUM(R1343:R1374)</f>
        <v>101.95000000000003</v>
      </c>
      <c r="U1372">
        <f t="shared" si="1422"/>
        <v>0.19617459538989698</v>
      </c>
      <c r="V1372" s="220">
        <f t="shared" si="1412"/>
        <v>0.2440512507626604</v>
      </c>
      <c r="W1372" s="14" t="s">
        <v>316</v>
      </c>
      <c r="X1372">
        <f t="shared" si="1384"/>
        <v>0.20012202562538153</v>
      </c>
      <c r="Y1372" s="220" t="s">
        <v>1624</v>
      </c>
      <c r="Z1372" s="220">
        <f t="shared" si="1436"/>
        <v>0.20012202562538153</v>
      </c>
      <c r="AA1372" s="792">
        <f t="shared" si="1437"/>
        <v>0.20012202562538153</v>
      </c>
      <c r="AB1372" s="18" t="s">
        <v>1280</v>
      </c>
      <c r="AC1372" s="13" t="s">
        <v>18</v>
      </c>
      <c r="AD1372" s="13" t="s">
        <v>3144</v>
      </c>
      <c r="AE1372" s="12">
        <f>0.003937783028</f>
        <v>3.9377830280000001E-3</v>
      </c>
      <c r="AF1372" s="12">
        <v>0.1260090569</v>
      </c>
      <c r="AG1372" s="12">
        <v>4.8543689319999998E-5</v>
      </c>
      <c r="AH1372" s="12">
        <f>0.73/453.592</f>
        <v>1.6093758267341576E-3</v>
      </c>
    </row>
    <row r="1373" spans="1:34" ht="14.25">
      <c r="A1373" s="14" t="s">
        <v>4713</v>
      </c>
      <c r="B1373" s="24" t="s">
        <v>2768</v>
      </c>
      <c r="C1373" s="14" t="s">
        <v>2813</v>
      </c>
      <c r="D1373" s="14" t="s">
        <v>2911</v>
      </c>
      <c r="E1373" s="14" t="s">
        <v>4714</v>
      </c>
      <c r="F1373" s="13">
        <v>56.24</v>
      </c>
      <c r="G1373" s="14" t="s">
        <v>3704</v>
      </c>
      <c r="H1373" s="567" t="s">
        <v>2973</v>
      </c>
      <c r="I1373" s="14" t="s">
        <v>4714</v>
      </c>
      <c r="J1373" s="14" t="s">
        <v>4715</v>
      </c>
      <c r="K1373" s="478">
        <v>0.82</v>
      </c>
      <c r="L1373" s="220">
        <v>43.46</v>
      </c>
      <c r="M1373" s="568" t="s">
        <v>4716</v>
      </c>
      <c r="N1373" s="479" t="s">
        <v>2937</v>
      </c>
      <c r="O1373" s="569" t="s">
        <v>2976</v>
      </c>
      <c r="P1373" s="14" t="s">
        <v>2688</v>
      </c>
      <c r="Q1373" s="14" t="s">
        <v>4114</v>
      </c>
      <c r="R1373" s="14">
        <v>0.2</v>
      </c>
      <c r="S1373" s="14">
        <f t="shared" si="1195"/>
        <v>8.6919999999999997E-2</v>
      </c>
      <c r="T1373" s="560">
        <f>SUM(R1343:R1374)</f>
        <v>101.95000000000003</v>
      </c>
      <c r="U1373">
        <f t="shared" si="1422"/>
        <v>0.19617459538989698</v>
      </c>
      <c r="V1373" s="220">
        <f t="shared" si="1412"/>
        <v>0.2440512507626604</v>
      </c>
      <c r="W1373" s="14" t="s">
        <v>2688</v>
      </c>
      <c r="X1373">
        <f t="shared" si="1384"/>
        <v>0.20012202562538153</v>
      </c>
      <c r="Y1373" s="220" t="s">
        <v>1624</v>
      </c>
      <c r="Z1373" s="220">
        <f t="shared" si="1436"/>
        <v>0.20012202562538153</v>
      </c>
      <c r="AA1373" s="792">
        <f t="shared" si="1437"/>
        <v>0.20012202562538153</v>
      </c>
      <c r="AB1373" s="18" t="s">
        <v>318</v>
      </c>
      <c r="AC1373" s="13" t="s">
        <v>4115</v>
      </c>
      <c r="AD1373" s="13" t="s">
        <v>4116</v>
      </c>
      <c r="AE1373" s="12">
        <v>3.2210986719999998E-3</v>
      </c>
      <c r="AF1373" s="12">
        <v>3.9434345900000001E-2</v>
      </c>
      <c r="AG1373" s="12">
        <v>2.4510000000000001E-3</v>
      </c>
      <c r="AH1373" s="12">
        <v>9.0389601229999995E-4</v>
      </c>
    </row>
    <row r="1374" spans="1:34" ht="14.25">
      <c r="A1374" s="14" t="s">
        <v>4713</v>
      </c>
      <c r="B1374" s="24" t="s">
        <v>2768</v>
      </c>
      <c r="C1374" s="14" t="s">
        <v>2813</v>
      </c>
      <c r="D1374" s="14" t="s">
        <v>2911</v>
      </c>
      <c r="E1374" s="14" t="s">
        <v>4714</v>
      </c>
      <c r="F1374" s="13">
        <v>56.24</v>
      </c>
      <c r="G1374" s="14" t="s">
        <v>3704</v>
      </c>
      <c r="H1374" s="567" t="s">
        <v>2973</v>
      </c>
      <c r="I1374" s="135" t="s">
        <v>4714</v>
      </c>
      <c r="J1374" s="135" t="s">
        <v>4715</v>
      </c>
      <c r="K1374" s="475">
        <v>0.82</v>
      </c>
      <c r="L1374" s="476">
        <v>43.46</v>
      </c>
      <c r="M1374" s="570" t="s">
        <v>4716</v>
      </c>
      <c r="N1374" s="493" t="s">
        <v>2937</v>
      </c>
      <c r="O1374" s="571" t="s">
        <v>2976</v>
      </c>
      <c r="P1374" s="135" t="s">
        <v>3041</v>
      </c>
      <c r="Q1374" s="495" t="s">
        <v>3089</v>
      </c>
      <c r="R1374" s="135">
        <v>0.2</v>
      </c>
      <c r="S1374" s="135">
        <f t="shared" si="1195"/>
        <v>8.6919999999999997E-2</v>
      </c>
      <c r="T1374" s="584">
        <f>SUM(R1343:R1374)</f>
        <v>101.95000000000003</v>
      </c>
      <c r="U1374" s="135">
        <f t="shared" si="1422"/>
        <v>0.19617459538989698</v>
      </c>
      <c r="V1374" s="476">
        <f t="shared" si="1412"/>
        <v>0.2440512507626604</v>
      </c>
      <c r="W1374" s="135" t="s">
        <v>81</v>
      </c>
      <c r="X1374">
        <f t="shared" si="1384"/>
        <v>0.20012202562538153</v>
      </c>
      <c r="Y1374" s="499">
        <f t="shared" ref="Y1374:AA1374" si="1438">X1374</f>
        <v>0.20012202562538153</v>
      </c>
      <c r="Z1374" s="220">
        <f t="shared" si="1438"/>
        <v>0.20012202562538153</v>
      </c>
      <c r="AA1374" s="792">
        <f t="shared" si="1438"/>
        <v>0.20012202562538153</v>
      </c>
      <c r="AB1374" s="18" t="s">
        <v>81</v>
      </c>
      <c r="AC1374" s="13" t="s">
        <v>18</v>
      </c>
      <c r="AD1374" s="13" t="s">
        <v>18</v>
      </c>
      <c r="AE1374" s="12">
        <v>1.9912385503783353E-2</v>
      </c>
      <c r="AF1374" s="12">
        <v>5.6949422540820388E-2</v>
      </c>
      <c r="AG1374" s="12">
        <v>3.8829151732377542E-3</v>
      </c>
      <c r="AH1374" s="12">
        <v>5.6321186778176026E-3</v>
      </c>
    </row>
    <row r="1375" spans="1:34" ht="14.25">
      <c r="A1375" s="14" t="s">
        <v>4713</v>
      </c>
      <c r="B1375" s="24" t="s">
        <v>2768</v>
      </c>
      <c r="C1375" s="14" t="s">
        <v>2813</v>
      </c>
      <c r="D1375" s="14" t="s">
        <v>2911</v>
      </c>
      <c r="E1375" s="14" t="s">
        <v>4714</v>
      </c>
      <c r="F1375" s="13">
        <v>56.24</v>
      </c>
      <c r="G1375" s="14" t="s">
        <v>3704</v>
      </c>
      <c r="H1375" s="567" t="s">
        <v>2973</v>
      </c>
      <c r="I1375" s="655" t="s">
        <v>4726</v>
      </c>
      <c r="J1375" s="14" t="s">
        <v>4727</v>
      </c>
      <c r="K1375" s="478">
        <v>0.18</v>
      </c>
      <c r="L1375" s="220">
        <v>12.78</v>
      </c>
      <c r="M1375" s="568" t="s">
        <v>4728</v>
      </c>
      <c r="N1375" s="479" t="s">
        <v>2937</v>
      </c>
      <c r="O1375" s="569" t="s">
        <v>2976</v>
      </c>
      <c r="P1375" s="655" t="s">
        <v>3005</v>
      </c>
      <c r="Q1375" s="486" t="s">
        <v>3006</v>
      </c>
      <c r="R1375" s="14">
        <v>40</v>
      </c>
      <c r="S1375" s="14">
        <f t="shared" si="1195"/>
        <v>5.1120000000000001</v>
      </c>
      <c r="T1375">
        <f>SUM(R1375:R1388)</f>
        <v>94.399999999999991</v>
      </c>
      <c r="U1375">
        <f t="shared" si="1422"/>
        <v>42.372881355932208</v>
      </c>
      <c r="V1375" s="220">
        <f>U1375*100/SUM(U1375,U1377:U1388)</f>
        <v>53.763440860215056</v>
      </c>
      <c r="W1375" s="14" t="s">
        <v>2814</v>
      </c>
      <c r="X1375">
        <f t="shared" si="1384"/>
        <v>9.67741935483871</v>
      </c>
      <c r="Y1375" s="220" t="s">
        <v>1666</v>
      </c>
      <c r="Z1375" s="220" t="s">
        <v>1666</v>
      </c>
      <c r="AA1375" s="792" t="str">
        <f t="shared" ref="AA1375:AH1375" si="1439">Z1375</f>
        <v>*</v>
      </c>
      <c r="AB1375" s="458" t="str">
        <f t="shared" si="1439"/>
        <v>*</v>
      </c>
      <c r="AC1375" s="458" t="str">
        <f t="shared" si="1439"/>
        <v>*</v>
      </c>
      <c r="AD1375" s="458" t="str">
        <f t="shared" si="1439"/>
        <v>*</v>
      </c>
      <c r="AE1375" s="462" t="str">
        <f t="shared" si="1439"/>
        <v>*</v>
      </c>
      <c r="AF1375" s="462" t="str">
        <f t="shared" si="1439"/>
        <v>*</v>
      </c>
      <c r="AG1375" s="462" t="str">
        <f t="shared" si="1439"/>
        <v>*</v>
      </c>
      <c r="AH1375" s="462" t="str">
        <f t="shared" si="1439"/>
        <v>*</v>
      </c>
    </row>
    <row r="1376" spans="1:34" ht="14.25">
      <c r="A1376" s="14" t="s">
        <v>4713</v>
      </c>
      <c r="B1376" s="24" t="s">
        <v>2768</v>
      </c>
      <c r="C1376" s="14" t="s">
        <v>2813</v>
      </c>
      <c r="D1376" s="14" t="s">
        <v>2911</v>
      </c>
      <c r="E1376" s="14" t="s">
        <v>4714</v>
      </c>
      <c r="F1376" s="13">
        <v>56.24</v>
      </c>
      <c r="G1376" s="14" t="s">
        <v>3704</v>
      </c>
      <c r="H1376" s="567" t="s">
        <v>2973</v>
      </c>
      <c r="I1376" s="655" t="s">
        <v>4726</v>
      </c>
      <c r="J1376" s="14" t="s">
        <v>4727</v>
      </c>
      <c r="K1376" s="478">
        <v>0.18</v>
      </c>
      <c r="L1376" s="220">
        <v>12.78</v>
      </c>
      <c r="M1376" s="568" t="s">
        <v>4728</v>
      </c>
      <c r="N1376" s="479" t="s">
        <v>2937</v>
      </c>
      <c r="O1376" s="569" t="s">
        <v>2976</v>
      </c>
      <c r="P1376" s="14" t="s">
        <v>2938</v>
      </c>
      <c r="Q1376" s="435" t="s">
        <v>2939</v>
      </c>
      <c r="R1376" s="14">
        <v>20</v>
      </c>
      <c r="S1376" s="14">
        <f t="shared" si="1195"/>
        <v>2.556</v>
      </c>
      <c r="T1376" s="560">
        <f>SUM(R1375:R1388)</f>
        <v>94.399999999999991</v>
      </c>
      <c r="U1376">
        <f t="shared" si="1422"/>
        <v>21.186440677966104</v>
      </c>
      <c r="V1376" s="481">
        <f>U1376</f>
        <v>21.186440677966104</v>
      </c>
      <c r="W1376" s="482" t="s">
        <v>72</v>
      </c>
      <c r="X1376" s="515">
        <f t="shared" si="1384"/>
        <v>3.8135593220338984</v>
      </c>
      <c r="Y1376" s="205" t="s">
        <v>1666</v>
      </c>
      <c r="Z1376" s="205" t="s">
        <v>1666</v>
      </c>
      <c r="AA1376" s="792" t="str">
        <f t="shared" ref="AA1376:AH1376" si="1440">Z1376</f>
        <v>*</v>
      </c>
      <c r="AB1376" s="458" t="str">
        <f t="shared" si="1440"/>
        <v>*</v>
      </c>
      <c r="AC1376" s="458" t="str">
        <f t="shared" si="1440"/>
        <v>*</v>
      </c>
      <c r="AD1376" s="458" t="str">
        <f t="shared" si="1440"/>
        <v>*</v>
      </c>
      <c r="AE1376" s="462" t="str">
        <f t="shared" si="1440"/>
        <v>*</v>
      </c>
      <c r="AF1376" s="462" t="str">
        <f t="shared" si="1440"/>
        <v>*</v>
      </c>
      <c r="AG1376" s="462" t="str">
        <f t="shared" si="1440"/>
        <v>*</v>
      </c>
      <c r="AH1376" s="462" t="str">
        <f t="shared" si="1440"/>
        <v>*</v>
      </c>
    </row>
    <row r="1377" spans="1:34" ht="14.25">
      <c r="A1377" s="14" t="s">
        <v>4713</v>
      </c>
      <c r="B1377" s="24" t="s">
        <v>2768</v>
      </c>
      <c r="C1377" s="14" t="s">
        <v>2813</v>
      </c>
      <c r="D1377" s="14" t="s">
        <v>2911</v>
      </c>
      <c r="E1377" s="14" t="s">
        <v>4714</v>
      </c>
      <c r="F1377" s="13">
        <v>56.24</v>
      </c>
      <c r="G1377" s="14" t="s">
        <v>3704</v>
      </c>
      <c r="H1377" s="567" t="s">
        <v>2973</v>
      </c>
      <c r="I1377" s="655" t="s">
        <v>4726</v>
      </c>
      <c r="J1377" s="14" t="s">
        <v>4727</v>
      </c>
      <c r="K1377" s="478">
        <v>0.18</v>
      </c>
      <c r="L1377" s="220">
        <v>12.78</v>
      </c>
      <c r="M1377" s="568" t="s">
        <v>4728</v>
      </c>
      <c r="N1377" s="479" t="s">
        <v>2937</v>
      </c>
      <c r="O1377" s="569" t="s">
        <v>2976</v>
      </c>
      <c r="P1377" s="14" t="s">
        <v>2945</v>
      </c>
      <c r="Q1377" s="14" t="s">
        <v>2946</v>
      </c>
      <c r="R1377" s="14">
        <v>18.5</v>
      </c>
      <c r="S1377" s="14">
        <f t="shared" si="1195"/>
        <v>2.3643000000000001</v>
      </c>
      <c r="T1377" s="560">
        <f>SUM(R1375:R1388)</f>
        <v>94.399999999999991</v>
      </c>
      <c r="U1377">
        <f t="shared" si="1422"/>
        <v>19.597457627118644</v>
      </c>
      <c r="V1377" s="220">
        <f t="shared" ref="V1377:V1388" si="1441">U1377*100/SUM(U$1375,U$1377:U$1388)</f>
        <v>24.86559139784946</v>
      </c>
      <c r="W1377" s="14" t="s">
        <v>433</v>
      </c>
      <c r="X1377">
        <f t="shared" si="1384"/>
        <v>4.475806451612903</v>
      </c>
      <c r="Y1377" s="220" t="s">
        <v>1666</v>
      </c>
      <c r="Z1377" s="220" t="s">
        <v>1666</v>
      </c>
      <c r="AA1377" s="792" t="str">
        <f t="shared" ref="AA1377:AH1377" si="1442">Z1377</f>
        <v>*</v>
      </c>
      <c r="AB1377" s="458" t="str">
        <f t="shared" si="1442"/>
        <v>*</v>
      </c>
      <c r="AC1377" s="458" t="str">
        <f t="shared" si="1442"/>
        <v>*</v>
      </c>
      <c r="AD1377" s="458" t="str">
        <f t="shared" si="1442"/>
        <v>*</v>
      </c>
      <c r="AE1377" s="462" t="str">
        <f t="shared" si="1442"/>
        <v>*</v>
      </c>
      <c r="AF1377" s="462" t="str">
        <f t="shared" si="1442"/>
        <v>*</v>
      </c>
      <c r="AG1377" s="462" t="str">
        <f t="shared" si="1442"/>
        <v>*</v>
      </c>
      <c r="AH1377" s="462" t="str">
        <f t="shared" si="1442"/>
        <v>*</v>
      </c>
    </row>
    <row r="1378" spans="1:34" ht="14.25">
      <c r="A1378" s="14" t="s">
        <v>4713</v>
      </c>
      <c r="B1378" s="24" t="s">
        <v>2768</v>
      </c>
      <c r="C1378" s="14" t="s">
        <v>2813</v>
      </c>
      <c r="D1378" s="14" t="s">
        <v>2911</v>
      </c>
      <c r="E1378" s="14" t="s">
        <v>4714</v>
      </c>
      <c r="F1378" s="13">
        <v>56.24</v>
      </c>
      <c r="G1378" s="14" t="s">
        <v>3704</v>
      </c>
      <c r="H1378" s="567" t="s">
        <v>2973</v>
      </c>
      <c r="I1378" s="655" t="s">
        <v>4726</v>
      </c>
      <c r="J1378" s="14" t="s">
        <v>4727</v>
      </c>
      <c r="K1378" s="478">
        <v>0.18</v>
      </c>
      <c r="L1378" s="220">
        <v>12.78</v>
      </c>
      <c r="M1378" s="568" t="s">
        <v>4728</v>
      </c>
      <c r="N1378" s="479" t="s">
        <v>2937</v>
      </c>
      <c r="O1378" s="569" t="s">
        <v>2976</v>
      </c>
      <c r="P1378" s="655" t="s">
        <v>2977</v>
      </c>
      <c r="Q1378" s="486" t="s">
        <v>4729</v>
      </c>
      <c r="R1378" s="14">
        <v>2</v>
      </c>
      <c r="S1378" s="14">
        <f t="shared" si="1195"/>
        <v>0.25559999999999999</v>
      </c>
      <c r="T1378" s="560">
        <f>SUM(R1375:R1388)</f>
        <v>94.399999999999991</v>
      </c>
      <c r="U1378">
        <f t="shared" si="1422"/>
        <v>2.1186440677966103</v>
      </c>
      <c r="V1378" s="220">
        <f t="shared" si="1441"/>
        <v>2.688172043010753</v>
      </c>
      <c r="W1378" s="14" t="s">
        <v>227</v>
      </c>
      <c r="X1378">
        <f t="shared" si="1384"/>
        <v>0.4838709677419355</v>
      </c>
      <c r="Y1378" s="220" t="s">
        <v>1666</v>
      </c>
      <c r="Z1378" s="220" t="s">
        <v>1666</v>
      </c>
      <c r="AA1378" s="792" t="str">
        <f t="shared" ref="AA1378:AH1378" si="1443">Z1378</f>
        <v>*</v>
      </c>
      <c r="AB1378" s="458" t="str">
        <f t="shared" si="1443"/>
        <v>*</v>
      </c>
      <c r="AC1378" s="458" t="str">
        <f t="shared" si="1443"/>
        <v>*</v>
      </c>
      <c r="AD1378" s="458" t="str">
        <f t="shared" si="1443"/>
        <v>*</v>
      </c>
      <c r="AE1378" s="462" t="str">
        <f t="shared" si="1443"/>
        <v>*</v>
      </c>
      <c r="AF1378" s="462" t="str">
        <f t="shared" si="1443"/>
        <v>*</v>
      </c>
      <c r="AG1378" s="462" t="str">
        <f t="shared" si="1443"/>
        <v>*</v>
      </c>
      <c r="AH1378" s="462" t="str">
        <f t="shared" si="1443"/>
        <v>*</v>
      </c>
    </row>
    <row r="1379" spans="1:34" ht="14.25">
      <c r="A1379" s="14" t="s">
        <v>4713</v>
      </c>
      <c r="B1379" s="24" t="s">
        <v>2768</v>
      </c>
      <c r="C1379" s="14" t="s">
        <v>2813</v>
      </c>
      <c r="D1379" s="14" t="s">
        <v>2911</v>
      </c>
      <c r="E1379" s="14" t="s">
        <v>4714</v>
      </c>
      <c r="F1379" s="13">
        <v>56.24</v>
      </c>
      <c r="G1379" s="14" t="s">
        <v>3704</v>
      </c>
      <c r="H1379" s="567" t="s">
        <v>2973</v>
      </c>
      <c r="I1379" s="655" t="s">
        <v>4726</v>
      </c>
      <c r="J1379" s="14" t="s">
        <v>4727</v>
      </c>
      <c r="K1379" s="478">
        <v>0.18</v>
      </c>
      <c r="L1379" s="220">
        <v>12.78</v>
      </c>
      <c r="M1379" s="568" t="s">
        <v>4728</v>
      </c>
      <c r="N1379" s="479" t="s">
        <v>2937</v>
      </c>
      <c r="O1379" s="569" t="s">
        <v>2976</v>
      </c>
      <c r="P1379" s="655" t="s">
        <v>3005</v>
      </c>
      <c r="Q1379" s="14" t="s">
        <v>4730</v>
      </c>
      <c r="R1379" s="14">
        <v>2</v>
      </c>
      <c r="S1379" s="14">
        <f t="shared" si="1195"/>
        <v>0.25559999999999999</v>
      </c>
      <c r="T1379" s="560">
        <f>SUM(R1375:R1388)</f>
        <v>94.399999999999991</v>
      </c>
      <c r="U1379">
        <f t="shared" si="1422"/>
        <v>2.1186440677966103</v>
      </c>
      <c r="V1379" s="220">
        <f t="shared" si="1441"/>
        <v>2.688172043010753</v>
      </c>
      <c r="W1379" s="14" t="s">
        <v>2814</v>
      </c>
      <c r="X1379">
        <f t="shared" si="1384"/>
        <v>0.4838709677419355</v>
      </c>
      <c r="Y1379" s="220" t="s">
        <v>1666</v>
      </c>
      <c r="Z1379" s="220" t="s">
        <v>1666</v>
      </c>
      <c r="AA1379" s="792" t="str">
        <f t="shared" ref="AA1379:AH1379" si="1444">Z1379</f>
        <v>*</v>
      </c>
      <c r="AB1379" s="458" t="str">
        <f t="shared" si="1444"/>
        <v>*</v>
      </c>
      <c r="AC1379" s="458" t="str">
        <f t="shared" si="1444"/>
        <v>*</v>
      </c>
      <c r="AD1379" s="458" t="str">
        <f t="shared" si="1444"/>
        <v>*</v>
      </c>
      <c r="AE1379" s="462" t="str">
        <f t="shared" si="1444"/>
        <v>*</v>
      </c>
      <c r="AF1379" s="462" t="str">
        <f t="shared" si="1444"/>
        <v>*</v>
      </c>
      <c r="AG1379" s="462" t="str">
        <f t="shared" si="1444"/>
        <v>*</v>
      </c>
      <c r="AH1379" s="462" t="str">
        <f t="shared" si="1444"/>
        <v>*</v>
      </c>
    </row>
    <row r="1380" spans="1:34" ht="14.25">
      <c r="A1380" s="14" t="s">
        <v>4713</v>
      </c>
      <c r="B1380" s="24" t="s">
        <v>2768</v>
      </c>
      <c r="C1380" s="14" t="s">
        <v>2813</v>
      </c>
      <c r="D1380" s="14" t="s">
        <v>2911</v>
      </c>
      <c r="E1380" s="14" t="s">
        <v>4714</v>
      </c>
      <c r="F1380" s="13">
        <v>56.24</v>
      </c>
      <c r="G1380" s="14" t="s">
        <v>3704</v>
      </c>
      <c r="H1380" s="567" t="s">
        <v>2973</v>
      </c>
      <c r="I1380" s="655" t="s">
        <v>4726</v>
      </c>
      <c r="J1380" s="14" t="s">
        <v>4727</v>
      </c>
      <c r="K1380" s="478">
        <v>0.18</v>
      </c>
      <c r="L1380" s="220">
        <v>12.78</v>
      </c>
      <c r="M1380" s="568" t="s">
        <v>4728</v>
      </c>
      <c r="N1380" s="479" t="s">
        <v>2937</v>
      </c>
      <c r="O1380" s="569" t="s">
        <v>2976</v>
      </c>
      <c r="P1380" s="939" t="s">
        <v>4717</v>
      </c>
      <c r="Q1380" s="563" t="s">
        <v>2981</v>
      </c>
      <c r="R1380" s="14">
        <v>0.85</v>
      </c>
      <c r="S1380" s="14">
        <f t="shared" si="1195"/>
        <v>0.10863</v>
      </c>
      <c r="T1380" s="560">
        <f>SUM(R1375:R1388)</f>
        <v>94.399999999999991</v>
      </c>
      <c r="U1380">
        <f t="shared" si="1422"/>
        <v>0.90042372881355937</v>
      </c>
      <c r="V1380" s="220">
        <f t="shared" si="1441"/>
        <v>1.14247311827957</v>
      </c>
      <c r="W1380" s="14" t="s">
        <v>349</v>
      </c>
      <c r="X1380">
        <f t="shared" si="1384"/>
        <v>0.20564516129032259</v>
      </c>
      <c r="Y1380" s="220" t="s">
        <v>1666</v>
      </c>
      <c r="Z1380" s="220" t="s">
        <v>1666</v>
      </c>
      <c r="AA1380" s="792" t="str">
        <f t="shared" ref="AA1380:AH1380" si="1445">Z1380</f>
        <v>*</v>
      </c>
      <c r="AB1380" s="458" t="str">
        <f t="shared" si="1445"/>
        <v>*</v>
      </c>
      <c r="AC1380" s="458" t="str">
        <f t="shared" si="1445"/>
        <v>*</v>
      </c>
      <c r="AD1380" s="458" t="str">
        <f t="shared" si="1445"/>
        <v>*</v>
      </c>
      <c r="AE1380" s="462" t="str">
        <f t="shared" si="1445"/>
        <v>*</v>
      </c>
      <c r="AF1380" s="462" t="str">
        <f t="shared" si="1445"/>
        <v>*</v>
      </c>
      <c r="AG1380" s="462" t="str">
        <f t="shared" si="1445"/>
        <v>*</v>
      </c>
      <c r="AH1380" s="462" t="str">
        <f t="shared" si="1445"/>
        <v>*</v>
      </c>
    </row>
    <row r="1381" spans="1:34" ht="14.25">
      <c r="A1381" s="14" t="s">
        <v>4713</v>
      </c>
      <c r="B1381" s="24" t="s">
        <v>2768</v>
      </c>
      <c r="C1381" s="14" t="s">
        <v>2813</v>
      </c>
      <c r="D1381" s="14" t="s">
        <v>2911</v>
      </c>
      <c r="E1381" s="14" t="s">
        <v>4714</v>
      </c>
      <c r="F1381" s="13">
        <v>56.24</v>
      </c>
      <c r="G1381" s="14" t="s">
        <v>3704</v>
      </c>
      <c r="H1381" s="567" t="s">
        <v>2973</v>
      </c>
      <c r="I1381" s="655" t="s">
        <v>4726</v>
      </c>
      <c r="J1381" s="14" t="s">
        <v>4727</v>
      </c>
      <c r="K1381" s="478">
        <v>0.18</v>
      </c>
      <c r="L1381" s="220">
        <v>12.78</v>
      </c>
      <c r="M1381" s="568" t="s">
        <v>4728</v>
      </c>
      <c r="N1381" s="479" t="s">
        <v>2937</v>
      </c>
      <c r="O1381" s="569" t="s">
        <v>2976</v>
      </c>
      <c r="P1381" s="940" t="s">
        <v>4717</v>
      </c>
      <c r="Q1381" s="491" t="s">
        <v>4336</v>
      </c>
      <c r="R1381" s="14">
        <v>0.85</v>
      </c>
      <c r="S1381" s="14">
        <f t="shared" si="1195"/>
        <v>0.10863</v>
      </c>
      <c r="T1381" s="560">
        <f>SUM(R1375:R1388)</f>
        <v>94.399999999999991</v>
      </c>
      <c r="U1381">
        <f t="shared" si="1422"/>
        <v>0.90042372881355937</v>
      </c>
      <c r="V1381" s="220">
        <f t="shared" si="1441"/>
        <v>1.14247311827957</v>
      </c>
      <c r="W1381" s="14" t="s">
        <v>2521</v>
      </c>
      <c r="X1381">
        <f t="shared" si="1384"/>
        <v>0.20564516129032259</v>
      </c>
      <c r="Y1381" s="220" t="s">
        <v>1666</v>
      </c>
      <c r="Z1381" s="220" t="s">
        <v>1666</v>
      </c>
      <c r="AA1381" s="792" t="str">
        <f t="shared" ref="AA1381:AH1381" si="1446">Z1381</f>
        <v>*</v>
      </c>
      <c r="AB1381" s="458" t="str">
        <f t="shared" si="1446"/>
        <v>*</v>
      </c>
      <c r="AC1381" s="458" t="str">
        <f t="shared" si="1446"/>
        <v>*</v>
      </c>
      <c r="AD1381" s="458" t="str">
        <f t="shared" si="1446"/>
        <v>*</v>
      </c>
      <c r="AE1381" s="462" t="str">
        <f t="shared" si="1446"/>
        <v>*</v>
      </c>
      <c r="AF1381" s="462" t="str">
        <f t="shared" si="1446"/>
        <v>*</v>
      </c>
      <c r="AG1381" s="462" t="str">
        <f t="shared" si="1446"/>
        <v>*</v>
      </c>
      <c r="AH1381" s="462" t="str">
        <f t="shared" si="1446"/>
        <v>*</v>
      </c>
    </row>
    <row r="1382" spans="1:34" ht="14.25">
      <c r="A1382" s="14" t="s">
        <v>4713</v>
      </c>
      <c r="B1382" s="24" t="s">
        <v>2768</v>
      </c>
      <c r="C1382" s="14" t="s">
        <v>2813</v>
      </c>
      <c r="D1382" s="14" t="s">
        <v>2911</v>
      </c>
      <c r="E1382" s="14" t="s">
        <v>4714</v>
      </c>
      <c r="F1382" s="13">
        <v>56.24</v>
      </c>
      <c r="G1382" s="14" t="s">
        <v>3704</v>
      </c>
      <c r="H1382" s="567" t="s">
        <v>2973</v>
      </c>
      <c r="I1382" s="655" t="s">
        <v>4726</v>
      </c>
      <c r="J1382" s="14" t="s">
        <v>4727</v>
      </c>
      <c r="K1382" s="478">
        <v>0.18</v>
      </c>
      <c r="L1382" s="220">
        <v>12.78</v>
      </c>
      <c r="M1382" s="568" t="s">
        <v>4728</v>
      </c>
      <c r="N1382" s="479" t="s">
        <v>2937</v>
      </c>
      <c r="O1382" s="569" t="s">
        <v>2976</v>
      </c>
      <c r="P1382" s="14" t="s">
        <v>330</v>
      </c>
      <c r="Q1382" s="486" t="s">
        <v>3113</v>
      </c>
      <c r="R1382" s="14">
        <v>1.7</v>
      </c>
      <c r="S1382" s="14">
        <f t="shared" si="1195"/>
        <v>0.21726000000000001</v>
      </c>
      <c r="T1382" s="560">
        <f>SUM(R1375:R1388)</f>
        <v>94.399999999999991</v>
      </c>
      <c r="U1382">
        <f t="shared" si="1422"/>
        <v>1.8008474576271187</v>
      </c>
      <c r="V1382" s="220">
        <f t="shared" si="1441"/>
        <v>2.28494623655914</v>
      </c>
      <c r="W1382" s="14" t="s">
        <v>332</v>
      </c>
      <c r="X1382">
        <f t="shared" si="1384"/>
        <v>0.41129032258064518</v>
      </c>
      <c r="Y1382" s="220" t="s">
        <v>1666</v>
      </c>
      <c r="Z1382" s="220" t="s">
        <v>1666</v>
      </c>
      <c r="AA1382" s="792" t="str">
        <f t="shared" ref="AA1382:AH1382" si="1447">Z1382</f>
        <v>*</v>
      </c>
      <c r="AB1382" s="458" t="str">
        <f t="shared" si="1447"/>
        <v>*</v>
      </c>
      <c r="AC1382" s="458" t="str">
        <f t="shared" si="1447"/>
        <v>*</v>
      </c>
      <c r="AD1382" s="458" t="str">
        <f t="shared" si="1447"/>
        <v>*</v>
      </c>
      <c r="AE1382" s="462" t="str">
        <f t="shared" si="1447"/>
        <v>*</v>
      </c>
      <c r="AF1382" s="462" t="str">
        <f t="shared" si="1447"/>
        <v>*</v>
      </c>
      <c r="AG1382" s="462" t="str">
        <f t="shared" si="1447"/>
        <v>*</v>
      </c>
      <c r="AH1382" s="462" t="str">
        <f t="shared" si="1447"/>
        <v>*</v>
      </c>
    </row>
    <row r="1383" spans="1:34" ht="14.25">
      <c r="A1383" s="14" t="s">
        <v>4713</v>
      </c>
      <c r="B1383" s="24" t="s">
        <v>2768</v>
      </c>
      <c r="C1383" s="14" t="s">
        <v>2813</v>
      </c>
      <c r="D1383" s="14" t="s">
        <v>2911</v>
      </c>
      <c r="E1383" s="14" t="s">
        <v>4714</v>
      </c>
      <c r="F1383" s="13">
        <v>56.24</v>
      </c>
      <c r="G1383" s="14" t="s">
        <v>3704</v>
      </c>
      <c r="H1383" s="567" t="s">
        <v>2973</v>
      </c>
      <c r="I1383" s="655" t="s">
        <v>4726</v>
      </c>
      <c r="J1383" s="14" t="s">
        <v>4727</v>
      </c>
      <c r="K1383" s="478">
        <v>0.18</v>
      </c>
      <c r="L1383" s="220">
        <v>12.78</v>
      </c>
      <c r="M1383" s="568" t="s">
        <v>4728</v>
      </c>
      <c r="N1383" s="479" t="s">
        <v>2937</v>
      </c>
      <c r="O1383" s="569" t="s">
        <v>2976</v>
      </c>
      <c r="P1383" s="655" t="s">
        <v>2985</v>
      </c>
      <c r="Q1383" s="486" t="s">
        <v>2968</v>
      </c>
      <c r="R1383" s="14">
        <v>3</v>
      </c>
      <c r="S1383" s="14">
        <f t="shared" ref="S1383:S1637" si="1448">(0.01*R1383)*L1383</f>
        <v>0.38339999999999996</v>
      </c>
      <c r="T1383" s="560">
        <f>SUM(R1375:R1388)</f>
        <v>94.399999999999991</v>
      </c>
      <c r="U1383">
        <f t="shared" si="1422"/>
        <v>3.1779661016949157</v>
      </c>
      <c r="V1383" s="220">
        <f t="shared" si="1441"/>
        <v>4.032258064516129</v>
      </c>
      <c r="W1383" s="14" t="s">
        <v>2522</v>
      </c>
      <c r="X1383">
        <f t="shared" si="1384"/>
        <v>0.72580645161290325</v>
      </c>
      <c r="Y1383" s="220" t="s">
        <v>1666</v>
      </c>
      <c r="Z1383" s="220">
        <f t="shared" ref="Z1383:Z1384" si="1449">X1383</f>
        <v>0.72580645161290325</v>
      </c>
      <c r="AA1383" s="792">
        <f t="shared" ref="AA1383:AA1413" si="1450">Z1383</f>
        <v>0.72580645161290325</v>
      </c>
      <c r="AB1383" s="18" t="s">
        <v>2791</v>
      </c>
      <c r="AC1383" s="13"/>
      <c r="AD1383" s="13"/>
      <c r="AE1383" s="12">
        <v>1.7000000000000001E-2</v>
      </c>
      <c r="AF1383" s="12">
        <v>3.15E-2</v>
      </c>
      <c r="AG1383" s="12">
        <v>9.9999999999999995E-7</v>
      </c>
      <c r="AH1383" s="12">
        <v>9.0389601227534877E-4</v>
      </c>
    </row>
    <row r="1384" spans="1:34" ht="14.25">
      <c r="A1384" s="14" t="s">
        <v>4713</v>
      </c>
      <c r="B1384" s="24" t="s">
        <v>2768</v>
      </c>
      <c r="C1384" s="14" t="s">
        <v>2813</v>
      </c>
      <c r="D1384" s="14" t="s">
        <v>2911</v>
      </c>
      <c r="E1384" s="14" t="s">
        <v>4714</v>
      </c>
      <c r="F1384" s="13">
        <v>56.24</v>
      </c>
      <c r="G1384" s="14" t="s">
        <v>3704</v>
      </c>
      <c r="H1384" s="567" t="s">
        <v>2973</v>
      </c>
      <c r="I1384" s="655" t="s">
        <v>4726</v>
      </c>
      <c r="J1384" s="14" t="s">
        <v>4727</v>
      </c>
      <c r="K1384" s="478">
        <v>0.18</v>
      </c>
      <c r="L1384" s="220">
        <v>12.78</v>
      </c>
      <c r="M1384" s="568" t="s">
        <v>4728</v>
      </c>
      <c r="N1384" s="479" t="s">
        <v>2937</v>
      </c>
      <c r="O1384" s="569" t="s">
        <v>2976</v>
      </c>
      <c r="P1384" s="14" t="s">
        <v>3051</v>
      </c>
      <c r="Q1384" s="486" t="s">
        <v>3084</v>
      </c>
      <c r="R1384" s="14">
        <v>2</v>
      </c>
      <c r="S1384" s="14">
        <f t="shared" si="1448"/>
        <v>0.25559999999999999</v>
      </c>
      <c r="T1384" s="560">
        <f>SUM(R1375:R1388)</f>
        <v>94.399999999999991</v>
      </c>
      <c r="U1384">
        <f t="shared" si="1422"/>
        <v>2.1186440677966103</v>
      </c>
      <c r="V1384" s="220">
        <f t="shared" si="1441"/>
        <v>2.688172043010753</v>
      </c>
      <c r="W1384" s="14" t="s">
        <v>2661</v>
      </c>
      <c r="X1384">
        <f t="shared" si="1384"/>
        <v>0.4838709677419355</v>
      </c>
      <c r="Y1384" s="220" t="s">
        <v>1666</v>
      </c>
      <c r="Z1384" s="220">
        <f t="shared" si="1449"/>
        <v>0.4838709677419355</v>
      </c>
      <c r="AA1384" s="792">
        <f t="shared" si="1450"/>
        <v>0.4838709677419355</v>
      </c>
      <c r="AB1384" s="18" t="s">
        <v>2661</v>
      </c>
      <c r="AC1384" s="14" t="s">
        <v>134</v>
      </c>
      <c r="AD1384" s="14" t="s">
        <v>3053</v>
      </c>
      <c r="AE1384" s="12">
        <v>3.0177940758293843E-3</v>
      </c>
      <c r="AF1384" s="12">
        <v>8.8728561611374421E-3</v>
      </c>
      <c r="AG1384" s="12">
        <v>5.9155383175355464E-5</v>
      </c>
      <c r="AH1384" s="12">
        <v>5.56622037914692E-4</v>
      </c>
    </row>
    <row r="1385" spans="1:34" ht="14.25">
      <c r="A1385" s="14" t="s">
        <v>4713</v>
      </c>
      <c r="B1385" s="24" t="s">
        <v>2768</v>
      </c>
      <c r="C1385" s="14" t="s">
        <v>2813</v>
      </c>
      <c r="D1385" s="14" t="s">
        <v>2911</v>
      </c>
      <c r="E1385" s="14" t="s">
        <v>4714</v>
      </c>
      <c r="F1385" s="13">
        <v>56.24</v>
      </c>
      <c r="G1385" s="14" t="s">
        <v>3704</v>
      </c>
      <c r="H1385" s="567" t="s">
        <v>2973</v>
      </c>
      <c r="I1385" s="655" t="s">
        <v>4726</v>
      </c>
      <c r="J1385" s="14" t="s">
        <v>4727</v>
      </c>
      <c r="K1385" s="478">
        <v>0.18</v>
      </c>
      <c r="L1385" s="220">
        <v>12.78</v>
      </c>
      <c r="M1385" s="568" t="s">
        <v>4728</v>
      </c>
      <c r="N1385" s="479" t="s">
        <v>2937</v>
      </c>
      <c r="O1385" s="569" t="s">
        <v>2976</v>
      </c>
      <c r="P1385" s="655" t="s">
        <v>2977</v>
      </c>
      <c r="Q1385" s="527" t="s">
        <v>2978</v>
      </c>
      <c r="R1385" s="14">
        <v>2</v>
      </c>
      <c r="S1385" s="14">
        <f t="shared" si="1448"/>
        <v>0.25559999999999999</v>
      </c>
      <c r="T1385" s="560">
        <f>SUM(R1375:R1388)</f>
        <v>94.399999999999991</v>
      </c>
      <c r="U1385">
        <f t="shared" si="1422"/>
        <v>2.1186440677966103</v>
      </c>
      <c r="V1385" s="220">
        <f t="shared" si="1441"/>
        <v>2.688172043010753</v>
      </c>
      <c r="W1385" s="14" t="s">
        <v>227</v>
      </c>
      <c r="X1385">
        <f t="shared" si="1384"/>
        <v>0.4838709677419355</v>
      </c>
      <c r="Y1385" s="220" t="s">
        <v>1666</v>
      </c>
      <c r="Z1385" s="220" t="s">
        <v>1666</v>
      </c>
      <c r="AA1385" s="792" t="str">
        <f t="shared" si="1450"/>
        <v>*</v>
      </c>
      <c r="AB1385" s="458" t="str">
        <f>AA1385</f>
        <v>*</v>
      </c>
      <c r="AC1385" s="18"/>
      <c r="AD1385" s="18">
        <f t="shared" ref="AD1385:AH1385" si="1451">AC1385</f>
        <v>0</v>
      </c>
      <c r="AE1385" s="419">
        <f t="shared" si="1451"/>
        <v>0</v>
      </c>
      <c r="AF1385" s="419">
        <f t="shared" si="1451"/>
        <v>0</v>
      </c>
      <c r="AG1385" s="419">
        <f t="shared" si="1451"/>
        <v>0</v>
      </c>
      <c r="AH1385" s="419">
        <f t="shared" si="1451"/>
        <v>0</v>
      </c>
    </row>
    <row r="1386" spans="1:34" ht="14.25">
      <c r="A1386" s="14" t="s">
        <v>4713</v>
      </c>
      <c r="B1386" s="24" t="s">
        <v>2768</v>
      </c>
      <c r="C1386" s="14" t="s">
        <v>2813</v>
      </c>
      <c r="D1386" s="14" t="s">
        <v>2911</v>
      </c>
      <c r="E1386" s="14" t="s">
        <v>4714</v>
      </c>
      <c r="F1386" s="13">
        <v>56.24</v>
      </c>
      <c r="G1386" s="14" t="s">
        <v>3704</v>
      </c>
      <c r="H1386" s="567" t="s">
        <v>2973</v>
      </c>
      <c r="I1386" s="655" t="s">
        <v>4726</v>
      </c>
      <c r="J1386" s="14" t="s">
        <v>4727</v>
      </c>
      <c r="K1386" s="478">
        <v>0.18</v>
      </c>
      <c r="L1386" s="220">
        <v>12.78</v>
      </c>
      <c r="M1386" s="568" t="s">
        <v>4728</v>
      </c>
      <c r="N1386" s="479" t="s">
        <v>2937</v>
      </c>
      <c r="O1386" s="569" t="s">
        <v>2976</v>
      </c>
      <c r="P1386" s="14" t="s">
        <v>79</v>
      </c>
      <c r="Q1386" s="486" t="s">
        <v>4169</v>
      </c>
      <c r="R1386" s="14">
        <v>0.5</v>
      </c>
      <c r="S1386" s="14">
        <f t="shared" si="1448"/>
        <v>6.3899999999999998E-2</v>
      </c>
      <c r="T1386" s="560">
        <f>SUM(R1375:R1388)</f>
        <v>94.399999999999991</v>
      </c>
      <c r="U1386">
        <f t="shared" si="1422"/>
        <v>0.52966101694915257</v>
      </c>
      <c r="V1386" s="220">
        <f t="shared" si="1441"/>
        <v>0.67204301075268824</v>
      </c>
      <c r="W1386" s="14" t="s">
        <v>79</v>
      </c>
      <c r="X1386">
        <f t="shared" si="1384"/>
        <v>0.12096774193548387</v>
      </c>
      <c r="Y1386" s="220" t="s">
        <v>1624</v>
      </c>
      <c r="Z1386" s="220" t="s">
        <v>1666</v>
      </c>
      <c r="AA1386" s="792" t="str">
        <f t="shared" si="1450"/>
        <v>*</v>
      </c>
      <c r="AB1386" s="18" t="s">
        <v>1666</v>
      </c>
      <c r="AC1386" s="13" t="str">
        <f t="shared" ref="AC1386:AH1386" si="1452">AB1386</f>
        <v>*</v>
      </c>
      <c r="AD1386" s="13" t="str">
        <f t="shared" si="1452"/>
        <v>*</v>
      </c>
      <c r="AE1386" s="220" t="str">
        <f t="shared" si="1452"/>
        <v>*</v>
      </c>
      <c r="AF1386" s="220" t="str">
        <f t="shared" si="1452"/>
        <v>*</v>
      </c>
      <c r="AG1386" s="220" t="str">
        <f t="shared" si="1452"/>
        <v>*</v>
      </c>
      <c r="AH1386" s="220" t="str">
        <f t="shared" si="1452"/>
        <v>*</v>
      </c>
    </row>
    <row r="1387" spans="1:34" ht="14.25">
      <c r="A1387" s="14" t="s">
        <v>4713</v>
      </c>
      <c r="B1387" s="24" t="s">
        <v>2768</v>
      </c>
      <c r="C1387" s="14" t="s">
        <v>2813</v>
      </c>
      <c r="D1387" s="14" t="s">
        <v>2911</v>
      </c>
      <c r="E1387" s="14" t="s">
        <v>4714</v>
      </c>
      <c r="F1387" s="13">
        <v>56.24</v>
      </c>
      <c r="G1387" s="14" t="s">
        <v>3704</v>
      </c>
      <c r="H1387" s="567" t="s">
        <v>2973</v>
      </c>
      <c r="I1387" s="655" t="s">
        <v>4726</v>
      </c>
      <c r="J1387" s="14" t="s">
        <v>4727</v>
      </c>
      <c r="K1387" s="478">
        <v>0.18</v>
      </c>
      <c r="L1387" s="220">
        <v>12.78</v>
      </c>
      <c r="M1387" s="568" t="s">
        <v>4728</v>
      </c>
      <c r="N1387" s="479" t="s">
        <v>2937</v>
      </c>
      <c r="O1387" s="569" t="s">
        <v>2976</v>
      </c>
      <c r="P1387" s="14" t="s">
        <v>2962</v>
      </c>
      <c r="Q1387" s="14" t="s">
        <v>4731</v>
      </c>
      <c r="R1387" s="14">
        <v>0.5</v>
      </c>
      <c r="S1387" s="14">
        <f t="shared" si="1448"/>
        <v>6.3899999999999998E-2</v>
      </c>
      <c r="T1387" s="560">
        <f>SUM(R1375:R1388)</f>
        <v>94.399999999999991</v>
      </c>
      <c r="U1387">
        <f t="shared" si="1422"/>
        <v>0.52966101694915257</v>
      </c>
      <c r="V1387" s="220">
        <f t="shared" si="1441"/>
        <v>0.67204301075268824</v>
      </c>
      <c r="W1387" s="14" t="s">
        <v>425</v>
      </c>
      <c r="X1387">
        <f t="shared" si="1384"/>
        <v>0.12096774193548387</v>
      </c>
      <c r="Y1387" s="220" t="s">
        <v>1666</v>
      </c>
      <c r="Z1387" s="220" t="s">
        <v>1666</v>
      </c>
      <c r="AA1387" s="792" t="str">
        <f t="shared" si="1450"/>
        <v>*</v>
      </c>
      <c r="AB1387" s="458" t="str">
        <f t="shared" ref="AB1387:AH1387" si="1453">AA1387</f>
        <v>*</v>
      </c>
      <c r="AC1387" s="458" t="str">
        <f t="shared" si="1453"/>
        <v>*</v>
      </c>
      <c r="AD1387" s="458" t="str">
        <f t="shared" si="1453"/>
        <v>*</v>
      </c>
      <c r="AE1387" s="462" t="str">
        <f t="shared" si="1453"/>
        <v>*</v>
      </c>
      <c r="AF1387" s="462" t="str">
        <f t="shared" si="1453"/>
        <v>*</v>
      </c>
      <c r="AG1387" s="462" t="str">
        <f t="shared" si="1453"/>
        <v>*</v>
      </c>
      <c r="AH1387" s="462" t="str">
        <f t="shared" si="1453"/>
        <v>*</v>
      </c>
    </row>
    <row r="1388" spans="1:34" ht="14.25">
      <c r="A1388" s="617" t="s">
        <v>4713</v>
      </c>
      <c r="B1388" s="794" t="s">
        <v>2768</v>
      </c>
      <c r="C1388" s="617" t="s">
        <v>2813</v>
      </c>
      <c r="D1388" s="617" t="s">
        <v>2911</v>
      </c>
      <c r="E1388" s="617" t="s">
        <v>4714</v>
      </c>
      <c r="F1388" s="799">
        <v>56.24</v>
      </c>
      <c r="G1388" s="617" t="s">
        <v>3704</v>
      </c>
      <c r="H1388" s="910" t="s">
        <v>2973</v>
      </c>
      <c r="I1388" s="849" t="s">
        <v>4726</v>
      </c>
      <c r="J1388" s="617" t="s">
        <v>4727</v>
      </c>
      <c r="K1388" s="838">
        <v>0.18</v>
      </c>
      <c r="L1388" s="725">
        <v>12.78</v>
      </c>
      <c r="M1388" s="911" t="s">
        <v>4728</v>
      </c>
      <c r="N1388" s="841" t="s">
        <v>2937</v>
      </c>
      <c r="O1388" s="912" t="s">
        <v>2976</v>
      </c>
      <c r="P1388" s="617" t="s">
        <v>3021</v>
      </c>
      <c r="Q1388" s="856" t="s">
        <v>3022</v>
      </c>
      <c r="R1388" s="617">
        <v>0.5</v>
      </c>
      <c r="S1388" s="617">
        <f t="shared" si="1448"/>
        <v>6.3899999999999998E-2</v>
      </c>
      <c r="T1388" s="852">
        <f>SUM(R1375:R1388)</f>
        <v>94.399999999999991</v>
      </c>
      <c r="U1388" s="617">
        <f t="shared" si="1422"/>
        <v>0.52966101694915257</v>
      </c>
      <c r="V1388" s="725">
        <f t="shared" si="1441"/>
        <v>0.67204301075268824</v>
      </c>
      <c r="W1388" s="617" t="s">
        <v>346</v>
      </c>
      <c r="X1388" s="617">
        <f t="shared" si="1384"/>
        <v>0.12096774193548387</v>
      </c>
      <c r="Y1388" s="725" t="s">
        <v>1666</v>
      </c>
      <c r="Z1388" s="725" t="s">
        <v>1666</v>
      </c>
      <c r="AA1388" s="455" t="str">
        <f t="shared" si="1450"/>
        <v>*</v>
      </c>
      <c r="AB1388" s="821" t="str">
        <f t="shared" ref="AB1388:AH1388" si="1454">AA1388</f>
        <v>*</v>
      </c>
      <c r="AC1388" s="821" t="str">
        <f t="shared" si="1454"/>
        <v>*</v>
      </c>
      <c r="AD1388" s="821" t="str">
        <f t="shared" si="1454"/>
        <v>*</v>
      </c>
      <c r="AE1388" s="938" t="str">
        <f t="shared" si="1454"/>
        <v>*</v>
      </c>
      <c r="AF1388" s="938" t="str">
        <f t="shared" si="1454"/>
        <v>*</v>
      </c>
      <c r="AG1388" s="938" t="str">
        <f t="shared" si="1454"/>
        <v>*</v>
      </c>
      <c r="AH1388" s="938" t="str">
        <f t="shared" si="1454"/>
        <v>*</v>
      </c>
    </row>
    <row r="1389" spans="1:34" ht="14.25">
      <c r="A1389" s="14" t="s">
        <v>4732</v>
      </c>
      <c r="B1389" s="24" t="s">
        <v>2768</v>
      </c>
      <c r="C1389" s="14" t="s">
        <v>2819</v>
      </c>
      <c r="D1389" s="14" t="s">
        <v>2911</v>
      </c>
      <c r="E1389" s="14" t="s">
        <v>4733</v>
      </c>
      <c r="F1389" s="13">
        <v>34</v>
      </c>
      <c r="G1389" s="14" t="s">
        <v>4734</v>
      </c>
      <c r="H1389" s="567" t="s">
        <v>2934</v>
      </c>
      <c r="I1389" s="14" t="s">
        <v>4733</v>
      </c>
      <c r="J1389" s="14" t="s">
        <v>4735</v>
      </c>
      <c r="K1389" s="478">
        <v>1</v>
      </c>
      <c r="L1389" s="220">
        <v>34</v>
      </c>
      <c r="M1389" s="568" t="s">
        <v>4736</v>
      </c>
      <c r="N1389" s="479" t="s">
        <v>2937</v>
      </c>
      <c r="O1389" s="569" t="s">
        <v>2976</v>
      </c>
      <c r="P1389" s="14" t="s">
        <v>3973</v>
      </c>
      <c r="Q1389" s="486" t="s">
        <v>3998</v>
      </c>
      <c r="R1389" s="14">
        <v>22</v>
      </c>
      <c r="S1389" s="14">
        <f t="shared" si="1448"/>
        <v>7.48</v>
      </c>
      <c r="T1389">
        <f t="shared" ref="T1389:T1430" si="1455">SUM(R$1389:R$1431)</f>
        <v>100.99599999999998</v>
      </c>
      <c r="U1389">
        <f t="shared" si="1422"/>
        <v>21.783040912511389</v>
      </c>
      <c r="V1389" s="220">
        <f t="shared" ref="V1389:V1510" si="1456">U1389</f>
        <v>21.783040912511389</v>
      </c>
      <c r="W1389" s="14" t="s">
        <v>4737</v>
      </c>
      <c r="X1389">
        <f t="shared" si="1384"/>
        <v>21.783040912511389</v>
      </c>
      <c r="Y1389" s="220">
        <f>SUM(X1389,X1398)</f>
        <v>26.733732028991248</v>
      </c>
      <c r="Z1389" s="220">
        <f t="shared" ref="Z1389:Z1390" si="1457">X1389</f>
        <v>21.783040912511389</v>
      </c>
      <c r="AA1389" s="792">
        <f t="shared" si="1450"/>
        <v>21.783040912511389</v>
      </c>
      <c r="AB1389" s="18" t="s">
        <v>1112</v>
      </c>
      <c r="AC1389" s="13" t="s">
        <v>244</v>
      </c>
      <c r="AD1389" s="13" t="s">
        <v>3975</v>
      </c>
      <c r="AE1389" s="12">
        <v>7.6594132480302998E-3</v>
      </c>
      <c r="AF1389" s="12">
        <v>0.25452159072024799</v>
      </c>
      <c r="AG1389" s="12">
        <v>2.4499999999999999E-4</v>
      </c>
      <c r="AH1389" s="12">
        <v>3.0864741882572887E-4</v>
      </c>
    </row>
    <row r="1390" spans="1:34" ht="14.25">
      <c r="A1390" s="14" t="s">
        <v>4732</v>
      </c>
      <c r="B1390" s="24" t="s">
        <v>2768</v>
      </c>
      <c r="C1390" s="14" t="s">
        <v>2819</v>
      </c>
      <c r="D1390" s="14" t="s">
        <v>2911</v>
      </c>
      <c r="E1390" s="14" t="s">
        <v>4733</v>
      </c>
      <c r="F1390" s="13">
        <v>34</v>
      </c>
      <c r="G1390" s="14" t="s">
        <v>4734</v>
      </c>
      <c r="H1390" s="567" t="s">
        <v>2934</v>
      </c>
      <c r="I1390" s="14" t="s">
        <v>4733</v>
      </c>
      <c r="J1390" s="14" t="s">
        <v>4735</v>
      </c>
      <c r="K1390" s="478">
        <v>1</v>
      </c>
      <c r="L1390" s="220">
        <v>34</v>
      </c>
      <c r="M1390" s="568" t="s">
        <v>4736</v>
      </c>
      <c r="N1390" s="479" t="s">
        <v>2937</v>
      </c>
      <c r="O1390" s="569" t="s">
        <v>2976</v>
      </c>
      <c r="P1390" s="14" t="s">
        <v>3008</v>
      </c>
      <c r="Q1390" s="486" t="s">
        <v>4738</v>
      </c>
      <c r="R1390" s="14">
        <v>8</v>
      </c>
      <c r="S1390" s="14">
        <f t="shared" si="1448"/>
        <v>2.72</v>
      </c>
      <c r="T1390">
        <f t="shared" si="1455"/>
        <v>100.99599999999998</v>
      </c>
      <c r="U1390">
        <f t="shared" si="1422"/>
        <v>7.9211057863677787</v>
      </c>
      <c r="V1390" s="220">
        <f t="shared" si="1456"/>
        <v>7.9211057863677787</v>
      </c>
      <c r="W1390" s="14" t="s">
        <v>1588</v>
      </c>
      <c r="X1390">
        <f t="shared" si="1384"/>
        <v>7.9211057863677787</v>
      </c>
      <c r="Y1390" s="220">
        <f>SUM(X1390,X1392,X1394,X1403,X1412)</f>
        <v>17.119489880787359</v>
      </c>
      <c r="Z1390" s="220">
        <f t="shared" si="1457"/>
        <v>7.9211057863677787</v>
      </c>
      <c r="AA1390" s="792">
        <f t="shared" si="1450"/>
        <v>7.9211057863677787</v>
      </c>
      <c r="AB1390" s="18" t="s">
        <v>1588</v>
      </c>
      <c r="AC1390" s="13" t="s">
        <v>433</v>
      </c>
      <c r="AD1390" s="13" t="s">
        <v>2947</v>
      </c>
      <c r="AE1390" s="12">
        <v>2.9559941486988851E-4</v>
      </c>
      <c r="AF1390" s="12">
        <v>1.227390180878553E-2</v>
      </c>
      <c r="AG1390" s="12">
        <v>5.0880902043692758E-4</v>
      </c>
      <c r="AH1390" s="12">
        <v>3.9359045321580248E-4</v>
      </c>
    </row>
    <row r="1391" spans="1:34" ht="14.25">
      <c r="A1391" s="14" t="s">
        <v>4732</v>
      </c>
      <c r="B1391" s="24" t="s">
        <v>2768</v>
      </c>
      <c r="C1391" s="14" t="s">
        <v>2819</v>
      </c>
      <c r="D1391" s="14" t="s">
        <v>2911</v>
      </c>
      <c r="E1391" s="14" t="s">
        <v>4733</v>
      </c>
      <c r="F1391" s="13">
        <v>34</v>
      </c>
      <c r="G1391" s="14" t="s">
        <v>4734</v>
      </c>
      <c r="H1391" s="567" t="s">
        <v>2934</v>
      </c>
      <c r="I1391" s="14" t="s">
        <v>4733</v>
      </c>
      <c r="J1391" s="14" t="s">
        <v>4735</v>
      </c>
      <c r="K1391" s="478">
        <v>1</v>
      </c>
      <c r="L1391" s="220">
        <v>34</v>
      </c>
      <c r="M1391" s="568" t="s">
        <v>4736</v>
      </c>
      <c r="N1391" s="479" t="s">
        <v>2937</v>
      </c>
      <c r="O1391" s="569" t="s">
        <v>2976</v>
      </c>
      <c r="P1391" s="14" t="s">
        <v>2962</v>
      </c>
      <c r="Q1391" s="435" t="s">
        <v>4739</v>
      </c>
      <c r="R1391" s="14">
        <v>8</v>
      </c>
      <c r="S1391" s="14">
        <f t="shared" si="1448"/>
        <v>2.72</v>
      </c>
      <c r="T1391">
        <f t="shared" si="1455"/>
        <v>100.99599999999998</v>
      </c>
      <c r="U1391">
        <f t="shared" si="1422"/>
        <v>7.9211057863677787</v>
      </c>
      <c r="V1391" s="220">
        <f t="shared" si="1456"/>
        <v>7.9211057863677787</v>
      </c>
      <c r="W1391" s="14" t="s">
        <v>425</v>
      </c>
      <c r="X1391">
        <f t="shared" si="1384"/>
        <v>7.9211057863677787</v>
      </c>
      <c r="Y1391" s="220">
        <f>SUM(X1391,X1399,X1405,X1408,X1427)</f>
        <v>14.852073349439584</v>
      </c>
      <c r="Z1391" s="220">
        <f>SUM(X1391,X1408)</f>
        <v>8.9112440096637506</v>
      </c>
      <c r="AA1391" s="792">
        <f t="shared" si="1450"/>
        <v>8.9112440096637506</v>
      </c>
      <c r="AB1391" s="18" t="s">
        <v>425</v>
      </c>
      <c r="AC1391" s="13" t="s">
        <v>2964</v>
      </c>
      <c r="AD1391" s="13" t="s">
        <v>2965</v>
      </c>
      <c r="AE1391" s="12">
        <v>3.8102374934982654E-3</v>
      </c>
      <c r="AF1391" s="12">
        <v>0.20470422547079484</v>
      </c>
      <c r="AG1391" s="12">
        <v>1.210810810810811E-4</v>
      </c>
      <c r="AH1391" s="12">
        <v>1.0002400855855065E-3</v>
      </c>
    </row>
    <row r="1392" spans="1:34" ht="14.25">
      <c r="A1392" s="14" t="s">
        <v>4732</v>
      </c>
      <c r="B1392" s="24" t="s">
        <v>2768</v>
      </c>
      <c r="C1392" s="14" t="s">
        <v>2819</v>
      </c>
      <c r="D1392" s="14" t="s">
        <v>2911</v>
      </c>
      <c r="E1392" s="14" t="s">
        <v>4733</v>
      </c>
      <c r="F1392" s="13">
        <v>34</v>
      </c>
      <c r="G1392" s="14" t="s">
        <v>4734</v>
      </c>
      <c r="H1392" s="567" t="s">
        <v>2934</v>
      </c>
      <c r="I1392" s="14" t="s">
        <v>4733</v>
      </c>
      <c r="J1392" s="14" t="s">
        <v>4735</v>
      </c>
      <c r="K1392" s="478">
        <v>1</v>
      </c>
      <c r="L1392" s="220">
        <v>34</v>
      </c>
      <c r="M1392" s="568" t="s">
        <v>4736</v>
      </c>
      <c r="N1392" s="479" t="s">
        <v>2937</v>
      </c>
      <c r="O1392" s="569" t="s">
        <v>2976</v>
      </c>
      <c r="P1392" s="14" t="s">
        <v>2945</v>
      </c>
      <c r="Q1392" s="14" t="s">
        <v>2946</v>
      </c>
      <c r="R1392" s="14">
        <v>7.6</v>
      </c>
      <c r="S1392" s="14">
        <f t="shared" si="1448"/>
        <v>2.5840000000000001</v>
      </c>
      <c r="T1392">
        <f t="shared" si="1455"/>
        <v>100.99599999999998</v>
      </c>
      <c r="U1392">
        <f t="shared" si="1422"/>
        <v>7.5250504970493886</v>
      </c>
      <c r="V1392" s="220">
        <f t="shared" si="1456"/>
        <v>7.5250504970493886</v>
      </c>
      <c r="W1392" s="14" t="s">
        <v>433</v>
      </c>
      <c r="X1392">
        <f t="shared" si="1384"/>
        <v>7.5250504970493886</v>
      </c>
      <c r="Y1392" s="220" t="s">
        <v>1666</v>
      </c>
      <c r="Z1392" s="220">
        <f>SUM(X1392,X1394,X1412)</f>
        <v>8.2082458711236104</v>
      </c>
      <c r="AA1392" s="792">
        <f t="shared" si="1450"/>
        <v>8.2082458711236104</v>
      </c>
      <c r="AB1392" s="18" t="s">
        <v>433</v>
      </c>
      <c r="AC1392" s="18" t="str">
        <f t="shared" ref="AC1392:AD1392" si="1458">AB1392</f>
        <v>sugar</v>
      </c>
      <c r="AD1392" s="18" t="str">
        <f t="shared" si="1458"/>
        <v>sugar</v>
      </c>
      <c r="AE1392" s="12">
        <v>3.0104466724907065E-4</v>
      </c>
      <c r="AF1392" s="12">
        <v>1.2500000000000001E-2</v>
      </c>
      <c r="AG1392" s="12">
        <v>5.1818181818181835E-4</v>
      </c>
      <c r="AH1392" s="12">
        <v>4.0084080366977777E-4</v>
      </c>
    </row>
    <row r="1393" spans="1:34" ht="14.25">
      <c r="A1393" s="14" t="s">
        <v>4732</v>
      </c>
      <c r="B1393" s="24" t="s">
        <v>2768</v>
      </c>
      <c r="C1393" s="14" t="s">
        <v>2819</v>
      </c>
      <c r="D1393" s="14" t="s">
        <v>2911</v>
      </c>
      <c r="E1393" s="14" t="s">
        <v>4733</v>
      </c>
      <c r="F1393" s="13">
        <v>34</v>
      </c>
      <c r="G1393" s="14" t="s">
        <v>4734</v>
      </c>
      <c r="H1393" s="567" t="s">
        <v>2934</v>
      </c>
      <c r="I1393" s="14" t="s">
        <v>4733</v>
      </c>
      <c r="J1393" s="14" t="s">
        <v>4735</v>
      </c>
      <c r="K1393" s="478">
        <v>1</v>
      </c>
      <c r="L1393" s="220">
        <v>34</v>
      </c>
      <c r="M1393" s="568" t="s">
        <v>4736</v>
      </c>
      <c r="N1393" s="479" t="s">
        <v>2937</v>
      </c>
      <c r="O1393" s="569" t="s">
        <v>2976</v>
      </c>
      <c r="P1393" s="489" t="s">
        <v>4007</v>
      </c>
      <c r="Q1393" s="918" t="s">
        <v>4740</v>
      </c>
      <c r="R1393" s="489">
        <f>5*0.876</f>
        <v>4.38</v>
      </c>
      <c r="S1393" s="14">
        <f t="shared" si="1448"/>
        <v>1.4891999999999999</v>
      </c>
      <c r="T1393">
        <f t="shared" si="1455"/>
        <v>100.99599999999998</v>
      </c>
      <c r="U1393">
        <f t="shared" si="1422"/>
        <v>4.3368054180363584</v>
      </c>
      <c r="V1393" s="220">
        <f t="shared" si="1456"/>
        <v>4.3368054180363584</v>
      </c>
      <c r="W1393" s="14" t="s">
        <v>2820</v>
      </c>
      <c r="X1393">
        <f t="shared" si="1384"/>
        <v>4.3368054180363584</v>
      </c>
      <c r="Y1393" s="220">
        <f>SUM(X1393,X1404)</f>
        <v>5.3269436413323312</v>
      </c>
      <c r="Z1393" s="220">
        <f>X1393</f>
        <v>4.3368054180363584</v>
      </c>
      <c r="AA1393" s="792">
        <f t="shared" si="1450"/>
        <v>4.3368054180363584</v>
      </c>
      <c r="AB1393" s="18" t="s">
        <v>2820</v>
      </c>
      <c r="AC1393" s="13" t="s">
        <v>3875</v>
      </c>
      <c r="AD1393" s="13" t="s">
        <v>3876</v>
      </c>
      <c r="AE1393" s="12">
        <v>2.38916680630451E-3</v>
      </c>
      <c r="AF1393" s="12">
        <v>0.16192713668914901</v>
      </c>
      <c r="AG1393" s="12">
        <v>4.8714285714285716E-4</v>
      </c>
      <c r="AH1393" s="12">
        <v>2.358948129596642E-3</v>
      </c>
    </row>
    <row r="1394" spans="1:34" ht="14.25">
      <c r="A1394" s="14" t="s">
        <v>4732</v>
      </c>
      <c r="B1394" s="24" t="s">
        <v>2768</v>
      </c>
      <c r="C1394" s="14" t="s">
        <v>2819</v>
      </c>
      <c r="D1394" s="14" t="s">
        <v>2911</v>
      </c>
      <c r="E1394" s="14" t="s">
        <v>4733</v>
      </c>
      <c r="F1394" s="13">
        <v>34</v>
      </c>
      <c r="G1394" s="14" t="s">
        <v>4734</v>
      </c>
      <c r="H1394" s="567" t="s">
        <v>2934</v>
      </c>
      <c r="I1394" s="14" t="s">
        <v>4733</v>
      </c>
      <c r="J1394" s="14" t="s">
        <v>4735</v>
      </c>
      <c r="K1394" s="478">
        <v>1</v>
      </c>
      <c r="L1394" s="220">
        <v>34</v>
      </c>
      <c r="M1394" s="568" t="s">
        <v>4736</v>
      </c>
      <c r="N1394" s="479" t="s">
        <v>2937</v>
      </c>
      <c r="O1394" s="569" t="s">
        <v>2976</v>
      </c>
      <c r="P1394" s="490" t="s">
        <v>4007</v>
      </c>
      <c r="Q1394" s="919" t="s">
        <v>4740</v>
      </c>
      <c r="R1394" s="490">
        <f>5*0.124</f>
        <v>0.62</v>
      </c>
      <c r="S1394" s="14">
        <f t="shared" si="1448"/>
        <v>0.21079999999999999</v>
      </c>
      <c r="T1394">
        <f t="shared" si="1455"/>
        <v>100.99599999999998</v>
      </c>
      <c r="U1394">
        <f t="shared" si="1422"/>
        <v>0.61388569844350283</v>
      </c>
      <c r="V1394" s="220">
        <f t="shared" si="1456"/>
        <v>0.61388569844350283</v>
      </c>
      <c r="W1394" s="14" t="s">
        <v>433</v>
      </c>
      <c r="X1394">
        <f t="shared" si="1384"/>
        <v>0.61388569844350283</v>
      </c>
      <c r="Y1394" s="220" t="s">
        <v>1666</v>
      </c>
      <c r="Z1394" s="220" t="s">
        <v>1666</v>
      </c>
      <c r="AA1394" s="792" t="str">
        <f t="shared" si="1450"/>
        <v>*</v>
      </c>
      <c r="AB1394" s="458" t="str">
        <f t="shared" ref="AB1394:AH1394" si="1459">AA1394</f>
        <v>*</v>
      </c>
      <c r="AC1394" s="458" t="str">
        <f t="shared" si="1459"/>
        <v>*</v>
      </c>
      <c r="AD1394" s="458" t="str">
        <f t="shared" si="1459"/>
        <v>*</v>
      </c>
      <c r="AE1394" s="462" t="str">
        <f t="shared" si="1459"/>
        <v>*</v>
      </c>
      <c r="AF1394" s="462" t="str">
        <f t="shared" si="1459"/>
        <v>*</v>
      </c>
      <c r="AG1394" s="462" t="str">
        <f t="shared" si="1459"/>
        <v>*</v>
      </c>
      <c r="AH1394" s="462" t="str">
        <f t="shared" si="1459"/>
        <v>*</v>
      </c>
    </row>
    <row r="1395" spans="1:34" ht="14.25">
      <c r="A1395" s="14" t="s">
        <v>4732</v>
      </c>
      <c r="B1395" s="24" t="s">
        <v>2768</v>
      </c>
      <c r="C1395" s="14" t="s">
        <v>2819</v>
      </c>
      <c r="D1395" s="14" t="s">
        <v>2911</v>
      </c>
      <c r="E1395" s="14" t="s">
        <v>4733</v>
      </c>
      <c r="F1395" s="13">
        <v>34</v>
      </c>
      <c r="G1395" s="14" t="s">
        <v>4734</v>
      </c>
      <c r="H1395" s="567" t="s">
        <v>2934</v>
      </c>
      <c r="I1395" s="14" t="s">
        <v>4733</v>
      </c>
      <c r="J1395" s="14" t="s">
        <v>4735</v>
      </c>
      <c r="K1395" s="478">
        <v>1</v>
      </c>
      <c r="L1395" s="220">
        <v>34</v>
      </c>
      <c r="M1395" s="568" t="s">
        <v>4736</v>
      </c>
      <c r="N1395" s="479" t="s">
        <v>2937</v>
      </c>
      <c r="O1395" s="569" t="s">
        <v>2976</v>
      </c>
      <c r="P1395" s="655" t="s">
        <v>3978</v>
      </c>
      <c r="Q1395" s="486" t="s">
        <v>3979</v>
      </c>
      <c r="R1395" s="14">
        <v>5</v>
      </c>
      <c r="S1395" s="14">
        <f t="shared" si="1448"/>
        <v>1.7000000000000002</v>
      </c>
      <c r="T1395">
        <f t="shared" si="1455"/>
        <v>100.99599999999998</v>
      </c>
      <c r="U1395">
        <f t="shared" si="1422"/>
        <v>4.9506911164798613</v>
      </c>
      <c r="V1395" s="220">
        <f t="shared" si="1456"/>
        <v>4.9506911164798613</v>
      </c>
      <c r="W1395" s="14" t="s">
        <v>1164</v>
      </c>
      <c r="X1395">
        <f t="shared" si="1384"/>
        <v>4.9506911164798613</v>
      </c>
      <c r="Y1395" s="220">
        <f>SUM(X1395,X1400,X1429)</f>
        <v>7.1289952077310001</v>
      </c>
      <c r="Z1395" s="220">
        <f>SUM(X1395,X1400)</f>
        <v>6.9309675630718059</v>
      </c>
      <c r="AA1395" s="792">
        <f t="shared" si="1450"/>
        <v>6.9309675630718059</v>
      </c>
      <c r="AB1395" s="18" t="s">
        <v>2714</v>
      </c>
      <c r="AC1395" s="13" t="s">
        <v>215</v>
      </c>
      <c r="AD1395" s="13" t="s">
        <v>3007</v>
      </c>
      <c r="AE1395" s="12">
        <v>5.0851930036188197E-3</v>
      </c>
      <c r="AF1395" s="12">
        <v>5.9995417730640897E-2</v>
      </c>
      <c r="AG1395" s="12">
        <v>3.4699999999999998E-4</v>
      </c>
      <c r="AH1395" s="12">
        <v>2.9762429672480995E-4</v>
      </c>
    </row>
    <row r="1396" spans="1:34" ht="14.25">
      <c r="A1396" s="14" t="s">
        <v>4732</v>
      </c>
      <c r="B1396" s="24" t="s">
        <v>2768</v>
      </c>
      <c r="C1396" s="14" t="s">
        <v>2819</v>
      </c>
      <c r="D1396" s="14" t="s">
        <v>2911</v>
      </c>
      <c r="E1396" s="14" t="s">
        <v>4733</v>
      </c>
      <c r="F1396" s="13">
        <v>34</v>
      </c>
      <c r="G1396" s="14" t="s">
        <v>4734</v>
      </c>
      <c r="H1396" s="567" t="s">
        <v>2934</v>
      </c>
      <c r="I1396" s="14" t="s">
        <v>4733</v>
      </c>
      <c r="J1396" s="14" t="s">
        <v>4735</v>
      </c>
      <c r="K1396" s="478">
        <v>1</v>
      </c>
      <c r="L1396" s="220">
        <v>34</v>
      </c>
      <c r="M1396" s="568" t="s">
        <v>4736</v>
      </c>
      <c r="N1396" s="479" t="s">
        <v>2937</v>
      </c>
      <c r="O1396" s="569" t="s">
        <v>2976</v>
      </c>
      <c r="P1396" s="14" t="s">
        <v>3023</v>
      </c>
      <c r="Q1396" s="435" t="s">
        <v>4741</v>
      </c>
      <c r="R1396" s="14">
        <v>5</v>
      </c>
      <c r="S1396" s="14">
        <f t="shared" si="1448"/>
        <v>1.7000000000000002</v>
      </c>
      <c r="T1396">
        <f t="shared" si="1455"/>
        <v>100.99599999999998</v>
      </c>
      <c r="U1396">
        <f t="shared" si="1422"/>
        <v>4.9506911164798613</v>
      </c>
      <c r="V1396" s="220">
        <f t="shared" si="1456"/>
        <v>4.9506911164798613</v>
      </c>
      <c r="W1396" s="14" t="s">
        <v>1668</v>
      </c>
      <c r="X1396">
        <f t="shared" si="1384"/>
        <v>4.9506911164798613</v>
      </c>
      <c r="Y1396" s="220">
        <f>X1396</f>
        <v>4.9506911164798613</v>
      </c>
      <c r="Z1396" s="220">
        <f t="shared" ref="Z1396:Z1399" si="1460">X1396</f>
        <v>4.9506911164798613</v>
      </c>
      <c r="AA1396" s="792">
        <f t="shared" si="1450"/>
        <v>4.9506911164798613</v>
      </c>
      <c r="AB1396" s="18" t="s">
        <v>1668</v>
      </c>
      <c r="AC1396" s="13" t="s">
        <v>4508</v>
      </c>
      <c r="AD1396" s="13" t="s">
        <v>4509</v>
      </c>
      <c r="AE1396" s="12">
        <v>3.372204299368619E-2</v>
      </c>
      <c r="AF1396" s="12">
        <v>6.4584205812988751E-2</v>
      </c>
      <c r="AG1396" s="12">
        <v>3.9999999999999998E-6</v>
      </c>
      <c r="AH1396" s="12">
        <v>1.477309663377164E-3</v>
      </c>
    </row>
    <row r="1397" spans="1:34" ht="14.25">
      <c r="A1397" s="14" t="s">
        <v>4732</v>
      </c>
      <c r="B1397" s="24" t="s">
        <v>2768</v>
      </c>
      <c r="C1397" s="14" t="s">
        <v>2819</v>
      </c>
      <c r="D1397" s="14" t="s">
        <v>2911</v>
      </c>
      <c r="E1397" s="14" t="s">
        <v>4733</v>
      </c>
      <c r="F1397" s="13">
        <v>34</v>
      </c>
      <c r="G1397" s="14" t="s">
        <v>4734</v>
      </c>
      <c r="H1397" s="567" t="s">
        <v>2934</v>
      </c>
      <c r="I1397" s="14" t="s">
        <v>4733</v>
      </c>
      <c r="J1397" s="14" t="s">
        <v>4735</v>
      </c>
      <c r="K1397" s="478">
        <v>1</v>
      </c>
      <c r="L1397" s="220">
        <v>34</v>
      </c>
      <c r="M1397" s="568" t="s">
        <v>4736</v>
      </c>
      <c r="N1397" s="479" t="s">
        <v>2937</v>
      </c>
      <c r="O1397" s="569" t="s">
        <v>2976</v>
      </c>
      <c r="P1397" s="14" t="s">
        <v>3097</v>
      </c>
      <c r="Q1397" s="14" t="s">
        <v>3098</v>
      </c>
      <c r="R1397" s="14">
        <v>5</v>
      </c>
      <c r="S1397" s="14">
        <f t="shared" si="1448"/>
        <v>1.7000000000000002</v>
      </c>
      <c r="T1397">
        <f t="shared" si="1455"/>
        <v>100.99599999999998</v>
      </c>
      <c r="U1397">
        <f t="shared" si="1422"/>
        <v>4.9506911164798613</v>
      </c>
      <c r="V1397" s="220">
        <f t="shared" si="1456"/>
        <v>4.9506911164798613</v>
      </c>
      <c r="W1397" s="14" t="s">
        <v>201</v>
      </c>
      <c r="X1397">
        <f t="shared" si="1384"/>
        <v>4.9506911164798613</v>
      </c>
      <c r="Y1397" s="220">
        <f>SUM(X1397,X1418)</f>
        <v>5.9408293397758332</v>
      </c>
      <c r="Z1397" s="220">
        <f t="shared" si="1460"/>
        <v>4.9506911164798613</v>
      </c>
      <c r="AA1397" s="792">
        <f t="shared" si="1450"/>
        <v>4.9506911164798613</v>
      </c>
      <c r="AB1397" s="18" t="s">
        <v>201</v>
      </c>
      <c r="AC1397" s="13" t="s">
        <v>3097</v>
      </c>
      <c r="AD1397" s="13" t="s">
        <v>3099</v>
      </c>
      <c r="AE1397" s="12">
        <v>4.18475450981867E-4</v>
      </c>
      <c r="AF1397" s="12">
        <v>8.6483234472969298E-3</v>
      </c>
      <c r="AG1397" s="12">
        <v>1.2528735632183908E-4</v>
      </c>
      <c r="AH1397" s="12">
        <v>3.0408612692190031E-4</v>
      </c>
    </row>
    <row r="1398" spans="1:34" ht="14.25">
      <c r="A1398" s="14" t="s">
        <v>4732</v>
      </c>
      <c r="B1398" s="24" t="s">
        <v>2768</v>
      </c>
      <c r="C1398" s="14" t="s">
        <v>2819</v>
      </c>
      <c r="D1398" s="14" t="s">
        <v>2911</v>
      </c>
      <c r="E1398" s="14" t="s">
        <v>4733</v>
      </c>
      <c r="F1398" s="13">
        <v>34</v>
      </c>
      <c r="G1398" s="14" t="s">
        <v>4734</v>
      </c>
      <c r="H1398" s="567" t="s">
        <v>2934</v>
      </c>
      <c r="I1398" s="14" t="s">
        <v>4733</v>
      </c>
      <c r="J1398" s="14" t="s">
        <v>4735</v>
      </c>
      <c r="K1398" s="478">
        <v>1</v>
      </c>
      <c r="L1398" s="220">
        <v>34</v>
      </c>
      <c r="M1398" s="568" t="s">
        <v>4736</v>
      </c>
      <c r="N1398" s="479" t="s">
        <v>2937</v>
      </c>
      <c r="O1398" s="569" t="s">
        <v>2976</v>
      </c>
      <c r="P1398" s="14" t="s">
        <v>214</v>
      </c>
      <c r="Q1398" s="435" t="s">
        <v>3980</v>
      </c>
      <c r="R1398" s="14">
        <v>5</v>
      </c>
      <c r="S1398" s="14">
        <f t="shared" si="1448"/>
        <v>1.7000000000000002</v>
      </c>
      <c r="T1398">
        <f t="shared" si="1455"/>
        <v>100.99599999999998</v>
      </c>
      <c r="U1398">
        <f t="shared" si="1422"/>
        <v>4.9506911164798613</v>
      </c>
      <c r="V1398" s="220">
        <f t="shared" si="1456"/>
        <v>4.9506911164798613</v>
      </c>
      <c r="W1398" s="14" t="s">
        <v>1113</v>
      </c>
      <c r="X1398">
        <f t="shared" si="1384"/>
        <v>4.9506911164798613</v>
      </c>
      <c r="Y1398" s="220" t="s">
        <v>1666</v>
      </c>
      <c r="Z1398" s="220">
        <f t="shared" si="1460"/>
        <v>4.9506911164798613</v>
      </c>
      <c r="AA1398" s="792">
        <f t="shared" si="1450"/>
        <v>4.9506911164798613</v>
      </c>
      <c r="AB1398" s="18" t="s">
        <v>1113</v>
      </c>
      <c r="AC1398" s="14" t="s">
        <v>4142</v>
      </c>
      <c r="AD1398" s="14" t="s">
        <v>3529</v>
      </c>
      <c r="AE1398" s="12">
        <v>3.8297066240151499E-4</v>
      </c>
      <c r="AF1398" s="12">
        <v>1.2726079536012401E-2</v>
      </c>
      <c r="AG1398" s="12">
        <v>1.225E-5</v>
      </c>
      <c r="AH1398" s="12">
        <v>1.5432370941286443E-5</v>
      </c>
    </row>
    <row r="1399" spans="1:34" ht="14.25">
      <c r="A1399" s="14" t="s">
        <v>4732</v>
      </c>
      <c r="B1399" s="24" t="s">
        <v>2768</v>
      </c>
      <c r="C1399" s="14" t="s">
        <v>2819</v>
      </c>
      <c r="D1399" s="14" t="s">
        <v>2911</v>
      </c>
      <c r="E1399" s="14" t="s">
        <v>4733</v>
      </c>
      <c r="F1399" s="13">
        <v>34</v>
      </c>
      <c r="G1399" s="14" t="s">
        <v>4734</v>
      </c>
      <c r="H1399" s="567" t="s">
        <v>2934</v>
      </c>
      <c r="I1399" s="14" t="s">
        <v>4733</v>
      </c>
      <c r="J1399" s="14" t="s">
        <v>4735</v>
      </c>
      <c r="K1399" s="478">
        <v>1</v>
      </c>
      <c r="L1399" s="220">
        <v>34</v>
      </c>
      <c r="M1399" s="568" t="s">
        <v>4736</v>
      </c>
      <c r="N1399" s="479" t="s">
        <v>2937</v>
      </c>
      <c r="O1399" s="569" t="s">
        <v>2976</v>
      </c>
      <c r="P1399" s="14" t="s">
        <v>3986</v>
      </c>
      <c r="Q1399" s="486" t="s">
        <v>4742</v>
      </c>
      <c r="R1399" s="14">
        <v>4</v>
      </c>
      <c r="S1399" s="14">
        <f t="shared" si="1448"/>
        <v>1.36</v>
      </c>
      <c r="T1399">
        <f t="shared" si="1455"/>
        <v>100.99599999999998</v>
      </c>
      <c r="U1399">
        <f t="shared" si="1422"/>
        <v>3.9605528931838894</v>
      </c>
      <c r="V1399" s="220">
        <f t="shared" si="1456"/>
        <v>3.9605528931838894</v>
      </c>
      <c r="W1399" s="14" t="s">
        <v>220</v>
      </c>
      <c r="X1399">
        <f t="shared" si="1384"/>
        <v>3.9605528931838894</v>
      </c>
      <c r="Y1399" s="220" t="s">
        <v>1666</v>
      </c>
      <c r="Z1399" s="220">
        <f t="shared" si="1460"/>
        <v>3.9605528931838894</v>
      </c>
      <c r="AA1399" s="792">
        <f t="shared" si="1450"/>
        <v>3.9605528931838894</v>
      </c>
      <c r="AB1399" s="18" t="s">
        <v>2672</v>
      </c>
      <c r="AC1399" s="14" t="s">
        <v>3988</v>
      </c>
      <c r="AD1399" s="14" t="s">
        <v>2979</v>
      </c>
      <c r="AE1399" s="12">
        <v>1.30594189090772E-4</v>
      </c>
      <c r="AF1399" s="12">
        <v>7.0161459421965505E-3</v>
      </c>
      <c r="AG1399" s="12">
        <v>4.0500000000000002E-6</v>
      </c>
      <c r="AH1399" s="12">
        <v>2.9762429672481003E-5</v>
      </c>
    </row>
    <row r="1400" spans="1:34" ht="14.25">
      <c r="A1400" s="14" t="s">
        <v>4732</v>
      </c>
      <c r="B1400" s="24" t="s">
        <v>2768</v>
      </c>
      <c r="C1400" s="14" t="s">
        <v>2819</v>
      </c>
      <c r="D1400" s="14" t="s">
        <v>2911</v>
      </c>
      <c r="E1400" s="14" t="s">
        <v>4733</v>
      </c>
      <c r="F1400" s="13">
        <v>34</v>
      </c>
      <c r="G1400" s="14" t="s">
        <v>4734</v>
      </c>
      <c r="H1400" s="567" t="s">
        <v>2934</v>
      </c>
      <c r="I1400" s="14" t="s">
        <v>4733</v>
      </c>
      <c r="J1400" s="14" t="s">
        <v>4735</v>
      </c>
      <c r="K1400" s="478">
        <v>1</v>
      </c>
      <c r="L1400" s="220">
        <v>34</v>
      </c>
      <c r="M1400" s="568" t="s">
        <v>4736</v>
      </c>
      <c r="N1400" s="479" t="s">
        <v>2937</v>
      </c>
      <c r="O1400" s="569" t="s">
        <v>2976</v>
      </c>
      <c r="P1400" s="655" t="s">
        <v>3005</v>
      </c>
      <c r="Q1400" s="14" t="s">
        <v>4743</v>
      </c>
      <c r="R1400" s="14">
        <v>2</v>
      </c>
      <c r="S1400" s="14">
        <f t="shared" si="1448"/>
        <v>0.68</v>
      </c>
      <c r="T1400">
        <f t="shared" si="1455"/>
        <v>100.99599999999998</v>
      </c>
      <c r="U1400">
        <f t="shared" si="1422"/>
        <v>1.9802764465919447</v>
      </c>
      <c r="V1400" s="220">
        <f t="shared" si="1456"/>
        <v>1.9802764465919447</v>
      </c>
      <c r="W1400" s="14" t="s">
        <v>2526</v>
      </c>
      <c r="X1400">
        <f t="shared" si="1384"/>
        <v>1.9802764465919447</v>
      </c>
      <c r="Y1400" s="220" t="s">
        <v>1666</v>
      </c>
      <c r="Z1400" s="220" t="s">
        <v>1666</v>
      </c>
      <c r="AA1400" s="792" t="str">
        <f t="shared" si="1450"/>
        <v>*</v>
      </c>
      <c r="AB1400" s="458" t="str">
        <f t="shared" ref="AB1400:AH1400" si="1461">AA1400</f>
        <v>*</v>
      </c>
      <c r="AC1400" s="458" t="str">
        <f t="shared" si="1461"/>
        <v>*</v>
      </c>
      <c r="AD1400" s="458" t="str">
        <f t="shared" si="1461"/>
        <v>*</v>
      </c>
      <c r="AE1400" s="462" t="str">
        <f t="shared" si="1461"/>
        <v>*</v>
      </c>
      <c r="AF1400" s="462" t="str">
        <f t="shared" si="1461"/>
        <v>*</v>
      </c>
      <c r="AG1400" s="462" t="str">
        <f t="shared" si="1461"/>
        <v>*</v>
      </c>
      <c r="AH1400" s="462" t="str">
        <f t="shared" si="1461"/>
        <v>*</v>
      </c>
    </row>
    <row r="1401" spans="1:34" ht="14.25">
      <c r="A1401" s="14" t="s">
        <v>4732</v>
      </c>
      <c r="B1401" s="24" t="s">
        <v>2768</v>
      </c>
      <c r="C1401" s="14" t="s">
        <v>2819</v>
      </c>
      <c r="D1401" s="14" t="s">
        <v>2911</v>
      </c>
      <c r="E1401" s="14" t="s">
        <v>4733</v>
      </c>
      <c r="F1401" s="13">
        <v>34</v>
      </c>
      <c r="G1401" s="14" t="s">
        <v>4734</v>
      </c>
      <c r="H1401" s="567" t="s">
        <v>2934</v>
      </c>
      <c r="I1401" s="14" t="s">
        <v>4733</v>
      </c>
      <c r="J1401" s="14" t="s">
        <v>4735</v>
      </c>
      <c r="K1401" s="478">
        <v>1</v>
      </c>
      <c r="L1401" s="220">
        <v>34</v>
      </c>
      <c r="M1401" s="568" t="s">
        <v>4736</v>
      </c>
      <c r="N1401" s="479" t="s">
        <v>2937</v>
      </c>
      <c r="O1401" s="569" t="s">
        <v>2976</v>
      </c>
      <c r="P1401" s="14" t="s">
        <v>430</v>
      </c>
      <c r="Q1401" s="527" t="s">
        <v>4086</v>
      </c>
      <c r="R1401" s="14">
        <v>2</v>
      </c>
      <c r="S1401" s="14">
        <f t="shared" si="1448"/>
        <v>0.68</v>
      </c>
      <c r="T1401">
        <f t="shared" si="1455"/>
        <v>100.99599999999998</v>
      </c>
      <c r="U1401">
        <f t="shared" si="1422"/>
        <v>1.9802764465919447</v>
      </c>
      <c r="V1401" s="220">
        <f t="shared" si="1456"/>
        <v>1.9802764465919447</v>
      </c>
      <c r="W1401" s="14" t="s">
        <v>430</v>
      </c>
      <c r="X1401">
        <f t="shared" si="1384"/>
        <v>1.9802764465919447</v>
      </c>
      <c r="Y1401" s="220">
        <f t="shared" ref="Y1401:Y1402" si="1462">X1401</f>
        <v>1.9802764465919447</v>
      </c>
      <c r="Z1401" s="220">
        <f t="shared" ref="Z1401:Z1404" si="1463">X1401</f>
        <v>1.9802764465919447</v>
      </c>
      <c r="AA1401" s="792">
        <f t="shared" si="1450"/>
        <v>1.9802764465919447</v>
      </c>
      <c r="AB1401" s="18" t="s">
        <v>430</v>
      </c>
      <c r="AC1401" s="14" t="s">
        <v>18</v>
      </c>
      <c r="AD1401" s="14" t="s">
        <v>18</v>
      </c>
      <c r="AE1401" s="12">
        <v>0</v>
      </c>
      <c r="AF1401" s="12">
        <v>0</v>
      </c>
      <c r="AG1401" s="12">
        <v>0</v>
      </c>
      <c r="AH1401" s="12">
        <v>0</v>
      </c>
    </row>
    <row r="1402" spans="1:34" ht="14.25">
      <c r="A1402" s="14" t="s">
        <v>4732</v>
      </c>
      <c r="B1402" s="24" t="s">
        <v>2768</v>
      </c>
      <c r="C1402" s="14" t="s">
        <v>2819</v>
      </c>
      <c r="D1402" s="14" t="s">
        <v>2911</v>
      </c>
      <c r="E1402" s="14" t="s">
        <v>4733</v>
      </c>
      <c r="F1402" s="13">
        <v>34</v>
      </c>
      <c r="G1402" s="14" t="s">
        <v>4734</v>
      </c>
      <c r="H1402" s="567" t="s">
        <v>2934</v>
      </c>
      <c r="I1402" s="14" t="s">
        <v>4733</v>
      </c>
      <c r="J1402" s="14" t="s">
        <v>4735</v>
      </c>
      <c r="K1402" s="478">
        <v>1</v>
      </c>
      <c r="L1402" s="220">
        <v>34</v>
      </c>
      <c r="M1402" s="568" t="s">
        <v>4736</v>
      </c>
      <c r="N1402" s="479" t="s">
        <v>2937</v>
      </c>
      <c r="O1402" s="569" t="s">
        <v>2976</v>
      </c>
      <c r="P1402" s="14" t="s">
        <v>4744</v>
      </c>
      <c r="Q1402" s="486" t="s">
        <v>4745</v>
      </c>
      <c r="R1402" s="14">
        <v>2</v>
      </c>
      <c r="S1402" s="14">
        <f t="shared" si="1448"/>
        <v>0.68</v>
      </c>
      <c r="T1402">
        <f t="shared" si="1455"/>
        <v>100.99599999999998</v>
      </c>
      <c r="U1402">
        <f t="shared" si="1422"/>
        <v>1.9802764465919447</v>
      </c>
      <c r="V1402" s="220">
        <f t="shared" si="1456"/>
        <v>1.9802764465919447</v>
      </c>
      <c r="W1402" s="14" t="s">
        <v>77</v>
      </c>
      <c r="X1402">
        <f t="shared" si="1384"/>
        <v>1.9802764465919447</v>
      </c>
      <c r="Y1402" s="220">
        <f t="shared" si="1462"/>
        <v>1.9802764465919447</v>
      </c>
      <c r="Z1402" s="220">
        <f t="shared" si="1463"/>
        <v>1.9802764465919447</v>
      </c>
      <c r="AA1402" s="792">
        <f t="shared" si="1450"/>
        <v>1.9802764465919447</v>
      </c>
      <c r="AB1402" s="18" t="s">
        <v>77</v>
      </c>
      <c r="AC1402" s="14" t="s">
        <v>18</v>
      </c>
      <c r="AD1402" s="14" t="s">
        <v>18</v>
      </c>
      <c r="AE1402" s="826">
        <v>0</v>
      </c>
      <c r="AF1402" s="826">
        <v>0</v>
      </c>
      <c r="AG1402" s="826">
        <v>0</v>
      </c>
      <c r="AH1402" s="826">
        <v>0</v>
      </c>
    </row>
    <row r="1403" spans="1:34" ht="14.25">
      <c r="A1403" s="14" t="s">
        <v>4732</v>
      </c>
      <c r="B1403" s="24" t="s">
        <v>2768</v>
      </c>
      <c r="C1403" s="14" t="s">
        <v>2819</v>
      </c>
      <c r="D1403" s="14" t="s">
        <v>2911</v>
      </c>
      <c r="E1403" s="14" t="s">
        <v>4733</v>
      </c>
      <c r="F1403" s="13">
        <v>34</v>
      </c>
      <c r="G1403" s="14" t="s">
        <v>4734</v>
      </c>
      <c r="H1403" s="567" t="s">
        <v>2934</v>
      </c>
      <c r="I1403" s="14" t="s">
        <v>4733</v>
      </c>
      <c r="J1403" s="14" t="s">
        <v>4735</v>
      </c>
      <c r="K1403" s="478">
        <v>1</v>
      </c>
      <c r="L1403" s="220">
        <v>34</v>
      </c>
      <c r="M1403" s="568" t="s">
        <v>4736</v>
      </c>
      <c r="N1403" s="479" t="s">
        <v>2937</v>
      </c>
      <c r="O1403" s="569" t="s">
        <v>2976</v>
      </c>
      <c r="P1403" s="14" t="s">
        <v>432</v>
      </c>
      <c r="Q1403" s="486" t="s">
        <v>3028</v>
      </c>
      <c r="R1403" s="14">
        <v>1</v>
      </c>
      <c r="S1403" s="14">
        <f t="shared" si="1448"/>
        <v>0.34</v>
      </c>
      <c r="T1403">
        <f t="shared" si="1455"/>
        <v>100.99599999999998</v>
      </c>
      <c r="U1403">
        <f t="shared" si="1422"/>
        <v>0.99013822329597234</v>
      </c>
      <c r="V1403" s="220">
        <f t="shared" si="1456"/>
        <v>0.99013822329597234</v>
      </c>
      <c r="W1403" s="14" t="s">
        <v>432</v>
      </c>
      <c r="X1403">
        <f t="shared" si="1384"/>
        <v>0.99013822329597234</v>
      </c>
      <c r="Y1403" s="220" t="s">
        <v>1666</v>
      </c>
      <c r="Z1403" s="220">
        <f t="shared" si="1463"/>
        <v>0.99013822329597234</v>
      </c>
      <c r="AA1403" s="792">
        <f t="shared" si="1450"/>
        <v>0.99013822329597234</v>
      </c>
      <c r="AB1403" s="18" t="s">
        <v>2529</v>
      </c>
      <c r="AC1403" s="14" t="s">
        <v>3029</v>
      </c>
      <c r="AD1403" s="14" t="s">
        <v>3030</v>
      </c>
      <c r="AE1403" s="12">
        <v>2.2558902713754649E-4</v>
      </c>
      <c r="AF1403" s="12">
        <v>9.3669250645994837E-3</v>
      </c>
      <c r="AG1403" s="12">
        <v>3.8830162085976054E-4</v>
      </c>
      <c r="AH1403" s="12">
        <v>3.0037166166469137E-4</v>
      </c>
    </row>
    <row r="1404" spans="1:34" ht="14.25">
      <c r="A1404" s="14" t="s">
        <v>4732</v>
      </c>
      <c r="B1404" s="24" t="s">
        <v>2768</v>
      </c>
      <c r="C1404" s="14" t="s">
        <v>2819</v>
      </c>
      <c r="D1404" s="14" t="s">
        <v>2911</v>
      </c>
      <c r="E1404" s="14" t="s">
        <v>4733</v>
      </c>
      <c r="F1404" s="13">
        <v>34</v>
      </c>
      <c r="G1404" s="14" t="s">
        <v>4734</v>
      </c>
      <c r="H1404" s="567" t="s">
        <v>2934</v>
      </c>
      <c r="I1404" s="14" t="s">
        <v>4733</v>
      </c>
      <c r="J1404" s="14" t="s">
        <v>4735</v>
      </c>
      <c r="K1404" s="478">
        <v>1</v>
      </c>
      <c r="L1404" s="220">
        <v>34</v>
      </c>
      <c r="M1404" s="568" t="s">
        <v>4736</v>
      </c>
      <c r="N1404" s="479" t="s">
        <v>2937</v>
      </c>
      <c r="O1404" s="569" t="s">
        <v>2976</v>
      </c>
      <c r="P1404" s="14" t="s">
        <v>4746</v>
      </c>
      <c r="Q1404" s="486" t="s">
        <v>4747</v>
      </c>
      <c r="R1404" s="14">
        <v>1</v>
      </c>
      <c r="S1404" s="14">
        <f t="shared" si="1448"/>
        <v>0.34</v>
      </c>
      <c r="T1404">
        <f t="shared" si="1455"/>
        <v>100.99599999999998</v>
      </c>
      <c r="U1404">
        <f t="shared" si="1422"/>
        <v>0.99013822329597234</v>
      </c>
      <c r="V1404" s="220">
        <f t="shared" si="1456"/>
        <v>0.99013822329597234</v>
      </c>
      <c r="W1404" s="14" t="s">
        <v>4748</v>
      </c>
      <c r="X1404">
        <f t="shared" si="1384"/>
        <v>0.99013822329597234</v>
      </c>
      <c r="Y1404" s="220" t="s">
        <v>1666</v>
      </c>
      <c r="Z1404" s="220">
        <f t="shared" si="1463"/>
        <v>0.99013822329597234</v>
      </c>
      <c r="AA1404" s="792">
        <f t="shared" si="1450"/>
        <v>0.99013822329597234</v>
      </c>
      <c r="AB1404" s="18" t="s">
        <v>2821</v>
      </c>
      <c r="AC1404" s="13" t="s">
        <v>4018</v>
      </c>
      <c r="AD1404" s="13" t="s">
        <v>3858</v>
      </c>
      <c r="AE1404" s="23">
        <v>2.0905209555164457E-3</v>
      </c>
      <c r="AF1404" s="23">
        <v>0.14168624460300538</v>
      </c>
      <c r="AG1404" s="12">
        <v>4.2624999999999998E-4</v>
      </c>
      <c r="AH1404" s="23">
        <v>2.1605319317801021E-3</v>
      </c>
    </row>
    <row r="1405" spans="1:34" ht="14.25">
      <c r="A1405" s="14" t="s">
        <v>4732</v>
      </c>
      <c r="B1405" s="24" t="s">
        <v>2768</v>
      </c>
      <c r="C1405" s="14" t="s">
        <v>2819</v>
      </c>
      <c r="D1405" s="14" t="s">
        <v>2911</v>
      </c>
      <c r="E1405" s="14" t="s">
        <v>4733</v>
      </c>
      <c r="F1405" s="13">
        <v>34</v>
      </c>
      <c r="G1405" s="14" t="s">
        <v>4734</v>
      </c>
      <c r="H1405" s="567" t="s">
        <v>2934</v>
      </c>
      <c r="I1405" s="14" t="s">
        <v>4733</v>
      </c>
      <c r="J1405" s="14" t="s">
        <v>4735</v>
      </c>
      <c r="K1405" s="478">
        <v>1</v>
      </c>
      <c r="L1405" s="220">
        <v>34</v>
      </c>
      <c r="M1405" s="568" t="s">
        <v>4736</v>
      </c>
      <c r="N1405" s="479" t="s">
        <v>2937</v>
      </c>
      <c r="O1405" s="569" t="s">
        <v>2976</v>
      </c>
      <c r="P1405" s="14" t="s">
        <v>3868</v>
      </c>
      <c r="Q1405" s="553" t="s">
        <v>4036</v>
      </c>
      <c r="R1405" s="14">
        <v>1</v>
      </c>
      <c r="S1405" s="14">
        <f t="shared" si="1448"/>
        <v>0.34</v>
      </c>
      <c r="T1405">
        <f t="shared" si="1455"/>
        <v>100.99599999999998</v>
      </c>
      <c r="U1405">
        <f t="shared" si="1422"/>
        <v>0.99013822329597234</v>
      </c>
      <c r="V1405" s="220">
        <f t="shared" si="1456"/>
        <v>0.99013822329597234</v>
      </c>
      <c r="W1405" s="14" t="s">
        <v>4749</v>
      </c>
      <c r="X1405">
        <f t="shared" si="1384"/>
        <v>0.99013822329597234</v>
      </c>
      <c r="Y1405" s="220" t="s">
        <v>1666</v>
      </c>
      <c r="Z1405" s="220">
        <f>SUM(X1405,X1427)</f>
        <v>1.9802764465919447</v>
      </c>
      <c r="AA1405" s="792">
        <f t="shared" si="1450"/>
        <v>1.9802764465919447</v>
      </c>
      <c r="AB1405" s="18" t="s">
        <v>2822</v>
      </c>
      <c r="AC1405" s="13" t="s">
        <v>55</v>
      </c>
      <c r="AD1405" s="13" t="s">
        <v>2979</v>
      </c>
      <c r="AE1405" s="12">
        <v>3.1468479298981202E-3</v>
      </c>
      <c r="AF1405" s="12">
        <v>0.16906375764329037</v>
      </c>
      <c r="AG1405" s="12">
        <v>9.759036144578314E-5</v>
      </c>
      <c r="AH1405" s="12">
        <v>7.171669800597832E-4</v>
      </c>
    </row>
    <row r="1406" spans="1:34" ht="14.25">
      <c r="A1406" s="14" t="s">
        <v>4732</v>
      </c>
      <c r="B1406" s="24" t="s">
        <v>2768</v>
      </c>
      <c r="C1406" s="14" t="s">
        <v>2819</v>
      </c>
      <c r="D1406" s="14" t="s">
        <v>2911</v>
      </c>
      <c r="E1406" s="14" t="s">
        <v>4733</v>
      </c>
      <c r="F1406" s="13">
        <v>34</v>
      </c>
      <c r="G1406" s="14" t="s">
        <v>4734</v>
      </c>
      <c r="H1406" s="567" t="s">
        <v>2934</v>
      </c>
      <c r="I1406" s="14" t="s">
        <v>4733</v>
      </c>
      <c r="J1406" s="14" t="s">
        <v>4735</v>
      </c>
      <c r="K1406" s="478">
        <v>1</v>
      </c>
      <c r="L1406" s="220">
        <v>34</v>
      </c>
      <c r="M1406" s="568" t="s">
        <v>4736</v>
      </c>
      <c r="N1406" s="479" t="s">
        <v>2937</v>
      </c>
      <c r="O1406" s="569" t="s">
        <v>2976</v>
      </c>
      <c r="P1406" s="14" t="s">
        <v>4019</v>
      </c>
      <c r="Q1406" s="486" t="s">
        <v>4750</v>
      </c>
      <c r="R1406" s="14">
        <v>1</v>
      </c>
      <c r="S1406" s="14">
        <f t="shared" si="1448"/>
        <v>0.34</v>
      </c>
      <c r="T1406">
        <f t="shared" si="1455"/>
        <v>100.99599999999998</v>
      </c>
      <c r="U1406">
        <f t="shared" si="1422"/>
        <v>0.99013822329597234</v>
      </c>
      <c r="V1406" s="220">
        <f t="shared" si="1456"/>
        <v>0.99013822329597234</v>
      </c>
      <c r="W1406" s="14" t="s">
        <v>4151</v>
      </c>
      <c r="X1406">
        <f t="shared" si="1384"/>
        <v>0.99013822329597234</v>
      </c>
      <c r="Y1406" s="220">
        <f>SUM(X1406,X1407,X1409)</f>
        <v>2.970414669887917</v>
      </c>
      <c r="Z1406" s="220">
        <f>X1406</f>
        <v>0.99013822329597234</v>
      </c>
      <c r="AA1406" s="792">
        <f t="shared" si="1450"/>
        <v>0.99013822329597234</v>
      </c>
      <c r="AB1406" s="18" t="s">
        <v>206</v>
      </c>
      <c r="AC1406" s="13" t="s">
        <v>208</v>
      </c>
      <c r="AD1406" s="13" t="s">
        <v>3864</v>
      </c>
      <c r="AE1406" s="12">
        <v>5.1193538415680896E-3</v>
      </c>
      <c r="AF1406" s="12">
        <v>9.9290720942183497E-2</v>
      </c>
      <c r="AG1406" s="12">
        <v>7.8999999999999996E-5</v>
      </c>
      <c r="AH1406" s="12">
        <v>3.0864741882572887E-4</v>
      </c>
    </row>
    <row r="1407" spans="1:34" ht="14.25">
      <c r="A1407" s="14" t="s">
        <v>4732</v>
      </c>
      <c r="B1407" s="24" t="s">
        <v>2768</v>
      </c>
      <c r="C1407" s="14" t="s">
        <v>2819</v>
      </c>
      <c r="D1407" s="14" t="s">
        <v>2911</v>
      </c>
      <c r="E1407" s="14" t="s">
        <v>4733</v>
      </c>
      <c r="F1407" s="13">
        <v>34</v>
      </c>
      <c r="G1407" s="14" t="s">
        <v>4734</v>
      </c>
      <c r="H1407" s="567" t="s">
        <v>2934</v>
      </c>
      <c r="I1407" s="14" t="s">
        <v>4733</v>
      </c>
      <c r="J1407" s="14" t="s">
        <v>4735</v>
      </c>
      <c r="K1407" s="478">
        <v>1</v>
      </c>
      <c r="L1407" s="220">
        <v>34</v>
      </c>
      <c r="M1407" s="568" t="s">
        <v>4736</v>
      </c>
      <c r="N1407" s="479" t="s">
        <v>2937</v>
      </c>
      <c r="O1407" s="569" t="s">
        <v>2976</v>
      </c>
      <c r="P1407" s="14" t="s">
        <v>3862</v>
      </c>
      <c r="Q1407" s="486" t="s">
        <v>4751</v>
      </c>
      <c r="R1407" s="14">
        <v>1</v>
      </c>
      <c r="S1407" s="14">
        <f t="shared" si="1448"/>
        <v>0.34</v>
      </c>
      <c r="T1407">
        <f t="shared" si="1455"/>
        <v>100.99599999999998</v>
      </c>
      <c r="U1407">
        <f t="shared" si="1422"/>
        <v>0.99013822329597234</v>
      </c>
      <c r="V1407" s="220">
        <f t="shared" si="1456"/>
        <v>0.99013822329597234</v>
      </c>
      <c r="W1407" s="14" t="s">
        <v>4161</v>
      </c>
      <c r="X1407">
        <f t="shared" si="1384"/>
        <v>0.99013822329597234</v>
      </c>
      <c r="Y1407" s="220" t="s">
        <v>1666</v>
      </c>
      <c r="Z1407" s="220">
        <f>SUM(X1407,X1409)</f>
        <v>1.9802764465919447</v>
      </c>
      <c r="AA1407" s="792">
        <f t="shared" si="1450"/>
        <v>1.9802764465919447</v>
      </c>
      <c r="AB1407" s="18" t="s">
        <v>2662</v>
      </c>
      <c r="AC1407" s="18" t="str">
        <f t="shared" ref="AC1407:AD1407" si="1464">AB1407</f>
        <v>malted barley flour</v>
      </c>
      <c r="AD1407" s="18" t="str">
        <f t="shared" si="1464"/>
        <v>malted barley flour</v>
      </c>
      <c r="AE1407" s="12">
        <v>6.399192301960112E-3</v>
      </c>
      <c r="AF1407" s="12">
        <v>0.12411340117772937</v>
      </c>
      <c r="AG1407" s="12">
        <v>9.8749999999999988E-5</v>
      </c>
      <c r="AH1407" s="12">
        <v>3.8580927353216109E-4</v>
      </c>
    </row>
    <row r="1408" spans="1:34" ht="14.25">
      <c r="A1408" s="14" t="s">
        <v>4732</v>
      </c>
      <c r="B1408" s="24" t="s">
        <v>2768</v>
      </c>
      <c r="C1408" s="14" t="s">
        <v>2819</v>
      </c>
      <c r="D1408" s="14" t="s">
        <v>2911</v>
      </c>
      <c r="E1408" s="14" t="s">
        <v>4733</v>
      </c>
      <c r="F1408" s="13">
        <v>34</v>
      </c>
      <c r="G1408" s="14" t="s">
        <v>4734</v>
      </c>
      <c r="H1408" s="567" t="s">
        <v>2934</v>
      </c>
      <c r="I1408" s="14" t="s">
        <v>4733</v>
      </c>
      <c r="J1408" s="14" t="s">
        <v>4735</v>
      </c>
      <c r="K1408" s="478">
        <v>1</v>
      </c>
      <c r="L1408" s="220">
        <v>34</v>
      </c>
      <c r="M1408" s="568" t="s">
        <v>4736</v>
      </c>
      <c r="N1408" s="479" t="s">
        <v>2937</v>
      </c>
      <c r="O1408" s="569" t="s">
        <v>2976</v>
      </c>
      <c r="P1408" s="14" t="s">
        <v>2962</v>
      </c>
      <c r="Q1408" s="435" t="s">
        <v>2963</v>
      </c>
      <c r="R1408" s="14">
        <v>1</v>
      </c>
      <c r="S1408" s="14">
        <f t="shared" si="1448"/>
        <v>0.34</v>
      </c>
      <c r="T1408">
        <f t="shared" si="1455"/>
        <v>100.99599999999998</v>
      </c>
      <c r="U1408">
        <f t="shared" si="1422"/>
        <v>0.99013822329597234</v>
      </c>
      <c r="V1408" s="220">
        <f t="shared" si="1456"/>
        <v>0.99013822329597234</v>
      </c>
      <c r="W1408" s="14" t="s">
        <v>425</v>
      </c>
      <c r="X1408">
        <f t="shared" si="1384"/>
        <v>0.99013822329597234</v>
      </c>
      <c r="Y1408" s="220" t="s">
        <v>1666</v>
      </c>
      <c r="Z1408" s="220" t="s">
        <v>1666</v>
      </c>
      <c r="AA1408" s="792" t="str">
        <f t="shared" si="1450"/>
        <v>*</v>
      </c>
      <c r="AB1408" s="458" t="str">
        <f t="shared" ref="AB1408:AH1408" si="1465">AA1408</f>
        <v>*</v>
      </c>
      <c r="AC1408" s="458" t="str">
        <f t="shared" si="1465"/>
        <v>*</v>
      </c>
      <c r="AD1408" s="458" t="str">
        <f t="shared" si="1465"/>
        <v>*</v>
      </c>
      <c r="AE1408" s="462" t="str">
        <f t="shared" si="1465"/>
        <v>*</v>
      </c>
      <c r="AF1408" s="462" t="str">
        <f t="shared" si="1465"/>
        <v>*</v>
      </c>
      <c r="AG1408" s="462" t="str">
        <f t="shared" si="1465"/>
        <v>*</v>
      </c>
      <c r="AH1408" s="462" t="str">
        <f t="shared" si="1465"/>
        <v>*</v>
      </c>
    </row>
    <row r="1409" spans="1:34" ht="14.25">
      <c r="A1409" s="14" t="s">
        <v>4732</v>
      </c>
      <c r="B1409" s="24" t="s">
        <v>2768</v>
      </c>
      <c r="C1409" s="14" t="s">
        <v>2819</v>
      </c>
      <c r="D1409" s="14" t="s">
        <v>2911</v>
      </c>
      <c r="E1409" s="14" t="s">
        <v>4733</v>
      </c>
      <c r="F1409" s="13">
        <v>34</v>
      </c>
      <c r="G1409" s="14" t="s">
        <v>4734</v>
      </c>
      <c r="H1409" s="567" t="s">
        <v>2934</v>
      </c>
      <c r="I1409" s="14" t="s">
        <v>4733</v>
      </c>
      <c r="J1409" s="14" t="s">
        <v>4735</v>
      </c>
      <c r="K1409" s="478">
        <v>1</v>
      </c>
      <c r="L1409" s="220">
        <v>34</v>
      </c>
      <c r="M1409" s="568" t="s">
        <v>4736</v>
      </c>
      <c r="N1409" s="479" t="s">
        <v>2937</v>
      </c>
      <c r="O1409" s="569" t="s">
        <v>2976</v>
      </c>
      <c r="P1409" s="14" t="s">
        <v>3862</v>
      </c>
      <c r="Q1409" s="486" t="s">
        <v>4752</v>
      </c>
      <c r="R1409" s="14">
        <v>1</v>
      </c>
      <c r="S1409" s="14">
        <f t="shared" si="1448"/>
        <v>0.34</v>
      </c>
      <c r="T1409">
        <f t="shared" si="1455"/>
        <v>100.99599999999998</v>
      </c>
      <c r="U1409">
        <f t="shared" si="1422"/>
        <v>0.99013822329597234</v>
      </c>
      <c r="V1409" s="220">
        <f t="shared" si="1456"/>
        <v>0.99013822329597234</v>
      </c>
      <c r="W1409" s="14" t="s">
        <v>4161</v>
      </c>
      <c r="X1409">
        <f t="shared" si="1384"/>
        <v>0.99013822329597234</v>
      </c>
      <c r="Y1409" s="220" t="s">
        <v>1666</v>
      </c>
      <c r="Z1409" s="220" t="s">
        <v>1666</v>
      </c>
      <c r="AA1409" s="792" t="str">
        <f t="shared" si="1450"/>
        <v>*</v>
      </c>
      <c r="AB1409" s="458" t="str">
        <f t="shared" ref="AB1409:AH1409" si="1466">AA1409</f>
        <v>*</v>
      </c>
      <c r="AC1409" s="458" t="str">
        <f t="shared" si="1466"/>
        <v>*</v>
      </c>
      <c r="AD1409" s="458" t="str">
        <f t="shared" si="1466"/>
        <v>*</v>
      </c>
      <c r="AE1409" s="462" t="str">
        <f t="shared" si="1466"/>
        <v>*</v>
      </c>
      <c r="AF1409" s="462" t="str">
        <f t="shared" si="1466"/>
        <v>*</v>
      </c>
      <c r="AG1409" s="462" t="str">
        <f t="shared" si="1466"/>
        <v>*</v>
      </c>
      <c r="AH1409" s="462" t="str">
        <f t="shared" si="1466"/>
        <v>*</v>
      </c>
    </row>
    <row r="1410" spans="1:34" ht="14.25">
      <c r="A1410" s="14" t="s">
        <v>4732</v>
      </c>
      <c r="B1410" s="24" t="s">
        <v>2768</v>
      </c>
      <c r="C1410" s="14" t="s">
        <v>2819</v>
      </c>
      <c r="D1410" s="14" t="s">
        <v>2911</v>
      </c>
      <c r="E1410" s="14" t="s">
        <v>4733</v>
      </c>
      <c r="F1410" s="13">
        <v>34</v>
      </c>
      <c r="G1410" s="14" t="s">
        <v>4734</v>
      </c>
      <c r="H1410" s="567" t="s">
        <v>2934</v>
      </c>
      <c r="I1410" s="14" t="s">
        <v>4733</v>
      </c>
      <c r="J1410" s="14" t="s">
        <v>4735</v>
      </c>
      <c r="K1410" s="478">
        <v>1</v>
      </c>
      <c r="L1410" s="220">
        <v>34</v>
      </c>
      <c r="M1410" s="568" t="s">
        <v>4736</v>
      </c>
      <c r="N1410" s="479" t="s">
        <v>2937</v>
      </c>
      <c r="O1410" s="569" t="s">
        <v>2976</v>
      </c>
      <c r="P1410" s="14" t="s">
        <v>4521</v>
      </c>
      <c r="Q1410" s="14" t="s">
        <v>4522</v>
      </c>
      <c r="R1410" s="14">
        <v>1</v>
      </c>
      <c r="S1410" s="14">
        <f t="shared" si="1448"/>
        <v>0.34</v>
      </c>
      <c r="T1410">
        <f t="shared" si="1455"/>
        <v>100.99599999999998</v>
      </c>
      <c r="U1410">
        <f t="shared" si="1422"/>
        <v>0.99013822329597234</v>
      </c>
      <c r="V1410" s="220">
        <f t="shared" si="1456"/>
        <v>0.99013822329597234</v>
      </c>
      <c r="W1410" s="14" t="s">
        <v>4523</v>
      </c>
      <c r="X1410">
        <f t="shared" si="1384"/>
        <v>0.99013822329597234</v>
      </c>
      <c r="Y1410" s="220">
        <f>SUM(X1410,X1411,X1417)</f>
        <v>2.7723870252287224</v>
      </c>
      <c r="Z1410" s="220">
        <f>SUM(X1410:X1411)</f>
        <v>1.7822488019327503</v>
      </c>
      <c r="AA1410" s="792">
        <f t="shared" si="1450"/>
        <v>1.7822488019327503</v>
      </c>
      <c r="AB1410" s="18" t="s">
        <v>2823</v>
      </c>
      <c r="AC1410" s="13" t="s">
        <v>4524</v>
      </c>
      <c r="AD1410" s="13" t="s">
        <v>4525</v>
      </c>
      <c r="AE1410" s="12">
        <v>3.8427539589960401E-3</v>
      </c>
      <c r="AF1410" s="12">
        <v>1.5537788094869101E-2</v>
      </c>
      <c r="AG1410" s="12">
        <v>2.14E-4</v>
      </c>
      <c r="AH1410" s="12">
        <v>5.7320234924778215E-4</v>
      </c>
    </row>
    <row r="1411" spans="1:34" ht="14.25">
      <c r="A1411" s="14" t="s">
        <v>4732</v>
      </c>
      <c r="B1411" s="24" t="s">
        <v>2768</v>
      </c>
      <c r="C1411" s="14" t="s">
        <v>2819</v>
      </c>
      <c r="D1411" s="14" t="s">
        <v>2911</v>
      </c>
      <c r="E1411" s="14" t="s">
        <v>4733</v>
      </c>
      <c r="F1411" s="13">
        <v>34</v>
      </c>
      <c r="G1411" s="14" t="s">
        <v>4734</v>
      </c>
      <c r="H1411" s="567" t="s">
        <v>2934</v>
      </c>
      <c r="I1411" s="14" t="s">
        <v>4733</v>
      </c>
      <c r="J1411" s="14" t="s">
        <v>4735</v>
      </c>
      <c r="K1411" s="478">
        <v>1</v>
      </c>
      <c r="L1411" s="220">
        <v>34</v>
      </c>
      <c r="M1411" s="568" t="s">
        <v>4736</v>
      </c>
      <c r="N1411" s="479" t="s">
        <v>2937</v>
      </c>
      <c r="O1411" s="569" t="s">
        <v>2976</v>
      </c>
      <c r="P1411" s="939" t="s">
        <v>4672</v>
      </c>
      <c r="Q1411" s="489" t="s">
        <v>4753</v>
      </c>
      <c r="R1411" s="489">
        <v>0.8</v>
      </c>
      <c r="S1411" s="489">
        <f t="shared" si="1448"/>
        <v>0.27200000000000002</v>
      </c>
      <c r="T1411" s="489">
        <f t="shared" si="1455"/>
        <v>100.99599999999998</v>
      </c>
      <c r="U1411" s="489">
        <f t="shared" si="1422"/>
        <v>0.79211057863677792</v>
      </c>
      <c r="V1411" s="588">
        <f t="shared" si="1456"/>
        <v>0.79211057863677792</v>
      </c>
      <c r="W1411" s="489" t="s">
        <v>4523</v>
      </c>
      <c r="X1411">
        <f t="shared" si="1384"/>
        <v>0.79211057863677792</v>
      </c>
      <c r="Y1411" s="220" t="s">
        <v>1666</v>
      </c>
      <c r="Z1411" s="220" t="s">
        <v>1666</v>
      </c>
      <c r="AA1411" s="792" t="str">
        <f t="shared" si="1450"/>
        <v>*</v>
      </c>
      <c r="AB1411" s="458" t="str">
        <f t="shared" ref="AB1411:AH1411" si="1467">AA1411</f>
        <v>*</v>
      </c>
      <c r="AC1411" s="458" t="str">
        <f t="shared" si="1467"/>
        <v>*</v>
      </c>
      <c r="AD1411" s="458" t="str">
        <f t="shared" si="1467"/>
        <v>*</v>
      </c>
      <c r="AE1411" s="462" t="str">
        <f t="shared" si="1467"/>
        <v>*</v>
      </c>
      <c r="AF1411" s="462" t="str">
        <f t="shared" si="1467"/>
        <v>*</v>
      </c>
      <c r="AG1411" s="462" t="str">
        <f t="shared" si="1467"/>
        <v>*</v>
      </c>
      <c r="AH1411" s="462" t="str">
        <f t="shared" si="1467"/>
        <v>*</v>
      </c>
    </row>
    <row r="1412" spans="1:34" ht="14.25">
      <c r="A1412" s="14" t="s">
        <v>4732</v>
      </c>
      <c r="B1412" s="24" t="s">
        <v>2768</v>
      </c>
      <c r="C1412" s="14" t="s">
        <v>2819</v>
      </c>
      <c r="D1412" s="14" t="s">
        <v>2911</v>
      </c>
      <c r="E1412" s="14" t="s">
        <v>4733</v>
      </c>
      <c r="F1412" s="13">
        <v>34</v>
      </c>
      <c r="G1412" s="14" t="s">
        <v>4734</v>
      </c>
      <c r="H1412" s="567" t="s">
        <v>2934</v>
      </c>
      <c r="I1412" s="14" t="s">
        <v>4733</v>
      </c>
      <c r="J1412" s="14" t="s">
        <v>4735</v>
      </c>
      <c r="K1412" s="478">
        <v>1</v>
      </c>
      <c r="L1412" s="220">
        <v>34</v>
      </c>
      <c r="M1412" s="568" t="s">
        <v>4736</v>
      </c>
      <c r="N1412" s="479" t="s">
        <v>2937</v>
      </c>
      <c r="O1412" s="569" t="s">
        <v>2976</v>
      </c>
      <c r="P1412" s="655" t="s">
        <v>4672</v>
      </c>
      <c r="Q1412" s="14" t="s">
        <v>4754</v>
      </c>
      <c r="R1412" s="14">
        <v>7.0000000000000007E-2</v>
      </c>
      <c r="S1412" s="14">
        <f t="shared" si="1448"/>
        <v>2.3800000000000002E-2</v>
      </c>
      <c r="T1412">
        <f t="shared" si="1455"/>
        <v>100.99599999999998</v>
      </c>
      <c r="U1412">
        <f t="shared" si="1422"/>
        <v>6.9309675630718062E-2</v>
      </c>
      <c r="V1412" s="220">
        <f t="shared" si="1456"/>
        <v>6.9309675630718062E-2</v>
      </c>
      <c r="W1412" s="14" t="s">
        <v>433</v>
      </c>
      <c r="X1412">
        <f t="shared" si="1384"/>
        <v>6.9309675630718062E-2</v>
      </c>
      <c r="Y1412" s="220" t="s">
        <v>1666</v>
      </c>
      <c r="Z1412" s="220" t="s">
        <v>1666</v>
      </c>
      <c r="AA1412" s="792" t="str">
        <f t="shared" si="1450"/>
        <v>*</v>
      </c>
      <c r="AB1412" s="458" t="str">
        <f t="shared" ref="AB1412:AH1412" si="1468">AA1412</f>
        <v>*</v>
      </c>
      <c r="AC1412" s="458" t="str">
        <f t="shared" si="1468"/>
        <v>*</v>
      </c>
      <c r="AD1412" s="458" t="str">
        <f t="shared" si="1468"/>
        <v>*</v>
      </c>
      <c r="AE1412" s="462" t="str">
        <f t="shared" si="1468"/>
        <v>*</v>
      </c>
      <c r="AF1412" s="462" t="str">
        <f t="shared" si="1468"/>
        <v>*</v>
      </c>
      <c r="AG1412" s="462" t="str">
        <f t="shared" si="1468"/>
        <v>*</v>
      </c>
      <c r="AH1412" s="462" t="str">
        <f t="shared" si="1468"/>
        <v>*</v>
      </c>
    </row>
    <row r="1413" spans="1:34" ht="14.25">
      <c r="A1413" s="14" t="s">
        <v>4732</v>
      </c>
      <c r="B1413" s="10" t="s">
        <v>2768</v>
      </c>
      <c r="C1413" s="14" t="s">
        <v>2819</v>
      </c>
      <c r="D1413" s="14" t="s">
        <v>2911</v>
      </c>
      <c r="E1413" s="14" t="s">
        <v>4733</v>
      </c>
      <c r="F1413" s="13">
        <v>34</v>
      </c>
      <c r="G1413" s="14" t="s">
        <v>4734</v>
      </c>
      <c r="H1413" s="567" t="s">
        <v>2934</v>
      </c>
      <c r="I1413" s="14" t="s">
        <v>4733</v>
      </c>
      <c r="J1413" s="14" t="s">
        <v>4735</v>
      </c>
      <c r="K1413" s="873">
        <v>1</v>
      </c>
      <c r="L1413" s="220">
        <v>34</v>
      </c>
      <c r="M1413" s="568" t="s">
        <v>4736</v>
      </c>
      <c r="N1413" s="521" t="s">
        <v>2937</v>
      </c>
      <c r="O1413" s="569" t="s">
        <v>2976</v>
      </c>
      <c r="P1413" s="668" t="s">
        <v>4672</v>
      </c>
      <c r="Q1413" s="14" t="s">
        <v>4755</v>
      </c>
      <c r="R1413" s="220">
        <v>4.3999999999999997E-2</v>
      </c>
      <c r="S1413" s="220">
        <f t="shared" si="1448"/>
        <v>1.4959999999999999E-2</v>
      </c>
      <c r="T1413" s="220">
        <f t="shared" si="1455"/>
        <v>100.99599999999998</v>
      </c>
      <c r="U1413" s="220">
        <f t="shared" si="1422"/>
        <v>4.3566081825022779E-2</v>
      </c>
      <c r="V1413" s="220">
        <f t="shared" si="1456"/>
        <v>4.3566081825022779E-2</v>
      </c>
      <c r="W1413" s="14" t="s">
        <v>4321</v>
      </c>
      <c r="X1413">
        <f t="shared" si="1384"/>
        <v>4.3566081825022779E-2</v>
      </c>
      <c r="Y1413" s="14">
        <f>SUM(X1413,X1415,X1420,X1426,X1428)</f>
        <v>2.3758366667986857</v>
      </c>
      <c r="Z1413" s="14">
        <f>SUM(X1413,X1415,X1420,X1426)</f>
        <v>2.1283021109746927</v>
      </c>
      <c r="AA1413" s="792">
        <f t="shared" si="1450"/>
        <v>2.1283021109746927</v>
      </c>
      <c r="AB1413" s="458" t="s">
        <v>2824</v>
      </c>
      <c r="AC1413" s="13" t="s">
        <v>2982</v>
      </c>
      <c r="AD1413" s="13" t="s">
        <v>2983</v>
      </c>
      <c r="AE1413" s="12">
        <v>2.9691872042618299E-2</v>
      </c>
      <c r="AF1413" s="12">
        <v>7.5368545517799299E-2</v>
      </c>
      <c r="AG1413" s="12">
        <v>2.9014018691588786E-4</v>
      </c>
      <c r="AH1413" s="12">
        <v>1.4770983615231311E-3</v>
      </c>
    </row>
    <row r="1414" spans="1:34" ht="14.25">
      <c r="A1414" s="14" t="s">
        <v>4732</v>
      </c>
      <c r="B1414" s="10" t="s">
        <v>2768</v>
      </c>
      <c r="C1414" s="14" t="s">
        <v>2819</v>
      </c>
      <c r="D1414" s="14" t="s">
        <v>2911</v>
      </c>
      <c r="E1414" s="14" t="s">
        <v>4733</v>
      </c>
      <c r="F1414" s="13">
        <v>34</v>
      </c>
      <c r="G1414" s="14" t="s">
        <v>4734</v>
      </c>
      <c r="H1414" s="567" t="s">
        <v>2934</v>
      </c>
      <c r="I1414" s="14" t="s">
        <v>4733</v>
      </c>
      <c r="J1414" s="14" t="s">
        <v>4735</v>
      </c>
      <c r="K1414" s="873">
        <v>1</v>
      </c>
      <c r="L1414" s="220">
        <v>34</v>
      </c>
      <c r="M1414" s="568" t="s">
        <v>4736</v>
      </c>
      <c r="N1414" s="521" t="s">
        <v>2937</v>
      </c>
      <c r="O1414" s="569" t="s">
        <v>2976</v>
      </c>
      <c r="P1414" s="668" t="s">
        <v>4672</v>
      </c>
      <c r="Q1414" s="14" t="s">
        <v>4756</v>
      </c>
      <c r="R1414" s="220">
        <v>2.1000000000000001E-2</v>
      </c>
      <c r="S1414" s="220">
        <f t="shared" si="1448"/>
        <v>7.1400000000000005E-3</v>
      </c>
      <c r="T1414" s="220">
        <f t="shared" si="1455"/>
        <v>100.99599999999998</v>
      </c>
      <c r="U1414" s="220">
        <f t="shared" si="1422"/>
        <v>2.0792902689215419E-2</v>
      </c>
      <c r="V1414" s="220">
        <f t="shared" si="1456"/>
        <v>2.0792902689215419E-2</v>
      </c>
      <c r="W1414" s="14" t="s">
        <v>340</v>
      </c>
      <c r="X1414">
        <f t="shared" si="1384"/>
        <v>2.0792902689215419E-2</v>
      </c>
      <c r="Y1414" s="39">
        <f>SUM(X1414,X1421)</f>
        <v>1.506000237633174</v>
      </c>
      <c r="Z1414" s="14">
        <f t="shared" ref="Z1414:AA1414" si="1469">Y1414</f>
        <v>1.506000237633174</v>
      </c>
      <c r="AA1414" s="792">
        <f t="shared" si="1469"/>
        <v>1.506000237633174</v>
      </c>
      <c r="AB1414" s="18" t="s">
        <v>340</v>
      </c>
      <c r="AC1414" s="13" t="s">
        <v>3115</v>
      </c>
      <c r="AD1414" s="13" t="s">
        <v>3116</v>
      </c>
      <c r="AE1414" s="12">
        <v>2.1708241661196198E-2</v>
      </c>
      <c r="AF1414" s="12">
        <v>0.36572952458380198</v>
      </c>
      <c r="AG1414" s="12">
        <v>4.6350652173913045E-4</v>
      </c>
      <c r="AH1414" s="12">
        <v>1.6975608035415088E-3</v>
      </c>
    </row>
    <row r="1415" spans="1:34" ht="14.25">
      <c r="A1415" s="14" t="s">
        <v>4732</v>
      </c>
      <c r="B1415" s="10" t="s">
        <v>2768</v>
      </c>
      <c r="C1415" s="14" t="s">
        <v>2819</v>
      </c>
      <c r="D1415" s="14" t="s">
        <v>2911</v>
      </c>
      <c r="E1415" s="14" t="s">
        <v>4733</v>
      </c>
      <c r="F1415" s="13">
        <v>34</v>
      </c>
      <c r="G1415" s="14" t="s">
        <v>4734</v>
      </c>
      <c r="H1415" s="567" t="s">
        <v>2934</v>
      </c>
      <c r="I1415" s="14" t="s">
        <v>4733</v>
      </c>
      <c r="J1415" s="14" t="s">
        <v>4735</v>
      </c>
      <c r="K1415" s="873">
        <v>1</v>
      </c>
      <c r="L1415" s="220">
        <v>34</v>
      </c>
      <c r="M1415" s="568" t="s">
        <v>4736</v>
      </c>
      <c r="N1415" s="521" t="s">
        <v>2937</v>
      </c>
      <c r="O1415" s="569" t="s">
        <v>2976</v>
      </c>
      <c r="P1415" s="668" t="s">
        <v>4672</v>
      </c>
      <c r="Q1415" s="14" t="s">
        <v>4757</v>
      </c>
      <c r="R1415" s="220">
        <v>5.4999999999999997E-3</v>
      </c>
      <c r="S1415" s="220">
        <f t="shared" si="1448"/>
        <v>1.8699999999999999E-3</v>
      </c>
      <c r="T1415" s="220">
        <f t="shared" si="1455"/>
        <v>100.99599999999998</v>
      </c>
      <c r="U1415" s="220">
        <f t="shared" si="1422"/>
        <v>5.4457602281278474E-3</v>
      </c>
      <c r="V1415" s="220">
        <f t="shared" si="1456"/>
        <v>5.4457602281278474E-3</v>
      </c>
      <c r="W1415" s="14" t="s">
        <v>349</v>
      </c>
      <c r="X1415">
        <f t="shared" si="1384"/>
        <v>5.4457602281278474E-3</v>
      </c>
      <c r="Y1415" s="14" t="s">
        <v>1666</v>
      </c>
      <c r="Z1415" s="14" t="s">
        <v>1666</v>
      </c>
      <c r="AA1415" s="792" t="str">
        <f t="shared" ref="AA1415:AH1415" si="1470">Z1415</f>
        <v>*</v>
      </c>
      <c r="AB1415" s="458" t="str">
        <f t="shared" si="1470"/>
        <v>*</v>
      </c>
      <c r="AC1415" s="458" t="str">
        <f t="shared" si="1470"/>
        <v>*</v>
      </c>
      <c r="AD1415" s="458" t="str">
        <f t="shared" si="1470"/>
        <v>*</v>
      </c>
      <c r="AE1415" s="462" t="str">
        <f t="shared" si="1470"/>
        <v>*</v>
      </c>
      <c r="AF1415" s="462" t="str">
        <f t="shared" si="1470"/>
        <v>*</v>
      </c>
      <c r="AG1415" s="462" t="str">
        <f t="shared" si="1470"/>
        <v>*</v>
      </c>
      <c r="AH1415" s="462" t="str">
        <f t="shared" si="1470"/>
        <v>*</v>
      </c>
    </row>
    <row r="1416" spans="1:34" ht="14.25">
      <c r="A1416" s="14" t="s">
        <v>4732</v>
      </c>
      <c r="B1416" s="10" t="s">
        <v>2768</v>
      </c>
      <c r="C1416" s="14" t="s">
        <v>2819</v>
      </c>
      <c r="D1416" s="14" t="s">
        <v>2911</v>
      </c>
      <c r="E1416" s="14" t="s">
        <v>4733</v>
      </c>
      <c r="F1416" s="13">
        <v>34</v>
      </c>
      <c r="G1416" s="14" t="s">
        <v>4734</v>
      </c>
      <c r="H1416" s="567" t="s">
        <v>2934</v>
      </c>
      <c r="I1416" s="14" t="s">
        <v>4733</v>
      </c>
      <c r="J1416" s="14" t="s">
        <v>4735</v>
      </c>
      <c r="K1416" s="873">
        <v>1</v>
      </c>
      <c r="L1416" s="220">
        <v>34</v>
      </c>
      <c r="M1416" s="568" t="s">
        <v>4736</v>
      </c>
      <c r="N1416" s="521" t="s">
        <v>2937</v>
      </c>
      <c r="O1416" s="569" t="s">
        <v>2976</v>
      </c>
      <c r="P1416" s="941" t="s">
        <v>4672</v>
      </c>
      <c r="Q1416" s="491" t="s">
        <v>4758</v>
      </c>
      <c r="R1416" s="589">
        <v>5.4999999999999997E-3</v>
      </c>
      <c r="S1416" s="589">
        <f t="shared" si="1448"/>
        <v>1.8699999999999999E-3</v>
      </c>
      <c r="T1416" s="589">
        <f t="shared" si="1455"/>
        <v>100.99599999999998</v>
      </c>
      <c r="U1416" s="589">
        <f t="shared" si="1422"/>
        <v>5.4457602281278474E-3</v>
      </c>
      <c r="V1416" s="589">
        <f t="shared" si="1456"/>
        <v>5.4457602281278474E-3</v>
      </c>
      <c r="W1416" s="490" t="s">
        <v>2521</v>
      </c>
      <c r="X1416">
        <f t="shared" si="1384"/>
        <v>5.4457602281278474E-3</v>
      </c>
      <c r="Y1416" s="39">
        <f t="shared" ref="Y1416:AA1416" si="1471">X1416</f>
        <v>5.4457602281278474E-3</v>
      </c>
      <c r="Z1416" s="14">
        <f t="shared" si="1471"/>
        <v>5.4457602281278474E-3</v>
      </c>
      <c r="AA1416" s="792">
        <f t="shared" si="1471"/>
        <v>5.4457602281278474E-3</v>
      </c>
      <c r="AB1416" s="18" t="s">
        <v>324</v>
      </c>
      <c r="AC1416" s="13" t="s">
        <v>18</v>
      </c>
      <c r="AD1416" s="13" t="s">
        <v>3144</v>
      </c>
      <c r="AE1416" s="12">
        <v>1.0652903141570055E-3</v>
      </c>
      <c r="AF1416" s="12">
        <v>1.7273631840796021E-2</v>
      </c>
      <c r="AG1416" s="12">
        <v>1.3582399999999999E-4</v>
      </c>
      <c r="AH1416" s="12">
        <v>2.14E-3</v>
      </c>
    </row>
    <row r="1417" spans="1:34" ht="14.25">
      <c r="A1417" s="14" t="s">
        <v>4732</v>
      </c>
      <c r="B1417" s="24" t="s">
        <v>2768</v>
      </c>
      <c r="C1417" s="14" t="s">
        <v>2819</v>
      </c>
      <c r="D1417" s="14" t="s">
        <v>2911</v>
      </c>
      <c r="E1417" s="14" t="s">
        <v>4733</v>
      </c>
      <c r="F1417" s="13">
        <v>34</v>
      </c>
      <c r="G1417" s="14" t="s">
        <v>4734</v>
      </c>
      <c r="H1417" s="567" t="s">
        <v>2934</v>
      </c>
      <c r="I1417" s="14" t="s">
        <v>4733</v>
      </c>
      <c r="J1417" s="14" t="s">
        <v>4735</v>
      </c>
      <c r="K1417" s="478">
        <v>1</v>
      </c>
      <c r="L1417" s="220">
        <v>34</v>
      </c>
      <c r="M1417" s="568" t="s">
        <v>4736</v>
      </c>
      <c r="N1417" s="479" t="s">
        <v>2937</v>
      </c>
      <c r="O1417" s="569" t="s">
        <v>2976</v>
      </c>
      <c r="P1417" s="14" t="s">
        <v>314</v>
      </c>
      <c r="Q1417" s="14" t="s">
        <v>4600</v>
      </c>
      <c r="R1417" s="14">
        <v>1</v>
      </c>
      <c r="S1417" s="14">
        <f t="shared" si="1448"/>
        <v>0.34</v>
      </c>
      <c r="T1417">
        <f t="shared" si="1455"/>
        <v>100.99599999999998</v>
      </c>
      <c r="U1417">
        <f t="shared" si="1422"/>
        <v>0.99013822329597234</v>
      </c>
      <c r="V1417" s="220">
        <f t="shared" si="1456"/>
        <v>0.99013822329597234</v>
      </c>
      <c r="W1417" s="14" t="s">
        <v>314</v>
      </c>
      <c r="X1417">
        <f t="shared" si="1384"/>
        <v>0.99013822329597234</v>
      </c>
      <c r="Y1417" s="220" t="s">
        <v>1666</v>
      </c>
      <c r="Z1417" s="220">
        <f t="shared" ref="Z1417:Z1418" si="1472">X1417</f>
        <v>0.99013822329597234</v>
      </c>
      <c r="AA1417" s="792">
        <f t="shared" ref="AA1417:AA1418" si="1473">Z1417</f>
        <v>0.99013822329597234</v>
      </c>
      <c r="AB1417" s="18" t="s">
        <v>314</v>
      </c>
      <c r="AC1417" s="13" t="s">
        <v>4579</v>
      </c>
      <c r="AD1417" s="220"/>
      <c r="AE1417" s="12">
        <v>5.5052259063149899E-3</v>
      </c>
      <c r="AF1417" s="12">
        <v>8.2856018088169489E-2</v>
      </c>
      <c r="AG1417" s="12">
        <v>3.8159999999999999E-3</v>
      </c>
      <c r="AH1417" s="12">
        <v>1.8959770013580487E-3</v>
      </c>
    </row>
    <row r="1418" spans="1:34" ht="14.25">
      <c r="A1418" s="14" t="s">
        <v>4732</v>
      </c>
      <c r="B1418" s="24" t="s">
        <v>2768</v>
      </c>
      <c r="C1418" s="14" t="s">
        <v>2819</v>
      </c>
      <c r="D1418" s="14" t="s">
        <v>2911</v>
      </c>
      <c r="E1418" s="14" t="s">
        <v>4733</v>
      </c>
      <c r="F1418" s="13">
        <v>34</v>
      </c>
      <c r="G1418" s="14" t="s">
        <v>4734</v>
      </c>
      <c r="H1418" s="567" t="s">
        <v>2934</v>
      </c>
      <c r="I1418" s="14" t="s">
        <v>4733</v>
      </c>
      <c r="J1418" s="14" t="s">
        <v>4735</v>
      </c>
      <c r="K1418" s="478">
        <v>1</v>
      </c>
      <c r="L1418" s="220">
        <v>34</v>
      </c>
      <c r="M1418" s="568" t="s">
        <v>4736</v>
      </c>
      <c r="N1418" s="479" t="s">
        <v>2937</v>
      </c>
      <c r="O1418" s="569" t="s">
        <v>2976</v>
      </c>
      <c r="P1418" s="14" t="s">
        <v>4759</v>
      </c>
      <c r="Q1418" s="486" t="s">
        <v>4760</v>
      </c>
      <c r="R1418" s="14">
        <v>1</v>
      </c>
      <c r="S1418" s="14">
        <f t="shared" si="1448"/>
        <v>0.34</v>
      </c>
      <c r="T1418">
        <f t="shared" si="1455"/>
        <v>100.99599999999998</v>
      </c>
      <c r="U1418">
        <f t="shared" si="1422"/>
        <v>0.99013822329597234</v>
      </c>
      <c r="V1418" s="220">
        <f t="shared" si="1456"/>
        <v>0.99013822329597234</v>
      </c>
      <c r="W1418" s="14" t="s">
        <v>171</v>
      </c>
      <c r="X1418">
        <f t="shared" si="1384"/>
        <v>0.99013822329597234</v>
      </c>
      <c r="Y1418" s="220" t="s">
        <v>1666</v>
      </c>
      <c r="Z1418" s="220">
        <f t="shared" si="1472"/>
        <v>0.99013822329597234</v>
      </c>
      <c r="AA1418" s="792">
        <f t="shared" si="1473"/>
        <v>0.99013822329597234</v>
      </c>
      <c r="AB1418" s="18" t="s">
        <v>2825</v>
      </c>
      <c r="AC1418" s="13" t="s">
        <v>18</v>
      </c>
      <c r="AD1418" s="13" t="s">
        <v>18</v>
      </c>
      <c r="AE1418" s="12">
        <v>1.2077020065879129E-3</v>
      </c>
      <c r="AF1418" s="12">
        <v>5.4146159582401177E-3</v>
      </c>
      <c r="AG1418" s="12">
        <v>1.5899999999999999E-4</v>
      </c>
      <c r="AH1418" s="12">
        <v>2.0876111111111108E-3</v>
      </c>
    </row>
    <row r="1419" spans="1:34" ht="14.25">
      <c r="A1419" s="14" t="s">
        <v>4732</v>
      </c>
      <c r="B1419" s="24" t="s">
        <v>2768</v>
      </c>
      <c r="C1419" s="14" t="s">
        <v>2819</v>
      </c>
      <c r="D1419" s="14" t="s">
        <v>2911</v>
      </c>
      <c r="E1419" s="14" t="s">
        <v>4733</v>
      </c>
      <c r="F1419" s="13">
        <v>34</v>
      </c>
      <c r="G1419" s="14" t="s">
        <v>4734</v>
      </c>
      <c r="H1419" s="567" t="s">
        <v>2934</v>
      </c>
      <c r="I1419" s="14" t="s">
        <v>4733</v>
      </c>
      <c r="J1419" s="14" t="s">
        <v>4735</v>
      </c>
      <c r="K1419" s="478">
        <v>1</v>
      </c>
      <c r="L1419" s="220">
        <v>34</v>
      </c>
      <c r="M1419" s="568" t="s">
        <v>4736</v>
      </c>
      <c r="N1419" s="479" t="s">
        <v>2937</v>
      </c>
      <c r="O1419" s="569" t="s">
        <v>2976</v>
      </c>
      <c r="P1419" s="655" t="s">
        <v>4719</v>
      </c>
      <c r="Q1419" s="486" t="s">
        <v>4720</v>
      </c>
      <c r="R1419" s="14">
        <v>1</v>
      </c>
      <c r="S1419" s="14">
        <f t="shared" si="1448"/>
        <v>0.34</v>
      </c>
      <c r="T1419">
        <f t="shared" si="1455"/>
        <v>100.99599999999998</v>
      </c>
      <c r="U1419">
        <f t="shared" si="1422"/>
        <v>0.99013822329597234</v>
      </c>
      <c r="V1419" s="220">
        <f t="shared" si="1456"/>
        <v>0.99013822329597234</v>
      </c>
      <c r="W1419" s="14" t="s">
        <v>4721</v>
      </c>
      <c r="X1419">
        <f t="shared" si="1384"/>
        <v>0.99013822329597234</v>
      </c>
      <c r="Y1419" s="499">
        <f t="shared" ref="Y1419:AA1419" si="1474">X1419</f>
        <v>0.99013822329597234</v>
      </c>
      <c r="Z1419" s="220">
        <f t="shared" si="1474"/>
        <v>0.99013822329597234</v>
      </c>
      <c r="AA1419" s="792">
        <f t="shared" si="1474"/>
        <v>0.99013822329597234</v>
      </c>
      <c r="AB1419" s="809" t="s">
        <v>2818</v>
      </c>
      <c r="AC1419" s="511" t="s">
        <v>3174</v>
      </c>
      <c r="AD1419" s="511" t="s">
        <v>3174</v>
      </c>
      <c r="AE1419" s="461">
        <v>2.2073766211046637E-2</v>
      </c>
      <c r="AF1419" s="461">
        <v>8.7246004352723297E-2</v>
      </c>
      <c r="AG1419" s="461">
        <v>5.8202330775582959E-4</v>
      </c>
      <c r="AH1419" s="461">
        <v>2.670351142205461E-3</v>
      </c>
    </row>
    <row r="1420" spans="1:34" ht="14.25">
      <c r="A1420" s="14" t="s">
        <v>4732</v>
      </c>
      <c r="B1420" s="24" t="s">
        <v>2768</v>
      </c>
      <c r="C1420" s="14" t="s">
        <v>2819</v>
      </c>
      <c r="D1420" s="14" t="s">
        <v>2911</v>
      </c>
      <c r="E1420" s="14" t="s">
        <v>4733</v>
      </c>
      <c r="F1420" s="13">
        <v>34</v>
      </c>
      <c r="G1420" s="14" t="s">
        <v>4734</v>
      </c>
      <c r="H1420" s="567" t="s">
        <v>2934</v>
      </c>
      <c r="I1420" s="14" t="s">
        <v>4733</v>
      </c>
      <c r="J1420" s="14" t="s">
        <v>4735</v>
      </c>
      <c r="K1420" s="478">
        <v>1</v>
      </c>
      <c r="L1420" s="220">
        <v>34</v>
      </c>
      <c r="M1420" s="568" t="s">
        <v>4736</v>
      </c>
      <c r="N1420" s="479" t="s">
        <v>2937</v>
      </c>
      <c r="O1420" s="569" t="s">
        <v>2976</v>
      </c>
      <c r="P1420" s="14" t="s">
        <v>3021</v>
      </c>
      <c r="Q1420" s="486" t="s">
        <v>3022</v>
      </c>
      <c r="R1420" s="14">
        <v>1.6</v>
      </c>
      <c r="S1420" s="14">
        <f t="shared" si="1448"/>
        <v>0.54400000000000004</v>
      </c>
      <c r="T1420">
        <f t="shared" si="1455"/>
        <v>100.99599999999998</v>
      </c>
      <c r="U1420">
        <f t="shared" si="1422"/>
        <v>1.5842211572735558</v>
      </c>
      <c r="V1420" s="220">
        <f t="shared" si="1456"/>
        <v>1.5842211572735558</v>
      </c>
      <c r="W1420" s="14" t="s">
        <v>346</v>
      </c>
      <c r="X1420">
        <f t="shared" si="1384"/>
        <v>1.5842211572735558</v>
      </c>
      <c r="Y1420" s="220" t="s">
        <v>1666</v>
      </c>
      <c r="Z1420" s="220" t="s">
        <v>1666</v>
      </c>
      <c r="AA1420" s="792" t="str">
        <f t="shared" ref="AA1420:AH1420" si="1475">Z1420</f>
        <v>*</v>
      </c>
      <c r="AB1420" s="458" t="str">
        <f t="shared" si="1475"/>
        <v>*</v>
      </c>
      <c r="AC1420" s="458" t="str">
        <f t="shared" si="1475"/>
        <v>*</v>
      </c>
      <c r="AD1420" s="458" t="str">
        <f t="shared" si="1475"/>
        <v>*</v>
      </c>
      <c r="AE1420" s="462" t="str">
        <f t="shared" si="1475"/>
        <v>*</v>
      </c>
      <c r="AF1420" s="462" t="str">
        <f t="shared" si="1475"/>
        <v>*</v>
      </c>
      <c r="AG1420" s="462" t="str">
        <f t="shared" si="1475"/>
        <v>*</v>
      </c>
      <c r="AH1420" s="462" t="str">
        <f t="shared" si="1475"/>
        <v>*</v>
      </c>
    </row>
    <row r="1421" spans="1:34" ht="14.25">
      <c r="A1421" s="14" t="s">
        <v>4732</v>
      </c>
      <c r="B1421" s="24" t="s">
        <v>2768</v>
      </c>
      <c r="C1421" s="14" t="s">
        <v>2819</v>
      </c>
      <c r="D1421" s="14" t="s">
        <v>2911</v>
      </c>
      <c r="E1421" s="14" t="s">
        <v>4733</v>
      </c>
      <c r="F1421" s="13">
        <v>34</v>
      </c>
      <c r="G1421" s="14" t="s">
        <v>4734</v>
      </c>
      <c r="H1421" s="567" t="s">
        <v>2934</v>
      </c>
      <c r="I1421" s="14" t="s">
        <v>4733</v>
      </c>
      <c r="J1421" s="14" t="s">
        <v>4735</v>
      </c>
      <c r="K1421" s="478">
        <v>1</v>
      </c>
      <c r="L1421" s="220">
        <v>34</v>
      </c>
      <c r="M1421" s="568" t="s">
        <v>4736</v>
      </c>
      <c r="N1421" s="479" t="s">
        <v>2937</v>
      </c>
      <c r="O1421" s="569" t="s">
        <v>2976</v>
      </c>
      <c r="P1421" s="14" t="s">
        <v>1376</v>
      </c>
      <c r="Q1421" s="527" t="s">
        <v>3114</v>
      </c>
      <c r="R1421" s="14">
        <v>1.5</v>
      </c>
      <c r="S1421" s="14">
        <f t="shared" si="1448"/>
        <v>0.51</v>
      </c>
      <c r="T1421">
        <f t="shared" si="1455"/>
        <v>100.99599999999998</v>
      </c>
      <c r="U1421">
        <f t="shared" si="1422"/>
        <v>1.4852073349439585</v>
      </c>
      <c r="V1421" s="220">
        <f t="shared" si="1456"/>
        <v>1.4852073349439585</v>
      </c>
      <c r="W1421" s="14" t="s">
        <v>340</v>
      </c>
      <c r="X1421">
        <f t="shared" si="1384"/>
        <v>1.4852073349439585</v>
      </c>
      <c r="Y1421" s="220" t="s">
        <v>1624</v>
      </c>
      <c r="Z1421" s="220" t="s">
        <v>1666</v>
      </c>
      <c r="AA1421" s="792" t="str">
        <f t="shared" ref="AA1421:AH1421" si="1476">Z1421</f>
        <v>*</v>
      </c>
      <c r="AB1421" s="458" t="str">
        <f t="shared" si="1476"/>
        <v>*</v>
      </c>
      <c r="AC1421" s="458" t="str">
        <f t="shared" si="1476"/>
        <v>*</v>
      </c>
      <c r="AD1421" s="458" t="str">
        <f t="shared" si="1476"/>
        <v>*</v>
      </c>
      <c r="AE1421" s="462" t="str">
        <f t="shared" si="1476"/>
        <v>*</v>
      </c>
      <c r="AF1421" s="462" t="str">
        <f t="shared" si="1476"/>
        <v>*</v>
      </c>
      <c r="AG1421" s="462" t="str">
        <f t="shared" si="1476"/>
        <v>*</v>
      </c>
      <c r="AH1421" s="462" t="str">
        <f t="shared" si="1476"/>
        <v>*</v>
      </c>
    </row>
    <row r="1422" spans="1:34" ht="14.25">
      <c r="A1422" s="14" t="s">
        <v>4732</v>
      </c>
      <c r="B1422" s="24" t="s">
        <v>2768</v>
      </c>
      <c r="C1422" s="14" t="s">
        <v>2819</v>
      </c>
      <c r="D1422" s="14" t="s">
        <v>2911</v>
      </c>
      <c r="E1422" s="14" t="s">
        <v>4733</v>
      </c>
      <c r="F1422" s="13">
        <v>34</v>
      </c>
      <c r="G1422" s="14" t="s">
        <v>4734</v>
      </c>
      <c r="H1422" s="567" t="s">
        <v>2934</v>
      </c>
      <c r="I1422" s="14" t="s">
        <v>4733</v>
      </c>
      <c r="J1422" s="14" t="s">
        <v>4735</v>
      </c>
      <c r="K1422" s="478">
        <v>1</v>
      </c>
      <c r="L1422" s="220">
        <v>34</v>
      </c>
      <c r="M1422" s="568" t="s">
        <v>4736</v>
      </c>
      <c r="N1422" s="479" t="s">
        <v>2937</v>
      </c>
      <c r="O1422" s="569" t="s">
        <v>2976</v>
      </c>
      <c r="P1422" s="14" t="s">
        <v>3129</v>
      </c>
      <c r="Q1422" s="486" t="s">
        <v>4761</v>
      </c>
      <c r="R1422" s="14">
        <v>1</v>
      </c>
      <c r="S1422" s="14">
        <f t="shared" si="1448"/>
        <v>0.34</v>
      </c>
      <c r="T1422">
        <f t="shared" si="1455"/>
        <v>100.99599999999998</v>
      </c>
      <c r="U1422">
        <f t="shared" si="1422"/>
        <v>0.99013822329597234</v>
      </c>
      <c r="V1422" s="220">
        <f t="shared" si="1456"/>
        <v>0.99013822329597234</v>
      </c>
      <c r="W1422" s="14" t="s">
        <v>350</v>
      </c>
      <c r="X1422">
        <f t="shared" si="1384"/>
        <v>0.99013822329597234</v>
      </c>
      <c r="Y1422" s="499">
        <f t="shared" ref="Y1422:AA1422" si="1477">X1422</f>
        <v>0.99013822329597234</v>
      </c>
      <c r="Z1422" s="220">
        <f t="shared" si="1477"/>
        <v>0.99013822329597234</v>
      </c>
      <c r="AA1422" s="792">
        <f t="shared" si="1477"/>
        <v>0.99013822329597234</v>
      </c>
      <c r="AB1422" s="18" t="s">
        <v>350</v>
      </c>
      <c r="AC1422" s="13" t="s">
        <v>18</v>
      </c>
      <c r="AD1422" s="13" t="s">
        <v>2967</v>
      </c>
      <c r="AE1422" s="12">
        <v>7.6923076923076919E-3</v>
      </c>
      <c r="AF1422" s="12">
        <v>0.183</v>
      </c>
      <c r="AG1422" s="12">
        <v>2.8673068893528183E-4</v>
      </c>
      <c r="AH1422" s="12">
        <v>1.4770983615231311E-3</v>
      </c>
    </row>
    <row r="1423" spans="1:34" ht="14.25">
      <c r="A1423" s="14" t="s">
        <v>4732</v>
      </c>
      <c r="B1423" s="24" t="s">
        <v>2768</v>
      </c>
      <c r="C1423" s="14" t="s">
        <v>2819</v>
      </c>
      <c r="D1423" s="14" t="s">
        <v>2911</v>
      </c>
      <c r="E1423" s="14" t="s">
        <v>4733</v>
      </c>
      <c r="F1423" s="13">
        <v>34</v>
      </c>
      <c r="G1423" s="14" t="s">
        <v>4734</v>
      </c>
      <c r="H1423" s="567" t="s">
        <v>2934</v>
      </c>
      <c r="I1423" s="14" t="s">
        <v>4733</v>
      </c>
      <c r="J1423" s="14" t="s">
        <v>4735</v>
      </c>
      <c r="K1423" s="478">
        <v>1</v>
      </c>
      <c r="L1423" s="220">
        <v>34</v>
      </c>
      <c r="M1423" s="568" t="s">
        <v>4736</v>
      </c>
      <c r="N1423" s="479" t="s">
        <v>2937</v>
      </c>
      <c r="O1423" s="569" t="s">
        <v>2976</v>
      </c>
      <c r="P1423" s="14" t="s">
        <v>330</v>
      </c>
      <c r="Q1423" s="486" t="s">
        <v>3113</v>
      </c>
      <c r="R1423" s="14">
        <v>1</v>
      </c>
      <c r="S1423" s="14">
        <f t="shared" si="1448"/>
        <v>0.34</v>
      </c>
      <c r="T1423">
        <f t="shared" si="1455"/>
        <v>100.99599999999998</v>
      </c>
      <c r="U1423">
        <f t="shared" si="1422"/>
        <v>0.99013822329597234</v>
      </c>
      <c r="V1423" s="220">
        <f t="shared" si="1456"/>
        <v>0.99013822329597234</v>
      </c>
      <c r="W1423" s="14" t="s">
        <v>332</v>
      </c>
      <c r="X1423">
        <f t="shared" si="1384"/>
        <v>0.99013822329597234</v>
      </c>
      <c r="Y1423" s="220">
        <f>SUM(X1423,X1424,X1425)</f>
        <v>1.9802764465919447</v>
      </c>
      <c r="Z1423" s="220">
        <f>X1423</f>
        <v>0.99013822329597234</v>
      </c>
      <c r="AA1423" s="792">
        <f t="shared" ref="AA1423:AA1426" si="1478">Z1423</f>
        <v>0.99013822329597234</v>
      </c>
      <c r="AB1423" s="18" t="s">
        <v>332</v>
      </c>
      <c r="AC1423" s="13" t="s">
        <v>4579</v>
      </c>
      <c r="AD1423" s="13"/>
      <c r="AE1423" s="12">
        <v>2.3E-3</v>
      </c>
      <c r="AF1423" s="12">
        <v>4.7879999999999999E-2</v>
      </c>
      <c r="AG1423" s="12">
        <v>9.9999999999999995E-7</v>
      </c>
      <c r="AH1423" s="12">
        <v>4.4092488403675551E-4</v>
      </c>
    </row>
    <row r="1424" spans="1:34" ht="14.25">
      <c r="A1424" s="14" t="s">
        <v>4732</v>
      </c>
      <c r="B1424" s="24" t="s">
        <v>2768</v>
      </c>
      <c r="C1424" s="14" t="s">
        <v>2819</v>
      </c>
      <c r="D1424" s="14" t="s">
        <v>2911</v>
      </c>
      <c r="E1424" s="14" t="s">
        <v>4733</v>
      </c>
      <c r="F1424" s="13">
        <v>34</v>
      </c>
      <c r="G1424" s="14" t="s">
        <v>4734</v>
      </c>
      <c r="H1424" s="567" t="s">
        <v>2934</v>
      </c>
      <c r="I1424" s="14" t="s">
        <v>4733</v>
      </c>
      <c r="J1424" s="14" t="s">
        <v>4735</v>
      </c>
      <c r="K1424" s="478">
        <v>1</v>
      </c>
      <c r="L1424" s="220">
        <v>34</v>
      </c>
      <c r="M1424" s="568" t="s">
        <v>4736</v>
      </c>
      <c r="N1424" s="479" t="s">
        <v>2937</v>
      </c>
      <c r="O1424" s="569" t="s">
        <v>2976</v>
      </c>
      <c r="P1424" s="655" t="s">
        <v>2985</v>
      </c>
      <c r="Q1424" s="486" t="s">
        <v>2968</v>
      </c>
      <c r="R1424" s="14">
        <v>0.5</v>
      </c>
      <c r="S1424" s="14">
        <f t="shared" si="1448"/>
        <v>0.17</v>
      </c>
      <c r="T1424">
        <f t="shared" si="1455"/>
        <v>100.99599999999998</v>
      </c>
      <c r="U1424">
        <f t="shared" si="1422"/>
        <v>0.49506911164798617</v>
      </c>
      <c r="V1424" s="220">
        <f t="shared" si="1456"/>
        <v>0.49506911164798617</v>
      </c>
      <c r="W1424" s="14" t="s">
        <v>2522</v>
      </c>
      <c r="X1424">
        <f t="shared" si="1384"/>
        <v>0.49506911164798617</v>
      </c>
      <c r="Y1424" s="220" t="s">
        <v>1666</v>
      </c>
      <c r="Z1424" s="220">
        <f>SUM(X1424:X1425)</f>
        <v>0.99013822329597234</v>
      </c>
      <c r="AA1424" s="792">
        <f t="shared" si="1478"/>
        <v>0.99013822329597234</v>
      </c>
      <c r="AB1424" s="18" t="s">
        <v>1370</v>
      </c>
      <c r="AC1424" s="13" t="s">
        <v>4579</v>
      </c>
      <c r="AD1424" s="13"/>
      <c r="AE1424" s="12">
        <v>1.7000000000000001E-2</v>
      </c>
      <c r="AF1424" s="12">
        <v>3.15E-2</v>
      </c>
      <c r="AG1424" s="12">
        <v>9.9999999999999995E-7</v>
      </c>
      <c r="AH1424" s="12">
        <v>9.0389601227534877E-4</v>
      </c>
    </row>
    <row r="1425" spans="1:34" ht="14.25">
      <c r="A1425" s="14" t="s">
        <v>4732</v>
      </c>
      <c r="B1425" s="24" t="s">
        <v>2768</v>
      </c>
      <c r="C1425" s="14" t="s">
        <v>2819</v>
      </c>
      <c r="D1425" s="14" t="s">
        <v>2911</v>
      </c>
      <c r="E1425" s="14" t="s">
        <v>4733</v>
      </c>
      <c r="F1425" s="13">
        <v>34</v>
      </c>
      <c r="G1425" s="14" t="s">
        <v>4734</v>
      </c>
      <c r="H1425" s="567" t="s">
        <v>2934</v>
      </c>
      <c r="I1425" s="14" t="s">
        <v>4733</v>
      </c>
      <c r="J1425" s="14" t="s">
        <v>4735</v>
      </c>
      <c r="K1425" s="478">
        <v>1</v>
      </c>
      <c r="L1425" s="220">
        <v>34</v>
      </c>
      <c r="M1425" s="568" t="s">
        <v>4736</v>
      </c>
      <c r="N1425" s="479" t="s">
        <v>2937</v>
      </c>
      <c r="O1425" s="569" t="s">
        <v>2976</v>
      </c>
      <c r="P1425" s="14" t="s">
        <v>4279</v>
      </c>
      <c r="Q1425" s="486" t="s">
        <v>2968</v>
      </c>
      <c r="R1425" s="14">
        <v>0.5</v>
      </c>
      <c r="S1425" s="14">
        <f t="shared" si="1448"/>
        <v>0.17</v>
      </c>
      <c r="T1425">
        <f t="shared" si="1455"/>
        <v>100.99599999999998</v>
      </c>
      <c r="U1425">
        <f t="shared" si="1422"/>
        <v>0.49506911164798617</v>
      </c>
      <c r="V1425" s="220">
        <f t="shared" si="1456"/>
        <v>0.49506911164798617</v>
      </c>
      <c r="W1425" s="14" t="s">
        <v>4762</v>
      </c>
      <c r="X1425">
        <f t="shared" si="1384"/>
        <v>0.49506911164798617</v>
      </c>
      <c r="Y1425" s="220" t="s">
        <v>1666</v>
      </c>
      <c r="Z1425" s="220" t="s">
        <v>1666</v>
      </c>
      <c r="AA1425" s="792" t="str">
        <f t="shared" si="1478"/>
        <v>*</v>
      </c>
      <c r="AB1425" s="458" t="str">
        <f t="shared" ref="AB1425:AH1425" si="1479">AA1425</f>
        <v>*</v>
      </c>
      <c r="AC1425" s="458" t="str">
        <f t="shared" si="1479"/>
        <v>*</v>
      </c>
      <c r="AD1425" s="458" t="str">
        <f t="shared" si="1479"/>
        <v>*</v>
      </c>
      <c r="AE1425" s="462" t="str">
        <f t="shared" si="1479"/>
        <v>*</v>
      </c>
      <c r="AF1425" s="462" t="str">
        <f t="shared" si="1479"/>
        <v>*</v>
      </c>
      <c r="AG1425" s="462" t="str">
        <f t="shared" si="1479"/>
        <v>*</v>
      </c>
      <c r="AH1425" s="462" t="str">
        <f t="shared" si="1479"/>
        <v>*</v>
      </c>
    </row>
    <row r="1426" spans="1:34" ht="14.25">
      <c r="A1426" s="14" t="s">
        <v>4732</v>
      </c>
      <c r="B1426" s="24" t="s">
        <v>2768</v>
      </c>
      <c r="C1426" s="14" t="s">
        <v>2819</v>
      </c>
      <c r="D1426" s="14" t="s">
        <v>2911</v>
      </c>
      <c r="E1426" s="14" t="s">
        <v>4733</v>
      </c>
      <c r="F1426" s="13">
        <v>34</v>
      </c>
      <c r="G1426" s="14" t="s">
        <v>4734</v>
      </c>
      <c r="H1426" s="567" t="s">
        <v>2934</v>
      </c>
      <c r="I1426" s="14" t="s">
        <v>4733</v>
      </c>
      <c r="J1426" s="14" t="s">
        <v>4735</v>
      </c>
      <c r="K1426" s="478">
        <v>1</v>
      </c>
      <c r="L1426" s="220">
        <v>34</v>
      </c>
      <c r="M1426" s="568" t="s">
        <v>4736</v>
      </c>
      <c r="N1426" s="479" t="s">
        <v>2937</v>
      </c>
      <c r="O1426" s="569" t="s">
        <v>2976</v>
      </c>
      <c r="P1426" s="14" t="s">
        <v>3072</v>
      </c>
      <c r="Q1426" s="14" t="s">
        <v>3073</v>
      </c>
      <c r="R1426" s="14">
        <v>0.5</v>
      </c>
      <c r="S1426" s="14">
        <f t="shared" si="1448"/>
        <v>0.17</v>
      </c>
      <c r="T1426">
        <f t="shared" si="1455"/>
        <v>100.99599999999998</v>
      </c>
      <c r="U1426">
        <f t="shared" si="1422"/>
        <v>0.49506911164798617</v>
      </c>
      <c r="V1426" s="220">
        <f t="shared" si="1456"/>
        <v>0.49506911164798617</v>
      </c>
      <c r="W1426" s="14" t="s">
        <v>343</v>
      </c>
      <c r="X1426">
        <f t="shared" si="1384"/>
        <v>0.49506911164798617</v>
      </c>
      <c r="Y1426" s="220" t="s">
        <v>1666</v>
      </c>
      <c r="Z1426" s="220" t="s">
        <v>1666</v>
      </c>
      <c r="AA1426" s="792" t="str">
        <f t="shared" si="1478"/>
        <v>*</v>
      </c>
      <c r="AB1426" s="458" t="str">
        <f t="shared" ref="AB1426:AH1426" si="1480">AA1426</f>
        <v>*</v>
      </c>
      <c r="AC1426" s="458" t="str">
        <f t="shared" si="1480"/>
        <v>*</v>
      </c>
      <c r="AD1426" s="458" t="str">
        <f t="shared" si="1480"/>
        <v>*</v>
      </c>
      <c r="AE1426" s="462" t="str">
        <f t="shared" si="1480"/>
        <v>*</v>
      </c>
      <c r="AF1426" s="462" t="str">
        <f t="shared" si="1480"/>
        <v>*</v>
      </c>
      <c r="AG1426" s="462" t="str">
        <f t="shared" si="1480"/>
        <v>*</v>
      </c>
      <c r="AH1426" s="462" t="str">
        <f t="shared" si="1480"/>
        <v>*</v>
      </c>
    </row>
    <row r="1427" spans="1:34" ht="14.25">
      <c r="A1427" s="14" t="s">
        <v>4732</v>
      </c>
      <c r="B1427" s="24" t="s">
        <v>2768</v>
      </c>
      <c r="C1427" s="14" t="s">
        <v>2819</v>
      </c>
      <c r="D1427" s="14" t="s">
        <v>2911</v>
      </c>
      <c r="E1427" s="14" t="s">
        <v>4733</v>
      </c>
      <c r="F1427" s="13">
        <v>34</v>
      </c>
      <c r="G1427" s="14" t="s">
        <v>4734</v>
      </c>
      <c r="H1427" s="567" t="s">
        <v>2934</v>
      </c>
      <c r="I1427" s="14" t="s">
        <v>4733</v>
      </c>
      <c r="J1427" s="14" t="s">
        <v>4735</v>
      </c>
      <c r="K1427" s="478">
        <v>1</v>
      </c>
      <c r="L1427" s="220">
        <v>34</v>
      </c>
      <c r="M1427" s="568" t="s">
        <v>4736</v>
      </c>
      <c r="N1427" s="479" t="s">
        <v>2937</v>
      </c>
      <c r="O1427" s="569" t="s">
        <v>2976</v>
      </c>
      <c r="P1427" s="655" t="s">
        <v>2977</v>
      </c>
      <c r="Q1427" s="527" t="s">
        <v>2978</v>
      </c>
      <c r="R1427" s="14">
        <v>1</v>
      </c>
      <c r="S1427" s="14">
        <f t="shared" si="1448"/>
        <v>0.34</v>
      </c>
      <c r="T1427">
        <f t="shared" si="1455"/>
        <v>100.99599999999998</v>
      </c>
      <c r="U1427">
        <f t="shared" si="1422"/>
        <v>0.99013822329597234</v>
      </c>
      <c r="V1427" s="220">
        <f t="shared" si="1456"/>
        <v>0.99013822329597234</v>
      </c>
      <c r="W1427" s="14" t="s">
        <v>227</v>
      </c>
      <c r="X1427">
        <f t="shared" si="1384"/>
        <v>0.99013822329597234</v>
      </c>
      <c r="Y1427" s="220" t="s">
        <v>1666</v>
      </c>
      <c r="Z1427" s="220" t="str">
        <f t="shared" ref="Z1427:AH1427" si="1481">Y1427</f>
        <v>*</v>
      </c>
      <c r="AA1427" s="792" t="str">
        <f t="shared" si="1481"/>
        <v>*</v>
      </c>
      <c r="AB1427" s="458" t="str">
        <f t="shared" si="1481"/>
        <v>*</v>
      </c>
      <c r="AC1427" s="458" t="str">
        <f t="shared" si="1481"/>
        <v>*</v>
      </c>
      <c r="AD1427" s="458" t="str">
        <f t="shared" si="1481"/>
        <v>*</v>
      </c>
      <c r="AE1427" s="462" t="str">
        <f t="shared" si="1481"/>
        <v>*</v>
      </c>
      <c r="AF1427" s="462" t="str">
        <f t="shared" si="1481"/>
        <v>*</v>
      </c>
      <c r="AG1427" s="462" t="str">
        <f t="shared" si="1481"/>
        <v>*</v>
      </c>
      <c r="AH1427" s="462" t="str">
        <f t="shared" si="1481"/>
        <v>*</v>
      </c>
    </row>
    <row r="1428" spans="1:34" ht="14.25">
      <c r="A1428" s="14" t="s">
        <v>4732</v>
      </c>
      <c r="B1428" s="24" t="s">
        <v>2768</v>
      </c>
      <c r="C1428" s="14" t="s">
        <v>2819</v>
      </c>
      <c r="D1428" s="14" t="s">
        <v>2911</v>
      </c>
      <c r="E1428" s="14" t="s">
        <v>4733</v>
      </c>
      <c r="F1428" s="13">
        <v>34</v>
      </c>
      <c r="G1428" s="14" t="s">
        <v>4734</v>
      </c>
      <c r="H1428" s="567" t="s">
        <v>2934</v>
      </c>
      <c r="I1428" s="14" t="s">
        <v>4733</v>
      </c>
      <c r="J1428" s="14" t="s">
        <v>4735</v>
      </c>
      <c r="K1428" s="478">
        <v>1</v>
      </c>
      <c r="L1428" s="220">
        <v>34</v>
      </c>
      <c r="M1428" s="568" t="s">
        <v>4736</v>
      </c>
      <c r="N1428" s="479" t="s">
        <v>2937</v>
      </c>
      <c r="O1428" s="569" t="s">
        <v>2976</v>
      </c>
      <c r="P1428" s="14" t="s">
        <v>2948</v>
      </c>
      <c r="Q1428" s="14" t="s">
        <v>2949</v>
      </c>
      <c r="R1428" s="14">
        <v>0.25</v>
      </c>
      <c r="S1428" s="14">
        <f t="shared" si="1448"/>
        <v>8.5000000000000006E-2</v>
      </c>
      <c r="T1428">
        <f t="shared" si="1455"/>
        <v>100.99599999999998</v>
      </c>
      <c r="U1428">
        <f t="shared" si="1422"/>
        <v>0.24753455582399309</v>
      </c>
      <c r="V1428" s="220">
        <f t="shared" si="1456"/>
        <v>0.24753455582399309</v>
      </c>
      <c r="W1428" s="14" t="s">
        <v>305</v>
      </c>
      <c r="X1428">
        <f t="shared" si="1384"/>
        <v>0.24753455582399309</v>
      </c>
      <c r="Y1428" s="220" t="s">
        <v>1666</v>
      </c>
      <c r="Z1428" s="220">
        <f t="shared" ref="Z1428:Z1434" si="1482">X1428</f>
        <v>0.24753455582399309</v>
      </c>
      <c r="AA1428" s="792">
        <f t="shared" ref="AA1428:AA1434" si="1483">Z1428</f>
        <v>0.24753455582399309</v>
      </c>
      <c r="AB1428" s="18" t="s">
        <v>305</v>
      </c>
      <c r="AC1428" s="13" t="s">
        <v>3485</v>
      </c>
      <c r="AD1428" s="13" t="s">
        <v>2944</v>
      </c>
      <c r="AE1428" s="12">
        <v>4.7062756261925113E-3</v>
      </c>
      <c r="AF1428" s="12">
        <v>3.8210906557435767E-2</v>
      </c>
      <c r="AG1428" s="12">
        <v>8.2999999999999998E-5</v>
      </c>
      <c r="AH1428" s="12">
        <v>5.9908272287602653E-4</v>
      </c>
    </row>
    <row r="1429" spans="1:34" ht="14.25">
      <c r="A1429" s="14" t="s">
        <v>4732</v>
      </c>
      <c r="B1429" s="24" t="s">
        <v>2768</v>
      </c>
      <c r="C1429" s="14" t="s">
        <v>2819</v>
      </c>
      <c r="D1429" s="14" t="s">
        <v>2911</v>
      </c>
      <c r="E1429" s="14" t="s">
        <v>4733</v>
      </c>
      <c r="F1429" s="13">
        <v>34</v>
      </c>
      <c r="G1429" s="14" t="s">
        <v>4734</v>
      </c>
      <c r="H1429" s="567" t="s">
        <v>2934</v>
      </c>
      <c r="I1429" s="14" t="s">
        <v>4733</v>
      </c>
      <c r="J1429" s="14" t="s">
        <v>4735</v>
      </c>
      <c r="K1429" s="478">
        <v>1</v>
      </c>
      <c r="L1429" s="220">
        <v>34</v>
      </c>
      <c r="M1429" s="568" t="s">
        <v>4736</v>
      </c>
      <c r="N1429" s="479" t="s">
        <v>2937</v>
      </c>
      <c r="O1429" s="569" t="s">
        <v>2976</v>
      </c>
      <c r="P1429" s="14" t="s">
        <v>3865</v>
      </c>
      <c r="Q1429" s="553" t="s">
        <v>4094</v>
      </c>
      <c r="R1429" s="14">
        <v>0.2</v>
      </c>
      <c r="S1429" s="14">
        <f t="shared" si="1448"/>
        <v>6.8000000000000005E-2</v>
      </c>
      <c r="T1429">
        <f t="shared" si="1455"/>
        <v>100.99599999999998</v>
      </c>
      <c r="U1429">
        <f t="shared" si="1422"/>
        <v>0.19802764465919448</v>
      </c>
      <c r="V1429" s="220">
        <f t="shared" si="1456"/>
        <v>0.19802764465919448</v>
      </c>
      <c r="W1429" s="14" t="s">
        <v>1165</v>
      </c>
      <c r="X1429">
        <f t="shared" si="1384"/>
        <v>0.19802764465919448</v>
      </c>
      <c r="Y1429" s="220" t="s">
        <v>1666</v>
      </c>
      <c r="Z1429" s="220">
        <f t="shared" si="1482"/>
        <v>0.19802764465919448</v>
      </c>
      <c r="AA1429" s="792">
        <f t="shared" si="1483"/>
        <v>0.19802764465919448</v>
      </c>
      <c r="AB1429" s="18" t="s">
        <v>2663</v>
      </c>
      <c r="AC1429" s="13" t="s">
        <v>3867</v>
      </c>
      <c r="AD1429" s="13" t="s">
        <v>3007</v>
      </c>
      <c r="AE1429" s="12">
        <v>3.1660297063617504E-2</v>
      </c>
      <c r="AF1429" s="12">
        <v>0.3735301190055475</v>
      </c>
      <c r="AG1429" s="12">
        <v>2.1604141815772032E-3</v>
      </c>
      <c r="AH1429" s="12">
        <v>1.8530021654934324E-3</v>
      </c>
    </row>
    <row r="1430" spans="1:34" ht="14.25">
      <c r="A1430" s="14" t="s">
        <v>4732</v>
      </c>
      <c r="B1430" s="24" t="s">
        <v>2768</v>
      </c>
      <c r="C1430" s="14" t="s">
        <v>2819</v>
      </c>
      <c r="D1430" s="14" t="s">
        <v>2911</v>
      </c>
      <c r="E1430" s="14" t="s">
        <v>4733</v>
      </c>
      <c r="F1430" s="13">
        <v>34</v>
      </c>
      <c r="G1430" s="14" t="s">
        <v>4734</v>
      </c>
      <c r="H1430" s="567" t="s">
        <v>2934</v>
      </c>
      <c r="I1430" s="14" t="s">
        <v>4733</v>
      </c>
      <c r="J1430" s="14" t="s">
        <v>4735</v>
      </c>
      <c r="K1430" s="478">
        <v>1</v>
      </c>
      <c r="L1430" s="220">
        <v>34</v>
      </c>
      <c r="M1430" s="568" t="s">
        <v>4736</v>
      </c>
      <c r="N1430" s="479" t="s">
        <v>2937</v>
      </c>
      <c r="O1430" s="569" t="s">
        <v>2976</v>
      </c>
      <c r="P1430" s="14" t="s">
        <v>3048</v>
      </c>
      <c r="Q1430" s="435" t="s">
        <v>3049</v>
      </c>
      <c r="R1430" s="14">
        <v>0.2</v>
      </c>
      <c r="S1430" s="14">
        <f t="shared" si="1448"/>
        <v>6.8000000000000005E-2</v>
      </c>
      <c r="T1430">
        <f t="shared" si="1455"/>
        <v>100.99599999999998</v>
      </c>
      <c r="U1430">
        <f t="shared" si="1422"/>
        <v>0.19802764465919448</v>
      </c>
      <c r="V1430" s="220">
        <f t="shared" si="1456"/>
        <v>0.19802764465919448</v>
      </c>
      <c r="W1430" s="14" t="s">
        <v>2712</v>
      </c>
      <c r="X1430">
        <f t="shared" si="1384"/>
        <v>0.19802764465919448</v>
      </c>
      <c r="Y1430" s="499">
        <f>SUM(X1430, X1431)</f>
        <v>0.39605528931838896</v>
      </c>
      <c r="Z1430" s="220">
        <f t="shared" si="1482"/>
        <v>0.19802764465919448</v>
      </c>
      <c r="AA1430" s="792">
        <f t="shared" si="1483"/>
        <v>0.19802764465919448</v>
      </c>
      <c r="AB1430" s="18" t="s">
        <v>2712</v>
      </c>
      <c r="AC1430" s="13" t="s">
        <v>878</v>
      </c>
      <c r="AD1430" s="13" t="s">
        <v>3050</v>
      </c>
      <c r="AE1430" s="12">
        <v>4.0401172748815169E-2</v>
      </c>
      <c r="AF1430" s="12">
        <v>0.11878669834123222</v>
      </c>
      <c r="AG1430" s="12">
        <v>7.919516026066351E-4</v>
      </c>
      <c r="AH1430" s="12">
        <v>7.4518613744075819E-3</v>
      </c>
    </row>
    <row r="1431" spans="1:34" ht="14.25">
      <c r="A1431" s="617" t="s">
        <v>4732</v>
      </c>
      <c r="B1431" s="794" t="s">
        <v>2768</v>
      </c>
      <c r="C1431" s="617" t="s">
        <v>2819</v>
      </c>
      <c r="D1431" s="617" t="s">
        <v>2911</v>
      </c>
      <c r="E1431" s="617" t="s">
        <v>4733</v>
      </c>
      <c r="F1431" s="799">
        <v>34</v>
      </c>
      <c r="G1431" s="617" t="s">
        <v>4734</v>
      </c>
      <c r="H1431" s="910" t="s">
        <v>2934</v>
      </c>
      <c r="I1431" s="617" t="s">
        <v>4733</v>
      </c>
      <c r="J1431" s="617" t="s">
        <v>4735</v>
      </c>
      <c r="K1431" s="838">
        <v>1</v>
      </c>
      <c r="L1431" s="725">
        <v>34</v>
      </c>
      <c r="M1431" s="911" t="s">
        <v>4736</v>
      </c>
      <c r="N1431" s="841" t="s">
        <v>2937</v>
      </c>
      <c r="O1431" s="912" t="s">
        <v>2976</v>
      </c>
      <c r="P1431" s="617" t="s">
        <v>2994</v>
      </c>
      <c r="Q1431" s="899" t="s">
        <v>2995</v>
      </c>
      <c r="R1431" s="617">
        <v>0.2</v>
      </c>
      <c r="S1431" s="617">
        <f t="shared" si="1448"/>
        <v>6.8000000000000005E-2</v>
      </c>
      <c r="T1431" s="934">
        <f>SUM(R1389:R1431)</f>
        <v>100.99599999999998</v>
      </c>
      <c r="U1431" s="617">
        <f t="shared" si="1422"/>
        <v>0.19802764465919448</v>
      </c>
      <c r="V1431" s="725">
        <f t="shared" si="1456"/>
        <v>0.19802764465919448</v>
      </c>
      <c r="W1431" s="617" t="s">
        <v>121</v>
      </c>
      <c r="X1431" s="617">
        <f t="shared" si="1384"/>
        <v>0.19802764465919448</v>
      </c>
      <c r="Y1431" s="725" t="s">
        <v>1624</v>
      </c>
      <c r="Z1431" s="725">
        <f t="shared" si="1482"/>
        <v>0.19802764465919448</v>
      </c>
      <c r="AA1431" s="455">
        <f t="shared" si="1483"/>
        <v>0.19802764465919448</v>
      </c>
      <c r="AB1431" s="793" t="s">
        <v>121</v>
      </c>
      <c r="AC1431" s="799" t="s">
        <v>121</v>
      </c>
      <c r="AD1431" s="799" t="s">
        <v>3016</v>
      </c>
      <c r="AE1431" s="635">
        <v>4.1127278199052132E-2</v>
      </c>
      <c r="AF1431" s="635">
        <v>0.12092157867298578</v>
      </c>
      <c r="AG1431" s="635">
        <v>8.0618486208530824E-4</v>
      </c>
      <c r="AH1431" s="635">
        <v>7.5857890995260661E-3</v>
      </c>
    </row>
    <row r="1432" spans="1:34" ht="14.25">
      <c r="A1432" s="14" t="s">
        <v>4763</v>
      </c>
      <c r="B1432" s="24" t="s">
        <v>2768</v>
      </c>
      <c r="C1432" s="14" t="s">
        <v>2826</v>
      </c>
      <c r="D1432" s="14" t="s">
        <v>2911</v>
      </c>
      <c r="E1432" s="14" t="s">
        <v>4764</v>
      </c>
      <c r="F1432" s="13">
        <v>56</v>
      </c>
      <c r="G1432" s="14" t="s">
        <v>4765</v>
      </c>
      <c r="H1432" s="567" t="s">
        <v>2934</v>
      </c>
      <c r="I1432" s="14" t="s">
        <v>4764</v>
      </c>
      <c r="J1432" s="14" t="s">
        <v>4766</v>
      </c>
      <c r="K1432" s="478">
        <v>1</v>
      </c>
      <c r="L1432" s="220">
        <v>56</v>
      </c>
      <c r="M1432" s="568" t="s">
        <v>4767</v>
      </c>
      <c r="N1432" s="479" t="s">
        <v>2937</v>
      </c>
      <c r="O1432" s="569" t="s">
        <v>2976</v>
      </c>
      <c r="P1432" s="14" t="s">
        <v>3483</v>
      </c>
      <c r="Q1432" s="14" t="s">
        <v>3442</v>
      </c>
      <c r="R1432" s="14">
        <v>10</v>
      </c>
      <c r="S1432" s="14">
        <f t="shared" si="1448"/>
        <v>5.6000000000000005</v>
      </c>
      <c r="T1432">
        <f t="shared" ref="T1432:T1463" si="1484">SUM(R$1432:R$1464)</f>
        <v>106.1</v>
      </c>
      <c r="U1432">
        <f t="shared" ref="U1432:U1542" si="1485">R1432*100/T1432</f>
        <v>9.4250706880301607</v>
      </c>
      <c r="V1432" s="220">
        <f t="shared" si="1456"/>
        <v>9.4250706880301607</v>
      </c>
      <c r="W1432" s="14" t="s">
        <v>301</v>
      </c>
      <c r="X1432">
        <f t="shared" si="1384"/>
        <v>9.4250706880301607</v>
      </c>
      <c r="Y1432" s="220">
        <f>SUM(X1432,X1438,X1439,X1455,X1461)</f>
        <v>21.206409048067865</v>
      </c>
      <c r="Z1432" s="220">
        <f t="shared" si="1482"/>
        <v>9.4250706880301607</v>
      </c>
      <c r="AA1432" s="792">
        <f t="shared" si="1483"/>
        <v>9.4250706880301607</v>
      </c>
      <c r="AB1432" s="18" t="s">
        <v>301</v>
      </c>
      <c r="AC1432" s="13" t="s">
        <v>3485</v>
      </c>
      <c r="AD1432" s="13" t="s">
        <v>2944</v>
      </c>
      <c r="AE1432" s="12">
        <v>4.7062756261925113E-3</v>
      </c>
      <c r="AF1432" s="12">
        <v>3.8210906557435767E-2</v>
      </c>
      <c r="AG1432" s="12">
        <v>7.6086956521739124E-5</v>
      </c>
      <c r="AH1432" s="12">
        <v>5.9908272287602653E-4</v>
      </c>
    </row>
    <row r="1433" spans="1:34" ht="14.25">
      <c r="A1433" s="14" t="s">
        <v>4763</v>
      </c>
      <c r="B1433" s="24" t="s">
        <v>2768</v>
      </c>
      <c r="C1433" s="14" t="s">
        <v>2826</v>
      </c>
      <c r="D1433" s="14" t="s">
        <v>2911</v>
      </c>
      <c r="E1433" s="14" t="s">
        <v>4764</v>
      </c>
      <c r="F1433" s="13">
        <v>56</v>
      </c>
      <c r="G1433" s="14" t="s">
        <v>4765</v>
      </c>
      <c r="H1433" s="567" t="s">
        <v>2934</v>
      </c>
      <c r="I1433" s="14" t="s">
        <v>4764</v>
      </c>
      <c r="J1433" s="14" t="s">
        <v>4766</v>
      </c>
      <c r="K1433" s="478">
        <v>1</v>
      </c>
      <c r="L1433" s="220">
        <v>56</v>
      </c>
      <c r="M1433" s="568" t="s">
        <v>4767</v>
      </c>
      <c r="N1433" s="479" t="s">
        <v>2937</v>
      </c>
      <c r="O1433" s="569" t="s">
        <v>2976</v>
      </c>
      <c r="P1433" s="14" t="s">
        <v>3873</v>
      </c>
      <c r="Q1433" s="486" t="s">
        <v>3991</v>
      </c>
      <c r="R1433" s="14">
        <v>10</v>
      </c>
      <c r="S1433" s="14">
        <f t="shared" si="1448"/>
        <v>5.6000000000000005</v>
      </c>
      <c r="T1433">
        <f t="shared" si="1484"/>
        <v>106.1</v>
      </c>
      <c r="U1433">
        <f t="shared" si="1485"/>
        <v>9.4250706880301607</v>
      </c>
      <c r="V1433" s="220">
        <f t="shared" si="1456"/>
        <v>9.4250706880301607</v>
      </c>
      <c r="W1433" s="14" t="s">
        <v>1124</v>
      </c>
      <c r="X1433">
        <f t="shared" si="1384"/>
        <v>9.4250706880301607</v>
      </c>
      <c r="Y1433" s="220">
        <f>SUM(X1433,X1434)</f>
        <v>18.850141376060321</v>
      </c>
      <c r="Z1433" s="220">
        <f t="shared" si="1482"/>
        <v>9.4250706880301607</v>
      </c>
      <c r="AA1433" s="792">
        <f t="shared" si="1483"/>
        <v>9.4250706880301607</v>
      </c>
      <c r="AB1433" s="18" t="s">
        <v>1124</v>
      </c>
      <c r="AC1433" s="13" t="s">
        <v>3875</v>
      </c>
      <c r="AD1433" s="13" t="s">
        <v>3876</v>
      </c>
      <c r="AE1433" s="12">
        <v>2.38916680630451E-3</v>
      </c>
      <c r="AF1433" s="12">
        <v>0.16192713668914901</v>
      </c>
      <c r="AG1433" s="12">
        <v>4.8714285714285716E-4</v>
      </c>
      <c r="AH1433" s="12">
        <v>2.358948129596642E-3</v>
      </c>
    </row>
    <row r="1434" spans="1:34" ht="14.25">
      <c r="A1434" s="14" t="s">
        <v>4763</v>
      </c>
      <c r="B1434" s="24" t="s">
        <v>2768</v>
      </c>
      <c r="C1434" s="14" t="s">
        <v>2826</v>
      </c>
      <c r="D1434" s="14" t="s">
        <v>2911</v>
      </c>
      <c r="E1434" s="14" t="s">
        <v>4764</v>
      </c>
      <c r="F1434" s="13">
        <v>56</v>
      </c>
      <c r="G1434" s="14" t="s">
        <v>4765</v>
      </c>
      <c r="H1434" s="567" t="s">
        <v>2934</v>
      </c>
      <c r="I1434" s="14" t="s">
        <v>4764</v>
      </c>
      <c r="J1434" s="14" t="s">
        <v>4766</v>
      </c>
      <c r="K1434" s="478">
        <v>1</v>
      </c>
      <c r="L1434" s="220">
        <v>56</v>
      </c>
      <c r="M1434" s="568" t="s">
        <v>4767</v>
      </c>
      <c r="N1434" s="479" t="s">
        <v>2937</v>
      </c>
      <c r="O1434" s="569" t="s">
        <v>2976</v>
      </c>
      <c r="P1434" s="14" t="s">
        <v>4768</v>
      </c>
      <c r="Q1434" s="14" t="s">
        <v>4769</v>
      </c>
      <c r="R1434" s="14">
        <v>10</v>
      </c>
      <c r="S1434" s="14">
        <f t="shared" si="1448"/>
        <v>5.6000000000000005</v>
      </c>
      <c r="T1434">
        <f t="shared" si="1484"/>
        <v>106.1</v>
      </c>
      <c r="U1434">
        <f t="shared" si="1485"/>
        <v>9.4250706880301607</v>
      </c>
      <c r="V1434" s="220">
        <f t="shared" si="1456"/>
        <v>9.4250706880301607</v>
      </c>
      <c r="W1434" s="14" t="s">
        <v>2702</v>
      </c>
      <c r="X1434">
        <f t="shared" si="1384"/>
        <v>9.4250706880301607</v>
      </c>
      <c r="Y1434" s="220" t="s">
        <v>1666</v>
      </c>
      <c r="Z1434" s="220">
        <f t="shared" si="1482"/>
        <v>9.4250706880301607</v>
      </c>
      <c r="AA1434" s="792">
        <f t="shared" si="1483"/>
        <v>9.4250706880301607</v>
      </c>
      <c r="AB1434" s="18" t="s">
        <v>2720</v>
      </c>
      <c r="AC1434" s="13" t="s">
        <v>4018</v>
      </c>
      <c r="AD1434" s="13" t="s">
        <v>3858</v>
      </c>
      <c r="AE1434" s="23">
        <v>7.0063781342921748E-4</v>
      </c>
      <c r="AF1434" s="23">
        <v>4.7486125575394174E-2</v>
      </c>
      <c r="AG1434" s="12">
        <v>1.428576294277929E-4</v>
      </c>
      <c r="AH1434" s="23">
        <v>7.2410198258570182E-4</v>
      </c>
    </row>
    <row r="1435" spans="1:34" ht="14.25">
      <c r="A1435" s="14" t="s">
        <v>4763</v>
      </c>
      <c r="B1435" s="24" t="s">
        <v>2768</v>
      </c>
      <c r="C1435" s="14" t="s">
        <v>2826</v>
      </c>
      <c r="D1435" s="14" t="s">
        <v>2911</v>
      </c>
      <c r="E1435" s="14" t="s">
        <v>4764</v>
      </c>
      <c r="F1435" s="13">
        <v>56</v>
      </c>
      <c r="G1435" s="14" t="s">
        <v>4765</v>
      </c>
      <c r="H1435" s="567" t="s">
        <v>2934</v>
      </c>
      <c r="I1435" s="14" t="s">
        <v>4764</v>
      </c>
      <c r="J1435" s="14" t="s">
        <v>4766</v>
      </c>
      <c r="K1435" s="478">
        <v>1</v>
      </c>
      <c r="L1435" s="220">
        <v>56</v>
      </c>
      <c r="M1435" s="568" t="s">
        <v>4767</v>
      </c>
      <c r="N1435" s="479" t="s">
        <v>2937</v>
      </c>
      <c r="O1435" s="569" t="s">
        <v>2976</v>
      </c>
      <c r="P1435" s="14" t="s">
        <v>2962</v>
      </c>
      <c r="Q1435" s="14" t="s">
        <v>4770</v>
      </c>
      <c r="R1435" s="14">
        <v>10</v>
      </c>
      <c r="S1435" s="14">
        <f t="shared" si="1448"/>
        <v>5.6000000000000005</v>
      </c>
      <c r="T1435">
        <f t="shared" si="1484"/>
        <v>106.1</v>
      </c>
      <c r="U1435">
        <f t="shared" si="1485"/>
        <v>9.4250706880301607</v>
      </c>
      <c r="V1435" s="220">
        <f t="shared" si="1456"/>
        <v>9.4250706880301607</v>
      </c>
      <c r="W1435" s="14" t="s">
        <v>425</v>
      </c>
      <c r="X1435">
        <f t="shared" si="1384"/>
        <v>9.4250706880301607</v>
      </c>
      <c r="Y1435" s="220">
        <f>SUM(X1435,X1437,X1445)</f>
        <v>17.907634307257307</v>
      </c>
      <c r="Z1435" s="220">
        <f t="shared" ref="Z1435:AA1435" si="1486">Y1435</f>
        <v>17.907634307257307</v>
      </c>
      <c r="AA1435" s="792">
        <f t="shared" si="1486"/>
        <v>17.907634307257307</v>
      </c>
      <c r="AB1435" s="18" t="s">
        <v>425</v>
      </c>
      <c r="AC1435" s="13" t="s">
        <v>2964</v>
      </c>
      <c r="AD1435" s="13" t="s">
        <v>2965</v>
      </c>
      <c r="AE1435" s="12">
        <v>3.8102374934982654E-3</v>
      </c>
      <c r="AF1435" s="12">
        <v>0.20470422547079484</v>
      </c>
      <c r="AG1435" s="12">
        <v>1.210810810810811E-4</v>
      </c>
      <c r="AH1435" s="12">
        <v>1.0002400855855065E-3</v>
      </c>
    </row>
    <row r="1436" spans="1:34" ht="14.25">
      <c r="A1436" s="14" t="s">
        <v>4763</v>
      </c>
      <c r="B1436" s="24" t="s">
        <v>2768</v>
      </c>
      <c r="C1436" s="14" t="s">
        <v>2826</v>
      </c>
      <c r="D1436" s="14" t="s">
        <v>2911</v>
      </c>
      <c r="E1436" s="14" t="s">
        <v>4764</v>
      </c>
      <c r="F1436" s="13">
        <v>56</v>
      </c>
      <c r="G1436" s="14" t="s">
        <v>4765</v>
      </c>
      <c r="H1436" s="567" t="s">
        <v>2934</v>
      </c>
      <c r="I1436" s="14" t="s">
        <v>4764</v>
      </c>
      <c r="J1436" s="14" t="s">
        <v>4766</v>
      </c>
      <c r="K1436" s="478">
        <v>1</v>
      </c>
      <c r="L1436" s="220">
        <v>56</v>
      </c>
      <c r="M1436" s="568" t="s">
        <v>4767</v>
      </c>
      <c r="N1436" s="479" t="s">
        <v>2937</v>
      </c>
      <c r="O1436" s="569" t="s">
        <v>2976</v>
      </c>
      <c r="P1436" s="14" t="s">
        <v>3862</v>
      </c>
      <c r="Q1436" s="527" t="s">
        <v>4771</v>
      </c>
      <c r="R1436" s="14">
        <v>8</v>
      </c>
      <c r="S1436" s="14">
        <f t="shared" si="1448"/>
        <v>4.4800000000000004</v>
      </c>
      <c r="T1436">
        <f t="shared" si="1484"/>
        <v>106.1</v>
      </c>
      <c r="U1436">
        <f t="shared" si="1485"/>
        <v>7.5400565504241284</v>
      </c>
      <c r="V1436" s="220">
        <f t="shared" si="1456"/>
        <v>7.5400565504241284</v>
      </c>
      <c r="W1436" s="14" t="s">
        <v>4161</v>
      </c>
      <c r="X1436">
        <f t="shared" si="1384"/>
        <v>7.5400565504241284</v>
      </c>
      <c r="Y1436" s="220">
        <f>SUM(X1436,X1444)</f>
        <v>8.482563619227145</v>
      </c>
      <c r="Z1436" s="220">
        <f t="shared" ref="Z1436:AA1436" si="1487">Y1436</f>
        <v>8.482563619227145</v>
      </c>
      <c r="AA1436" s="792">
        <f t="shared" si="1487"/>
        <v>8.482563619227145</v>
      </c>
      <c r="AB1436" s="18" t="s">
        <v>2662</v>
      </c>
      <c r="AC1436" s="13"/>
      <c r="AD1436" s="13"/>
      <c r="AE1436" s="12">
        <v>6.399192301960112E-3</v>
      </c>
      <c r="AF1436" s="12">
        <v>0.12411340117772937</v>
      </c>
      <c r="AG1436" s="12">
        <v>9.8749999999999988E-5</v>
      </c>
      <c r="AH1436" s="12">
        <v>3.8580927353216109E-4</v>
      </c>
    </row>
    <row r="1437" spans="1:34" ht="14.25">
      <c r="A1437" s="14" t="s">
        <v>4763</v>
      </c>
      <c r="B1437" s="24" t="s">
        <v>2768</v>
      </c>
      <c r="C1437" s="14" t="s">
        <v>2826</v>
      </c>
      <c r="D1437" s="14" t="s">
        <v>2911</v>
      </c>
      <c r="E1437" s="14" t="s">
        <v>4764</v>
      </c>
      <c r="F1437" s="13">
        <v>56</v>
      </c>
      <c r="G1437" s="14" t="s">
        <v>4765</v>
      </c>
      <c r="H1437" s="567" t="s">
        <v>2934</v>
      </c>
      <c r="I1437" s="14" t="s">
        <v>4764</v>
      </c>
      <c r="J1437" s="14" t="s">
        <v>4766</v>
      </c>
      <c r="K1437" s="478">
        <v>1</v>
      </c>
      <c r="L1437" s="220">
        <v>56</v>
      </c>
      <c r="M1437" s="568" t="s">
        <v>4767</v>
      </c>
      <c r="N1437" s="479" t="s">
        <v>2937</v>
      </c>
      <c r="O1437" s="569" t="s">
        <v>2976</v>
      </c>
      <c r="P1437" s="14" t="s">
        <v>2962</v>
      </c>
      <c r="Q1437" s="435" t="s">
        <v>2963</v>
      </c>
      <c r="R1437" s="14">
        <v>8</v>
      </c>
      <c r="S1437" s="14">
        <f t="shared" si="1448"/>
        <v>4.4800000000000004</v>
      </c>
      <c r="T1437">
        <f t="shared" si="1484"/>
        <v>106.1</v>
      </c>
      <c r="U1437">
        <f t="shared" si="1485"/>
        <v>7.5400565504241284</v>
      </c>
      <c r="V1437" s="220">
        <f t="shared" si="1456"/>
        <v>7.5400565504241284</v>
      </c>
      <c r="W1437" s="14" t="s">
        <v>425</v>
      </c>
      <c r="X1437">
        <f t="shared" si="1384"/>
        <v>7.5400565504241284</v>
      </c>
      <c r="Y1437" s="220" t="s">
        <v>1666</v>
      </c>
      <c r="Z1437" s="220" t="s">
        <v>1666</v>
      </c>
      <c r="AA1437" s="792" t="str">
        <f t="shared" ref="AA1437:AH1437" si="1488">Z1437</f>
        <v>*</v>
      </c>
      <c r="AB1437" s="458" t="str">
        <f t="shared" si="1488"/>
        <v>*</v>
      </c>
      <c r="AC1437" s="458" t="str">
        <f t="shared" si="1488"/>
        <v>*</v>
      </c>
      <c r="AD1437" s="458" t="str">
        <f t="shared" si="1488"/>
        <v>*</v>
      </c>
      <c r="AE1437" s="462" t="str">
        <f t="shared" si="1488"/>
        <v>*</v>
      </c>
      <c r="AF1437" s="462" t="str">
        <f t="shared" si="1488"/>
        <v>*</v>
      </c>
      <c r="AG1437" s="462" t="str">
        <f t="shared" si="1488"/>
        <v>*</v>
      </c>
      <c r="AH1437" s="462" t="str">
        <f t="shared" si="1488"/>
        <v>*</v>
      </c>
    </row>
    <row r="1438" spans="1:34" ht="14.25">
      <c r="A1438" s="14" t="s">
        <v>4763</v>
      </c>
      <c r="B1438" s="24" t="s">
        <v>2768</v>
      </c>
      <c r="C1438" s="14" t="s">
        <v>2826</v>
      </c>
      <c r="D1438" s="14" t="s">
        <v>2911</v>
      </c>
      <c r="E1438" s="14" t="s">
        <v>4764</v>
      </c>
      <c r="F1438" s="13">
        <v>56</v>
      </c>
      <c r="G1438" s="14" t="s">
        <v>4765</v>
      </c>
      <c r="H1438" s="567" t="s">
        <v>2934</v>
      </c>
      <c r="I1438" s="14" t="s">
        <v>4764</v>
      </c>
      <c r="J1438" s="14" t="s">
        <v>4766</v>
      </c>
      <c r="K1438" s="478">
        <v>1</v>
      </c>
      <c r="L1438" s="220">
        <v>56</v>
      </c>
      <c r="M1438" s="568" t="s">
        <v>4767</v>
      </c>
      <c r="N1438" s="479" t="s">
        <v>2937</v>
      </c>
      <c r="O1438" s="569" t="s">
        <v>2976</v>
      </c>
      <c r="P1438" s="14" t="s">
        <v>4198</v>
      </c>
      <c r="Q1438" s="486" t="s">
        <v>4199</v>
      </c>
      <c r="R1438" s="14">
        <v>6</v>
      </c>
      <c r="S1438" s="14">
        <f t="shared" si="1448"/>
        <v>3.36</v>
      </c>
      <c r="T1438">
        <f t="shared" si="1484"/>
        <v>106.1</v>
      </c>
      <c r="U1438">
        <f t="shared" si="1485"/>
        <v>5.6550424128180961</v>
      </c>
      <c r="V1438" s="220">
        <f t="shared" si="1456"/>
        <v>5.6550424128180961</v>
      </c>
      <c r="W1438" s="14" t="s">
        <v>4772</v>
      </c>
      <c r="X1438">
        <f t="shared" si="1384"/>
        <v>5.6550424128180961</v>
      </c>
      <c r="Y1438" s="220" t="s">
        <v>1666</v>
      </c>
      <c r="Z1438" s="220">
        <f t="shared" ref="Z1438:Z1439" si="1489">X1438</f>
        <v>5.6550424128180961</v>
      </c>
      <c r="AA1438" s="792">
        <f t="shared" ref="AA1438:AA1453" si="1490">Z1438</f>
        <v>5.6550424128180961</v>
      </c>
      <c r="AB1438" s="18" t="s">
        <v>308</v>
      </c>
      <c r="AC1438" s="18" t="str">
        <f t="shared" ref="AC1438:AD1438" si="1491">AB1438</f>
        <v>soybeans</v>
      </c>
      <c r="AD1438" s="18" t="str">
        <f t="shared" si="1491"/>
        <v>soybeans</v>
      </c>
      <c r="AE1438" s="12">
        <v>5.0661296264537621E-3</v>
      </c>
      <c r="AF1438" s="12">
        <v>4.1132611249310447E-2</v>
      </c>
      <c r="AG1438" s="12">
        <v>8.190476190476189E-5</v>
      </c>
      <c r="AH1438" s="12">
        <v>6.4489013651634311E-4</v>
      </c>
    </row>
    <row r="1439" spans="1:34" ht="14.25">
      <c r="A1439" s="14" t="s">
        <v>4763</v>
      </c>
      <c r="B1439" s="24" t="s">
        <v>2768</v>
      </c>
      <c r="C1439" s="14" t="s">
        <v>2826</v>
      </c>
      <c r="D1439" s="14" t="s">
        <v>2911</v>
      </c>
      <c r="E1439" s="14" t="s">
        <v>4764</v>
      </c>
      <c r="F1439" s="13">
        <v>56</v>
      </c>
      <c r="G1439" s="14" t="s">
        <v>4765</v>
      </c>
      <c r="H1439" s="567" t="s">
        <v>2934</v>
      </c>
      <c r="I1439" s="14" t="s">
        <v>4764</v>
      </c>
      <c r="J1439" s="14" t="s">
        <v>4766</v>
      </c>
      <c r="K1439" s="478">
        <v>1</v>
      </c>
      <c r="L1439" s="220">
        <v>56</v>
      </c>
      <c r="M1439" s="568" t="s">
        <v>4767</v>
      </c>
      <c r="N1439" s="479" t="s">
        <v>2937</v>
      </c>
      <c r="O1439" s="569" t="s">
        <v>2976</v>
      </c>
      <c r="P1439" s="14" t="s">
        <v>2948</v>
      </c>
      <c r="Q1439" s="14" t="s">
        <v>2949</v>
      </c>
      <c r="R1439" s="14">
        <v>5</v>
      </c>
      <c r="S1439" s="14">
        <f t="shared" si="1448"/>
        <v>2.8000000000000003</v>
      </c>
      <c r="T1439">
        <f t="shared" si="1484"/>
        <v>106.1</v>
      </c>
      <c r="U1439">
        <f t="shared" si="1485"/>
        <v>4.7125353440150803</v>
      </c>
      <c r="V1439" s="220">
        <f t="shared" si="1456"/>
        <v>4.7125353440150803</v>
      </c>
      <c r="W1439" s="14" t="s">
        <v>305</v>
      </c>
      <c r="X1439">
        <f t="shared" si="1384"/>
        <v>4.7125353440150803</v>
      </c>
      <c r="Y1439" s="220" t="s">
        <v>1666</v>
      </c>
      <c r="Z1439" s="220">
        <f t="shared" si="1489"/>
        <v>4.7125353440150803</v>
      </c>
      <c r="AA1439" s="792">
        <f t="shared" si="1490"/>
        <v>4.7125353440150803</v>
      </c>
      <c r="AB1439" s="18" t="s">
        <v>305</v>
      </c>
      <c r="AC1439" s="18" t="str">
        <f t="shared" ref="AC1439:AD1439" si="1492">AB1439</f>
        <v>soybean flour</v>
      </c>
      <c r="AD1439" s="18" t="str">
        <f t="shared" si="1492"/>
        <v>soybean flour</v>
      </c>
      <c r="AE1439" s="12">
        <v>4.7062756261925113E-3</v>
      </c>
      <c r="AF1439" s="12">
        <v>3.8210906557435767E-2</v>
      </c>
      <c r="AG1439" s="12">
        <v>8.2999999999999998E-5</v>
      </c>
      <c r="AH1439" s="12">
        <v>5.9908272287602653E-4</v>
      </c>
    </row>
    <row r="1440" spans="1:34" ht="14.25">
      <c r="A1440" s="14" t="s">
        <v>4763</v>
      </c>
      <c r="B1440" s="24" t="s">
        <v>2768</v>
      </c>
      <c r="C1440" s="14" t="s">
        <v>2826</v>
      </c>
      <c r="D1440" s="14" t="s">
        <v>2911</v>
      </c>
      <c r="E1440" s="14" t="s">
        <v>4764</v>
      </c>
      <c r="F1440" s="13">
        <v>56</v>
      </c>
      <c r="G1440" s="14" t="s">
        <v>4765</v>
      </c>
      <c r="H1440" s="567" t="s">
        <v>2934</v>
      </c>
      <c r="I1440" s="14" t="s">
        <v>4764</v>
      </c>
      <c r="J1440" s="14" t="s">
        <v>4766</v>
      </c>
      <c r="K1440" s="478">
        <v>1</v>
      </c>
      <c r="L1440" s="220">
        <v>56</v>
      </c>
      <c r="M1440" s="568" t="s">
        <v>4767</v>
      </c>
      <c r="N1440" s="479" t="s">
        <v>2937</v>
      </c>
      <c r="O1440" s="569" t="s">
        <v>2976</v>
      </c>
      <c r="P1440" s="14" t="s">
        <v>3973</v>
      </c>
      <c r="Q1440" s="486" t="s">
        <v>3998</v>
      </c>
      <c r="R1440" s="14">
        <v>4</v>
      </c>
      <c r="S1440" s="14">
        <f t="shared" si="1448"/>
        <v>2.2400000000000002</v>
      </c>
      <c r="T1440">
        <f t="shared" si="1484"/>
        <v>106.1</v>
      </c>
      <c r="U1440">
        <f t="shared" si="1485"/>
        <v>3.7700282752120642</v>
      </c>
      <c r="V1440" s="220">
        <f t="shared" si="1456"/>
        <v>3.7700282752120642</v>
      </c>
      <c r="W1440" s="14" t="s">
        <v>4737</v>
      </c>
      <c r="X1440">
        <f t="shared" si="1384"/>
        <v>3.7700282752120642</v>
      </c>
      <c r="Y1440" s="220">
        <f>SUM(X1440,X1447,X1458,X1459)</f>
        <v>6.5975494816211118</v>
      </c>
      <c r="Z1440" s="220">
        <f>SUM(X1440,X1458)</f>
        <v>4.7125353440150803</v>
      </c>
      <c r="AA1440" s="792">
        <f t="shared" si="1490"/>
        <v>4.7125353440150803</v>
      </c>
      <c r="AB1440" s="18" t="s">
        <v>2827</v>
      </c>
      <c r="AC1440" s="13" t="s">
        <v>244</v>
      </c>
      <c r="AD1440" s="13" t="s">
        <v>3975</v>
      </c>
      <c r="AE1440" s="12">
        <v>7.6594132480302998E-3</v>
      </c>
      <c r="AF1440" s="12">
        <v>0.25452159072024799</v>
      </c>
      <c r="AG1440" s="12">
        <v>2.4499999999999999E-4</v>
      </c>
      <c r="AH1440" s="12">
        <v>3.0864741882572887E-4</v>
      </c>
    </row>
    <row r="1441" spans="1:34" ht="14.25">
      <c r="A1441" s="14" t="s">
        <v>4763</v>
      </c>
      <c r="B1441" s="24" t="s">
        <v>2768</v>
      </c>
      <c r="C1441" s="14" t="s">
        <v>2826</v>
      </c>
      <c r="D1441" s="14" t="s">
        <v>2911</v>
      </c>
      <c r="E1441" s="14" t="s">
        <v>4764</v>
      </c>
      <c r="F1441" s="13">
        <v>56</v>
      </c>
      <c r="G1441" s="14" t="s">
        <v>4765</v>
      </c>
      <c r="H1441" s="567" t="s">
        <v>2934</v>
      </c>
      <c r="I1441" s="14" t="s">
        <v>4764</v>
      </c>
      <c r="J1441" s="14" t="s">
        <v>4766</v>
      </c>
      <c r="K1441" s="478">
        <v>1</v>
      </c>
      <c r="L1441" s="220">
        <v>56</v>
      </c>
      <c r="M1441" s="568" t="s">
        <v>4767</v>
      </c>
      <c r="N1441" s="479" t="s">
        <v>2937</v>
      </c>
      <c r="O1441" s="569" t="s">
        <v>2976</v>
      </c>
      <c r="P1441" s="655" t="s">
        <v>3005</v>
      </c>
      <c r="Q1441" s="486" t="s">
        <v>3006</v>
      </c>
      <c r="R1441" s="14">
        <v>3</v>
      </c>
      <c r="S1441" s="14">
        <f t="shared" si="1448"/>
        <v>1.68</v>
      </c>
      <c r="T1441">
        <f t="shared" si="1484"/>
        <v>106.1</v>
      </c>
      <c r="U1441">
        <f t="shared" si="1485"/>
        <v>2.827521206409048</v>
      </c>
      <c r="V1441" s="220">
        <f t="shared" si="1456"/>
        <v>2.827521206409048</v>
      </c>
      <c r="W1441" s="14" t="s">
        <v>2526</v>
      </c>
      <c r="X1441">
        <f t="shared" si="1384"/>
        <v>2.827521206409048</v>
      </c>
      <c r="Y1441" s="220">
        <f>X1441</f>
        <v>2.827521206409048</v>
      </c>
      <c r="Z1441" s="220">
        <f t="shared" ref="Z1441:Z1443" si="1493">X1441</f>
        <v>2.827521206409048</v>
      </c>
      <c r="AA1441" s="792">
        <f t="shared" si="1490"/>
        <v>2.827521206409048</v>
      </c>
      <c r="AB1441" s="18" t="s">
        <v>2526</v>
      </c>
      <c r="AC1441" s="14" t="s">
        <v>215</v>
      </c>
      <c r="AD1441" s="14" t="s">
        <v>3007</v>
      </c>
      <c r="AE1441" s="12">
        <v>5.0851930036188197E-3</v>
      </c>
      <c r="AF1441" s="12">
        <v>5.9995417730640897E-2</v>
      </c>
      <c r="AG1441" s="12">
        <v>3.4699999999999998E-4</v>
      </c>
      <c r="AH1441" s="12">
        <v>2.9762429672480995E-4</v>
      </c>
    </row>
    <row r="1442" spans="1:34" ht="14.25">
      <c r="A1442" s="14" t="s">
        <v>4763</v>
      </c>
      <c r="B1442" s="24" t="s">
        <v>2768</v>
      </c>
      <c r="C1442" s="14" t="s">
        <v>2826</v>
      </c>
      <c r="D1442" s="14" t="s">
        <v>2911</v>
      </c>
      <c r="E1442" s="14" t="s">
        <v>4764</v>
      </c>
      <c r="F1442" s="13">
        <v>56</v>
      </c>
      <c r="G1442" s="14" t="s">
        <v>4765</v>
      </c>
      <c r="H1442" s="567" t="s">
        <v>2934</v>
      </c>
      <c r="I1442" s="14" t="s">
        <v>4764</v>
      </c>
      <c r="J1442" s="14" t="s">
        <v>4766</v>
      </c>
      <c r="K1442" s="478">
        <v>1</v>
      </c>
      <c r="L1442" s="220">
        <v>56</v>
      </c>
      <c r="M1442" s="568" t="s">
        <v>4767</v>
      </c>
      <c r="N1442" s="479" t="s">
        <v>2937</v>
      </c>
      <c r="O1442" s="569" t="s">
        <v>2976</v>
      </c>
      <c r="P1442" s="14" t="s">
        <v>3023</v>
      </c>
      <c r="Q1442" s="88" t="s">
        <v>4506</v>
      </c>
      <c r="R1442" s="14">
        <v>5</v>
      </c>
      <c r="S1442" s="14">
        <f t="shared" si="1448"/>
        <v>2.8000000000000003</v>
      </c>
      <c r="T1442">
        <f t="shared" si="1484"/>
        <v>106.1</v>
      </c>
      <c r="U1442">
        <f t="shared" si="1485"/>
        <v>4.7125353440150803</v>
      </c>
      <c r="V1442" s="220">
        <f t="shared" si="1456"/>
        <v>4.7125353440150803</v>
      </c>
      <c r="W1442" s="14" t="s">
        <v>1668</v>
      </c>
      <c r="X1442">
        <f t="shared" si="1384"/>
        <v>4.7125353440150803</v>
      </c>
      <c r="Y1442" s="220">
        <f>SUM(X1442,X1464)</f>
        <v>5.1837888784165882</v>
      </c>
      <c r="Z1442" s="220">
        <f t="shared" si="1493"/>
        <v>4.7125353440150803</v>
      </c>
      <c r="AA1442" s="792">
        <f t="shared" si="1490"/>
        <v>4.7125353440150803</v>
      </c>
      <c r="AB1442" s="18" t="s">
        <v>2828</v>
      </c>
      <c r="AC1442" s="13" t="s">
        <v>4508</v>
      </c>
      <c r="AD1442" s="13" t="s">
        <v>4509</v>
      </c>
      <c r="AE1442" s="12">
        <v>3.372204299368619E-2</v>
      </c>
      <c r="AF1442" s="12">
        <v>6.4584205812988751E-2</v>
      </c>
      <c r="AG1442" s="12">
        <v>3.9999999999999998E-6</v>
      </c>
      <c r="AH1442" s="12">
        <v>1.477309663377164E-3</v>
      </c>
    </row>
    <row r="1443" spans="1:34" ht="14.25">
      <c r="A1443" s="14" t="s">
        <v>4763</v>
      </c>
      <c r="B1443" s="24" t="s">
        <v>2768</v>
      </c>
      <c r="C1443" s="14" t="s">
        <v>2826</v>
      </c>
      <c r="D1443" s="14" t="s">
        <v>2911</v>
      </c>
      <c r="E1443" s="14" t="s">
        <v>4764</v>
      </c>
      <c r="F1443" s="13">
        <v>56</v>
      </c>
      <c r="G1443" s="14" t="s">
        <v>4765</v>
      </c>
      <c r="H1443" s="567" t="s">
        <v>2934</v>
      </c>
      <c r="I1443" s="14" t="s">
        <v>4764</v>
      </c>
      <c r="J1443" s="14" t="s">
        <v>4766</v>
      </c>
      <c r="K1443" s="478">
        <v>1</v>
      </c>
      <c r="L1443" s="220">
        <v>56</v>
      </c>
      <c r="M1443" s="568" t="s">
        <v>4767</v>
      </c>
      <c r="N1443" s="479" t="s">
        <v>2937</v>
      </c>
      <c r="O1443" s="569" t="s">
        <v>2976</v>
      </c>
      <c r="P1443" s="14" t="s">
        <v>2945</v>
      </c>
      <c r="Q1443" s="14" t="s">
        <v>4773</v>
      </c>
      <c r="R1443" s="14">
        <v>8</v>
      </c>
      <c r="S1443" s="14">
        <f t="shared" si="1448"/>
        <v>4.4800000000000004</v>
      </c>
      <c r="T1443">
        <f t="shared" si="1484"/>
        <v>106.1</v>
      </c>
      <c r="U1443">
        <f t="shared" si="1485"/>
        <v>7.5400565504241284</v>
      </c>
      <c r="V1443" s="220">
        <f t="shared" si="1456"/>
        <v>7.5400565504241284</v>
      </c>
      <c r="W1443" s="14" t="s">
        <v>433</v>
      </c>
      <c r="X1443">
        <f t="shared" si="1384"/>
        <v>7.5400565504241284</v>
      </c>
      <c r="Y1443" s="220">
        <f>SUM(X1443,X1453,X1460)</f>
        <v>9.4250706880301607</v>
      </c>
      <c r="Z1443" s="220">
        <f t="shared" si="1493"/>
        <v>7.5400565504241284</v>
      </c>
      <c r="AA1443" s="792">
        <f t="shared" si="1490"/>
        <v>7.5400565504241284</v>
      </c>
      <c r="AB1443" s="18" t="s">
        <v>433</v>
      </c>
      <c r="AC1443" s="13" t="s">
        <v>433</v>
      </c>
      <c r="AD1443" s="13" t="s">
        <v>2947</v>
      </c>
      <c r="AE1443" s="12">
        <v>3.0104466724907065E-4</v>
      </c>
      <c r="AF1443" s="12">
        <v>1.2500000000000001E-2</v>
      </c>
      <c r="AG1443" s="12">
        <v>5.1818181818181835E-4</v>
      </c>
      <c r="AH1443" s="12">
        <v>4.0084080366977777E-4</v>
      </c>
    </row>
    <row r="1444" spans="1:34" ht="14.25">
      <c r="A1444" s="14" t="s">
        <v>4763</v>
      </c>
      <c r="B1444" s="24" t="s">
        <v>2768</v>
      </c>
      <c r="C1444" s="14" t="s">
        <v>2826</v>
      </c>
      <c r="D1444" s="14" t="s">
        <v>2911</v>
      </c>
      <c r="E1444" s="14" t="s">
        <v>4764</v>
      </c>
      <c r="F1444" s="13">
        <v>56</v>
      </c>
      <c r="G1444" s="14" t="s">
        <v>4765</v>
      </c>
      <c r="H1444" s="567" t="s">
        <v>2934</v>
      </c>
      <c r="I1444" s="14" t="s">
        <v>4764</v>
      </c>
      <c r="J1444" s="14" t="s">
        <v>4766</v>
      </c>
      <c r="K1444" s="478">
        <v>1</v>
      </c>
      <c r="L1444" s="220">
        <v>56</v>
      </c>
      <c r="M1444" s="568" t="s">
        <v>4767</v>
      </c>
      <c r="N1444" s="479" t="s">
        <v>2937</v>
      </c>
      <c r="O1444" s="569" t="s">
        <v>2976</v>
      </c>
      <c r="P1444" s="14" t="s">
        <v>3862</v>
      </c>
      <c r="Q1444" s="486" t="s">
        <v>4774</v>
      </c>
      <c r="R1444" s="14">
        <v>1</v>
      </c>
      <c r="S1444" s="14">
        <f t="shared" si="1448"/>
        <v>0.56000000000000005</v>
      </c>
      <c r="T1444">
        <f t="shared" si="1484"/>
        <v>106.1</v>
      </c>
      <c r="U1444">
        <f t="shared" si="1485"/>
        <v>0.94250706880301605</v>
      </c>
      <c r="V1444" s="220">
        <f t="shared" si="1456"/>
        <v>0.94250706880301605</v>
      </c>
      <c r="W1444" s="14" t="s">
        <v>4161</v>
      </c>
      <c r="X1444">
        <f t="shared" si="1384"/>
        <v>0.94250706880301605</v>
      </c>
      <c r="Y1444" s="220" t="s">
        <v>1666</v>
      </c>
      <c r="Z1444" s="220" t="s">
        <v>1666</v>
      </c>
      <c r="AA1444" s="792" t="str">
        <f t="shared" si="1490"/>
        <v>*</v>
      </c>
      <c r="AB1444" s="458" t="str">
        <f t="shared" ref="AB1444:AH1444" si="1494">AA1444</f>
        <v>*</v>
      </c>
      <c r="AC1444" s="458" t="str">
        <f t="shared" si="1494"/>
        <v>*</v>
      </c>
      <c r="AD1444" s="458" t="str">
        <f t="shared" si="1494"/>
        <v>*</v>
      </c>
      <c r="AE1444" s="462" t="str">
        <f t="shared" si="1494"/>
        <v>*</v>
      </c>
      <c r="AF1444" s="462" t="str">
        <f t="shared" si="1494"/>
        <v>*</v>
      </c>
      <c r="AG1444" s="462" t="str">
        <f t="shared" si="1494"/>
        <v>*</v>
      </c>
      <c r="AH1444" s="462" t="str">
        <f t="shared" si="1494"/>
        <v>*</v>
      </c>
    </row>
    <row r="1445" spans="1:34" ht="14.25">
      <c r="A1445" s="14" t="s">
        <v>4763</v>
      </c>
      <c r="B1445" s="24" t="s">
        <v>2768</v>
      </c>
      <c r="C1445" s="14" t="s">
        <v>2826</v>
      </c>
      <c r="D1445" s="14" t="s">
        <v>2911</v>
      </c>
      <c r="E1445" s="14" t="s">
        <v>4764</v>
      </c>
      <c r="F1445" s="13">
        <v>56</v>
      </c>
      <c r="G1445" s="14" t="s">
        <v>4765</v>
      </c>
      <c r="H1445" s="567" t="s">
        <v>2934</v>
      </c>
      <c r="I1445" s="14" t="s">
        <v>4764</v>
      </c>
      <c r="J1445" s="14" t="s">
        <v>4766</v>
      </c>
      <c r="K1445" s="478">
        <v>1</v>
      </c>
      <c r="L1445" s="220">
        <v>56</v>
      </c>
      <c r="M1445" s="568" t="s">
        <v>4767</v>
      </c>
      <c r="N1445" s="479" t="s">
        <v>2937</v>
      </c>
      <c r="O1445" s="569" t="s">
        <v>2976</v>
      </c>
      <c r="P1445" s="14" t="s">
        <v>2962</v>
      </c>
      <c r="Q1445" s="435" t="s">
        <v>2963</v>
      </c>
      <c r="R1445" s="14">
        <v>1</v>
      </c>
      <c r="S1445" s="14">
        <f t="shared" si="1448"/>
        <v>0.56000000000000005</v>
      </c>
      <c r="T1445">
        <f t="shared" si="1484"/>
        <v>106.1</v>
      </c>
      <c r="U1445">
        <f t="shared" si="1485"/>
        <v>0.94250706880301605</v>
      </c>
      <c r="V1445" s="220">
        <f t="shared" si="1456"/>
        <v>0.94250706880301605</v>
      </c>
      <c r="W1445" s="14" t="s">
        <v>425</v>
      </c>
      <c r="X1445">
        <f t="shared" si="1384"/>
        <v>0.94250706880301605</v>
      </c>
      <c r="Y1445" s="220" t="s">
        <v>1666</v>
      </c>
      <c r="Z1445" s="220" t="s">
        <v>1666</v>
      </c>
      <c r="AA1445" s="792" t="str">
        <f t="shared" si="1490"/>
        <v>*</v>
      </c>
      <c r="AB1445" s="458" t="str">
        <f t="shared" ref="AB1445:AH1445" si="1495">AA1445</f>
        <v>*</v>
      </c>
      <c r="AC1445" s="458" t="str">
        <f t="shared" si="1495"/>
        <v>*</v>
      </c>
      <c r="AD1445" s="458" t="str">
        <f t="shared" si="1495"/>
        <v>*</v>
      </c>
      <c r="AE1445" s="462" t="str">
        <f t="shared" si="1495"/>
        <v>*</v>
      </c>
      <c r="AF1445" s="462" t="str">
        <f t="shared" si="1495"/>
        <v>*</v>
      </c>
      <c r="AG1445" s="462" t="str">
        <f t="shared" si="1495"/>
        <v>*</v>
      </c>
      <c r="AH1445" s="462" t="str">
        <f t="shared" si="1495"/>
        <v>*</v>
      </c>
    </row>
    <row r="1446" spans="1:34" ht="14.25">
      <c r="A1446" s="14" t="s">
        <v>4763</v>
      </c>
      <c r="B1446" s="24" t="s">
        <v>2768</v>
      </c>
      <c r="C1446" s="14" t="s">
        <v>2826</v>
      </c>
      <c r="D1446" s="14" t="s">
        <v>2911</v>
      </c>
      <c r="E1446" s="14" t="s">
        <v>4764</v>
      </c>
      <c r="F1446" s="13">
        <v>56</v>
      </c>
      <c r="G1446" s="14" t="s">
        <v>4765</v>
      </c>
      <c r="H1446" s="567" t="s">
        <v>2934</v>
      </c>
      <c r="I1446" s="14" t="s">
        <v>4764</v>
      </c>
      <c r="J1446" s="14" t="s">
        <v>4766</v>
      </c>
      <c r="K1446" s="478">
        <v>1</v>
      </c>
      <c r="L1446" s="220">
        <v>56</v>
      </c>
      <c r="M1446" s="568" t="s">
        <v>4767</v>
      </c>
      <c r="N1446" s="479" t="s">
        <v>2937</v>
      </c>
      <c r="O1446" s="569" t="s">
        <v>2976</v>
      </c>
      <c r="P1446" s="14" t="s">
        <v>4775</v>
      </c>
      <c r="Q1446" s="14" t="s">
        <v>4776</v>
      </c>
      <c r="R1446" s="14">
        <v>1</v>
      </c>
      <c r="S1446" s="14">
        <f t="shared" si="1448"/>
        <v>0.56000000000000005</v>
      </c>
      <c r="T1446">
        <f t="shared" si="1484"/>
        <v>106.1</v>
      </c>
      <c r="U1446">
        <f t="shared" si="1485"/>
        <v>0.94250706880301605</v>
      </c>
      <c r="V1446" s="220">
        <f t="shared" si="1456"/>
        <v>0.94250706880301605</v>
      </c>
      <c r="W1446" s="14" t="s">
        <v>4775</v>
      </c>
      <c r="X1446">
        <f t="shared" si="1384"/>
        <v>0.94250706880301605</v>
      </c>
      <c r="Y1446" s="220">
        <f>X1446</f>
        <v>0.94250706880301605</v>
      </c>
      <c r="Z1446" s="220">
        <f>X1446</f>
        <v>0.94250706880301605</v>
      </c>
      <c r="AA1446" s="792">
        <f t="shared" si="1490"/>
        <v>0.94250706880301605</v>
      </c>
      <c r="AB1446" s="458" t="s">
        <v>147</v>
      </c>
      <c r="AC1446" s="497" t="s">
        <v>3279</v>
      </c>
      <c r="AD1446" s="497" t="s">
        <v>3280</v>
      </c>
      <c r="AE1446" s="12">
        <v>5.3660800389999995E-4</v>
      </c>
      <c r="AF1446" s="12">
        <v>2.8929604629999999E-3</v>
      </c>
      <c r="AG1446" s="12">
        <v>1.75E-4</v>
      </c>
      <c r="AH1446" s="12">
        <v>2.6107342105263152E-4</v>
      </c>
    </row>
    <row r="1447" spans="1:34" ht="14.25">
      <c r="A1447" s="14" t="s">
        <v>4763</v>
      </c>
      <c r="B1447" s="24" t="s">
        <v>2768</v>
      </c>
      <c r="C1447" s="14" t="s">
        <v>2826</v>
      </c>
      <c r="D1447" s="14" t="s">
        <v>2911</v>
      </c>
      <c r="E1447" s="14" t="s">
        <v>4764</v>
      </c>
      <c r="F1447" s="13">
        <v>56</v>
      </c>
      <c r="G1447" s="14" t="s">
        <v>4765</v>
      </c>
      <c r="H1447" s="567" t="s">
        <v>2934</v>
      </c>
      <c r="I1447" s="14" t="s">
        <v>4764</v>
      </c>
      <c r="J1447" s="14" t="s">
        <v>4766</v>
      </c>
      <c r="K1447" s="478">
        <v>1</v>
      </c>
      <c r="L1447" s="220">
        <v>56</v>
      </c>
      <c r="M1447" s="568" t="s">
        <v>4767</v>
      </c>
      <c r="N1447" s="479" t="s">
        <v>2937</v>
      </c>
      <c r="O1447" s="569" t="s">
        <v>2976</v>
      </c>
      <c r="P1447" s="14" t="s">
        <v>3526</v>
      </c>
      <c r="Q1447" s="14" t="s">
        <v>4159</v>
      </c>
      <c r="R1447" s="14">
        <v>1</v>
      </c>
      <c r="S1447" s="14">
        <f t="shared" si="1448"/>
        <v>0.56000000000000005</v>
      </c>
      <c r="T1447">
        <f t="shared" si="1484"/>
        <v>106.1</v>
      </c>
      <c r="U1447">
        <f t="shared" si="1485"/>
        <v>0.94250706880301605</v>
      </c>
      <c r="V1447" s="220">
        <f t="shared" si="1456"/>
        <v>0.94250706880301605</v>
      </c>
      <c r="W1447" s="14" t="s">
        <v>1114</v>
      </c>
      <c r="X1447">
        <f t="shared" si="1384"/>
        <v>0.94250706880301605</v>
      </c>
      <c r="Y1447" s="220" t="s">
        <v>1666</v>
      </c>
      <c r="Z1447" s="220">
        <f>SUM(X1447,X1459)</f>
        <v>1.8850141376060321</v>
      </c>
      <c r="AA1447" s="792">
        <f t="shared" si="1490"/>
        <v>1.8850141376060321</v>
      </c>
      <c r="AB1447" s="458" t="s">
        <v>2829</v>
      </c>
      <c r="AC1447" s="14" t="s">
        <v>4142</v>
      </c>
      <c r="AD1447" s="14" t="s">
        <v>3529</v>
      </c>
      <c r="AE1447" s="12">
        <v>3.8297066240151499E-4</v>
      </c>
      <c r="AF1447" s="12">
        <v>1.2726079536012401E-2</v>
      </c>
      <c r="AG1447" s="12">
        <v>1.225E-5</v>
      </c>
      <c r="AH1447" s="12">
        <v>1.5432370941286443E-5</v>
      </c>
    </row>
    <row r="1448" spans="1:34" ht="14.25">
      <c r="A1448" s="14" t="s">
        <v>4763</v>
      </c>
      <c r="B1448" s="24" t="s">
        <v>2768</v>
      </c>
      <c r="C1448" s="14" t="s">
        <v>2826</v>
      </c>
      <c r="D1448" s="14" t="s">
        <v>2911</v>
      </c>
      <c r="E1448" s="14" t="s">
        <v>4764</v>
      </c>
      <c r="F1448" s="13">
        <v>56</v>
      </c>
      <c r="G1448" s="14" t="s">
        <v>4765</v>
      </c>
      <c r="H1448" s="567" t="s">
        <v>2934</v>
      </c>
      <c r="I1448" s="14" t="s">
        <v>4764</v>
      </c>
      <c r="J1448" s="14" t="s">
        <v>4766</v>
      </c>
      <c r="K1448" s="478">
        <v>1</v>
      </c>
      <c r="L1448" s="220">
        <v>56</v>
      </c>
      <c r="M1448" s="568" t="s">
        <v>4767</v>
      </c>
      <c r="N1448" s="479" t="s">
        <v>2937</v>
      </c>
      <c r="O1448" s="569" t="s">
        <v>2976</v>
      </c>
      <c r="P1448" s="14" t="s">
        <v>236</v>
      </c>
      <c r="Q1448" s="14" t="s">
        <v>4194</v>
      </c>
      <c r="R1448" s="14">
        <v>1</v>
      </c>
      <c r="S1448" s="14">
        <f t="shared" si="1448"/>
        <v>0.56000000000000005</v>
      </c>
      <c r="T1448">
        <f t="shared" si="1484"/>
        <v>106.1</v>
      </c>
      <c r="U1448">
        <f t="shared" si="1485"/>
        <v>0.94250706880301605</v>
      </c>
      <c r="V1448" s="220">
        <f t="shared" si="1456"/>
        <v>0.94250706880301605</v>
      </c>
      <c r="W1448" s="14" t="s">
        <v>236</v>
      </c>
      <c r="X1448">
        <f t="shared" si="1384"/>
        <v>0.94250706880301605</v>
      </c>
      <c r="Y1448" s="220">
        <f t="shared" ref="Y1448:Y1452" si="1496">X1448</f>
        <v>0.94250706880301605</v>
      </c>
      <c r="Z1448" s="220">
        <f t="shared" ref="Z1448:Z1453" si="1497">X1448</f>
        <v>0.94250706880301605</v>
      </c>
      <c r="AA1448" s="792">
        <f t="shared" si="1490"/>
        <v>0.94250706880301605</v>
      </c>
      <c r="AB1448" s="458" t="s">
        <v>236</v>
      </c>
      <c r="AC1448" s="497" t="s">
        <v>215</v>
      </c>
      <c r="AD1448" s="497" t="s">
        <v>3007</v>
      </c>
      <c r="AE1448" s="12">
        <v>5.0851930036188197E-3</v>
      </c>
      <c r="AF1448" s="12">
        <v>5.9995417730640897E-2</v>
      </c>
      <c r="AG1448" s="12">
        <v>3.4699999999999998E-4</v>
      </c>
      <c r="AH1448" s="12">
        <v>2.9762429672480995E-4</v>
      </c>
    </row>
    <row r="1449" spans="1:34" ht="14.25">
      <c r="A1449" s="14" t="s">
        <v>4763</v>
      </c>
      <c r="B1449" s="24" t="s">
        <v>2768</v>
      </c>
      <c r="C1449" s="14" t="s">
        <v>2826</v>
      </c>
      <c r="D1449" s="14" t="s">
        <v>2911</v>
      </c>
      <c r="E1449" s="14" t="s">
        <v>4764</v>
      </c>
      <c r="F1449" s="13">
        <v>56</v>
      </c>
      <c r="G1449" s="14" t="s">
        <v>4765</v>
      </c>
      <c r="H1449" s="567" t="s">
        <v>2934</v>
      </c>
      <c r="I1449" s="14" t="s">
        <v>4764</v>
      </c>
      <c r="J1449" s="14" t="s">
        <v>4766</v>
      </c>
      <c r="K1449" s="478">
        <v>1</v>
      </c>
      <c r="L1449" s="220">
        <v>56</v>
      </c>
      <c r="M1449" s="568" t="s">
        <v>4767</v>
      </c>
      <c r="N1449" s="479" t="s">
        <v>2937</v>
      </c>
      <c r="O1449" s="569" t="s">
        <v>2976</v>
      </c>
      <c r="P1449" s="14" t="s">
        <v>4744</v>
      </c>
      <c r="Q1449" s="486" t="s">
        <v>4745</v>
      </c>
      <c r="R1449" s="14">
        <v>1</v>
      </c>
      <c r="S1449" s="14">
        <f t="shared" si="1448"/>
        <v>0.56000000000000005</v>
      </c>
      <c r="T1449">
        <f t="shared" si="1484"/>
        <v>106.1</v>
      </c>
      <c r="U1449">
        <f t="shared" si="1485"/>
        <v>0.94250706880301605</v>
      </c>
      <c r="V1449" s="220">
        <f t="shared" si="1456"/>
        <v>0.94250706880301605</v>
      </c>
      <c r="W1449" s="14" t="s">
        <v>77</v>
      </c>
      <c r="X1449">
        <f t="shared" si="1384"/>
        <v>0.94250706880301605</v>
      </c>
      <c r="Y1449" s="220">
        <f t="shared" si="1496"/>
        <v>0.94250706880301605</v>
      </c>
      <c r="Z1449" s="220">
        <f t="shared" si="1497"/>
        <v>0.94250706880301605</v>
      </c>
      <c r="AA1449" s="792">
        <f t="shared" si="1490"/>
        <v>0.94250706880301605</v>
      </c>
      <c r="AB1449" s="458" t="s">
        <v>77</v>
      </c>
      <c r="AC1449" s="497" t="s">
        <v>18</v>
      </c>
      <c r="AD1449" s="497" t="s">
        <v>18</v>
      </c>
      <c r="AE1449" s="12">
        <v>0</v>
      </c>
      <c r="AF1449" s="12">
        <v>0</v>
      </c>
      <c r="AG1449" s="12">
        <v>0</v>
      </c>
      <c r="AH1449" s="12">
        <v>0</v>
      </c>
    </row>
    <row r="1450" spans="1:34" ht="14.25">
      <c r="A1450" s="14" t="s">
        <v>4763</v>
      </c>
      <c r="B1450" s="24" t="s">
        <v>2768</v>
      </c>
      <c r="C1450" s="14" t="s">
        <v>2826</v>
      </c>
      <c r="D1450" s="14" t="s">
        <v>2911</v>
      </c>
      <c r="E1450" s="14" t="s">
        <v>4764</v>
      </c>
      <c r="F1450" s="13">
        <v>56</v>
      </c>
      <c r="G1450" s="14" t="s">
        <v>4765</v>
      </c>
      <c r="H1450" s="567" t="s">
        <v>2934</v>
      </c>
      <c r="I1450" s="14" t="s">
        <v>4764</v>
      </c>
      <c r="J1450" s="14" t="s">
        <v>4766</v>
      </c>
      <c r="K1450" s="478">
        <v>1</v>
      </c>
      <c r="L1450" s="220">
        <v>56</v>
      </c>
      <c r="M1450" s="568" t="s">
        <v>4767</v>
      </c>
      <c r="N1450" s="479" t="s">
        <v>2937</v>
      </c>
      <c r="O1450" s="569" t="s">
        <v>2976</v>
      </c>
      <c r="P1450" s="14" t="s">
        <v>82</v>
      </c>
      <c r="Q1450" s="486" t="s">
        <v>4777</v>
      </c>
      <c r="R1450" s="14">
        <v>1</v>
      </c>
      <c r="S1450" s="14">
        <f t="shared" si="1448"/>
        <v>0.56000000000000005</v>
      </c>
      <c r="T1450">
        <f t="shared" si="1484"/>
        <v>106.1</v>
      </c>
      <c r="U1450">
        <f t="shared" si="1485"/>
        <v>0.94250706880301605</v>
      </c>
      <c r="V1450" s="220">
        <f t="shared" si="1456"/>
        <v>0.94250706880301605</v>
      </c>
      <c r="W1450" s="14" t="s">
        <v>82</v>
      </c>
      <c r="X1450">
        <f t="shared" si="1384"/>
        <v>0.94250706880301605</v>
      </c>
      <c r="Y1450" s="220">
        <f t="shared" si="1496"/>
        <v>0.94250706880301605</v>
      </c>
      <c r="Z1450" s="220">
        <f t="shared" si="1497"/>
        <v>0.94250706880301605</v>
      </c>
      <c r="AA1450" s="792">
        <f t="shared" si="1490"/>
        <v>0.94250706880301605</v>
      </c>
      <c r="AB1450" s="458" t="s">
        <v>82</v>
      </c>
      <c r="AC1450" s="497" t="s">
        <v>18</v>
      </c>
      <c r="AD1450" s="497" t="s">
        <v>18</v>
      </c>
      <c r="AE1450" s="12">
        <v>0</v>
      </c>
      <c r="AF1450" s="12">
        <v>0</v>
      </c>
      <c r="AG1450" s="12">
        <v>0</v>
      </c>
      <c r="AH1450" s="12">
        <v>0</v>
      </c>
    </row>
    <row r="1451" spans="1:34" ht="14.25">
      <c r="A1451" s="14" t="s">
        <v>4763</v>
      </c>
      <c r="B1451" s="24" t="s">
        <v>2768</v>
      </c>
      <c r="C1451" s="14" t="s">
        <v>2826</v>
      </c>
      <c r="D1451" s="14" t="s">
        <v>2911</v>
      </c>
      <c r="E1451" s="14" t="s">
        <v>4764</v>
      </c>
      <c r="F1451" s="13">
        <v>56</v>
      </c>
      <c r="G1451" s="14" t="s">
        <v>4765</v>
      </c>
      <c r="H1451" s="567" t="s">
        <v>2934</v>
      </c>
      <c r="I1451" s="14" t="s">
        <v>4764</v>
      </c>
      <c r="J1451" s="14" t="s">
        <v>4766</v>
      </c>
      <c r="K1451" s="478">
        <v>1</v>
      </c>
      <c r="L1451" s="220">
        <v>56</v>
      </c>
      <c r="M1451" s="568" t="s">
        <v>4767</v>
      </c>
      <c r="N1451" s="479" t="s">
        <v>2937</v>
      </c>
      <c r="O1451" s="569" t="s">
        <v>2976</v>
      </c>
      <c r="P1451" s="14" t="s">
        <v>80</v>
      </c>
      <c r="Q1451" s="486" t="s">
        <v>4778</v>
      </c>
      <c r="R1451" s="14">
        <v>1</v>
      </c>
      <c r="S1451" s="14">
        <f t="shared" si="1448"/>
        <v>0.56000000000000005</v>
      </c>
      <c r="T1451">
        <f t="shared" si="1484"/>
        <v>106.1</v>
      </c>
      <c r="U1451">
        <f t="shared" si="1485"/>
        <v>0.94250706880301605</v>
      </c>
      <c r="V1451" s="220">
        <f t="shared" si="1456"/>
        <v>0.94250706880301605</v>
      </c>
      <c r="W1451" s="14" t="s">
        <v>80</v>
      </c>
      <c r="X1451">
        <f t="shared" si="1384"/>
        <v>0.94250706880301605</v>
      </c>
      <c r="Y1451" s="220">
        <f t="shared" si="1496"/>
        <v>0.94250706880301605</v>
      </c>
      <c r="Z1451" s="220">
        <f t="shared" si="1497"/>
        <v>0.94250706880301605</v>
      </c>
      <c r="AA1451" s="792">
        <f t="shared" si="1490"/>
        <v>0.94250706880301605</v>
      </c>
      <c r="AB1451" s="458" t="s">
        <v>80</v>
      </c>
      <c r="AC1451" s="497" t="s">
        <v>18</v>
      </c>
      <c r="AD1451" s="497" t="s">
        <v>18</v>
      </c>
      <c r="AE1451" s="12">
        <v>0</v>
      </c>
      <c r="AF1451" s="12">
        <v>0</v>
      </c>
      <c r="AG1451" s="12">
        <v>0</v>
      </c>
      <c r="AH1451" s="12">
        <v>0</v>
      </c>
    </row>
    <row r="1452" spans="1:34" ht="14.25">
      <c r="A1452" s="14" t="s">
        <v>4763</v>
      </c>
      <c r="B1452" s="24" t="s">
        <v>2768</v>
      </c>
      <c r="C1452" s="14" t="s">
        <v>2826</v>
      </c>
      <c r="D1452" s="14" t="s">
        <v>2911</v>
      </c>
      <c r="E1452" s="14" t="s">
        <v>4764</v>
      </c>
      <c r="F1452" s="13">
        <v>56</v>
      </c>
      <c r="G1452" s="14" t="s">
        <v>4765</v>
      </c>
      <c r="H1452" s="567" t="s">
        <v>2934</v>
      </c>
      <c r="I1452" s="14" t="s">
        <v>4764</v>
      </c>
      <c r="J1452" s="14" t="s">
        <v>4766</v>
      </c>
      <c r="K1452" s="478">
        <v>1</v>
      </c>
      <c r="L1452" s="220">
        <v>56</v>
      </c>
      <c r="M1452" s="568" t="s">
        <v>4767</v>
      </c>
      <c r="N1452" s="479" t="s">
        <v>2937</v>
      </c>
      <c r="O1452" s="569" t="s">
        <v>2976</v>
      </c>
      <c r="P1452" s="14" t="s">
        <v>3129</v>
      </c>
      <c r="Q1452" s="486" t="s">
        <v>4761</v>
      </c>
      <c r="R1452" s="14">
        <v>1</v>
      </c>
      <c r="S1452" s="14">
        <f t="shared" si="1448"/>
        <v>0.56000000000000005</v>
      </c>
      <c r="T1452">
        <f t="shared" si="1484"/>
        <v>106.1</v>
      </c>
      <c r="U1452">
        <f t="shared" si="1485"/>
        <v>0.94250706880301605</v>
      </c>
      <c r="V1452" s="220">
        <f t="shared" si="1456"/>
        <v>0.94250706880301605</v>
      </c>
      <c r="W1452" s="14" t="s">
        <v>350</v>
      </c>
      <c r="X1452">
        <f t="shared" si="1384"/>
        <v>0.94250706880301605</v>
      </c>
      <c r="Y1452" s="220">
        <f t="shared" si="1496"/>
        <v>0.94250706880301605</v>
      </c>
      <c r="Z1452" s="220">
        <f t="shared" si="1497"/>
        <v>0.94250706880301605</v>
      </c>
      <c r="AA1452" s="792">
        <f t="shared" si="1490"/>
        <v>0.94250706880301605</v>
      </c>
      <c r="AB1452" s="18" t="s">
        <v>350</v>
      </c>
      <c r="AC1452" s="13" t="s">
        <v>18</v>
      </c>
      <c r="AD1452" s="13" t="s">
        <v>18</v>
      </c>
      <c r="AE1452" s="12">
        <v>7.6923076923076919E-3</v>
      </c>
      <c r="AF1452" s="12">
        <v>0.183</v>
      </c>
      <c r="AG1452" s="12">
        <v>2.8673068893528183E-4</v>
      </c>
      <c r="AH1452" s="12">
        <v>1.4770983615231311E-3</v>
      </c>
    </row>
    <row r="1453" spans="1:34" ht="14.25">
      <c r="A1453" s="14" t="s">
        <v>4763</v>
      </c>
      <c r="B1453" s="24" t="s">
        <v>2768</v>
      </c>
      <c r="C1453" s="14" t="s">
        <v>2826</v>
      </c>
      <c r="D1453" s="14" t="s">
        <v>2911</v>
      </c>
      <c r="E1453" s="14" t="s">
        <v>4764</v>
      </c>
      <c r="F1453" s="13">
        <v>56</v>
      </c>
      <c r="G1453" s="14" t="s">
        <v>4765</v>
      </c>
      <c r="H1453" s="567" t="s">
        <v>2934</v>
      </c>
      <c r="I1453" s="14" t="s">
        <v>4764</v>
      </c>
      <c r="J1453" s="14" t="s">
        <v>4766</v>
      </c>
      <c r="K1453" s="478">
        <v>1</v>
      </c>
      <c r="L1453" s="220">
        <v>56</v>
      </c>
      <c r="M1453" s="568" t="s">
        <v>4767</v>
      </c>
      <c r="N1453" s="479" t="s">
        <v>2937</v>
      </c>
      <c r="O1453" s="569" t="s">
        <v>2976</v>
      </c>
      <c r="P1453" s="14" t="s">
        <v>432</v>
      </c>
      <c r="Q1453" s="486" t="s">
        <v>3028</v>
      </c>
      <c r="R1453" s="14">
        <v>1</v>
      </c>
      <c r="S1453" s="14">
        <f t="shared" si="1448"/>
        <v>0.56000000000000005</v>
      </c>
      <c r="T1453">
        <f t="shared" si="1484"/>
        <v>106.1</v>
      </c>
      <c r="U1453">
        <f t="shared" si="1485"/>
        <v>0.94250706880301605</v>
      </c>
      <c r="V1453" s="220">
        <f t="shared" si="1456"/>
        <v>0.94250706880301605</v>
      </c>
      <c r="W1453" s="14" t="s">
        <v>432</v>
      </c>
      <c r="X1453">
        <f t="shared" si="1384"/>
        <v>0.94250706880301605</v>
      </c>
      <c r="Y1453" s="220" t="s">
        <v>1666</v>
      </c>
      <c r="Z1453" s="220">
        <f t="shared" si="1497"/>
        <v>0.94250706880301605</v>
      </c>
      <c r="AA1453" s="792">
        <f t="shared" si="1490"/>
        <v>0.94250706880301605</v>
      </c>
      <c r="AB1453" s="18" t="s">
        <v>2529</v>
      </c>
      <c r="AC1453" s="14" t="s">
        <v>3029</v>
      </c>
      <c r="AD1453" s="14" t="s">
        <v>3030</v>
      </c>
      <c r="AE1453" s="12">
        <v>2.2558902713754649E-4</v>
      </c>
      <c r="AF1453" s="12">
        <v>9.3669250645994837E-3</v>
      </c>
      <c r="AG1453" s="12">
        <v>3.8830162085976054E-4</v>
      </c>
      <c r="AH1453" s="12">
        <v>3.0037166166469137E-4</v>
      </c>
    </row>
    <row r="1454" spans="1:34" ht="14.25">
      <c r="A1454" s="14" t="s">
        <v>4763</v>
      </c>
      <c r="B1454" s="24" t="s">
        <v>2768</v>
      </c>
      <c r="C1454" s="14" t="s">
        <v>2826</v>
      </c>
      <c r="D1454" s="14" t="s">
        <v>2911</v>
      </c>
      <c r="E1454" s="14" t="s">
        <v>4764</v>
      </c>
      <c r="F1454" s="13">
        <v>56</v>
      </c>
      <c r="G1454" s="14" t="s">
        <v>4765</v>
      </c>
      <c r="H1454" s="567" t="s">
        <v>2934</v>
      </c>
      <c r="I1454" s="14" t="s">
        <v>4764</v>
      </c>
      <c r="J1454" s="14" t="s">
        <v>4766</v>
      </c>
      <c r="K1454" s="478">
        <v>1</v>
      </c>
      <c r="L1454" s="220">
        <v>56</v>
      </c>
      <c r="M1454" s="568" t="s">
        <v>4767</v>
      </c>
      <c r="N1454" s="479" t="s">
        <v>2937</v>
      </c>
      <c r="O1454" s="569" t="s">
        <v>2976</v>
      </c>
      <c r="P1454" s="14" t="s">
        <v>79</v>
      </c>
      <c r="Q1454" s="486" t="s">
        <v>4169</v>
      </c>
      <c r="R1454" s="14">
        <v>1</v>
      </c>
      <c r="S1454" s="14">
        <f t="shared" si="1448"/>
        <v>0.56000000000000005</v>
      </c>
      <c r="T1454">
        <f t="shared" si="1484"/>
        <v>106.1</v>
      </c>
      <c r="U1454">
        <f t="shared" si="1485"/>
        <v>0.94250706880301605</v>
      </c>
      <c r="V1454" s="220">
        <f t="shared" si="1456"/>
        <v>0.94250706880301605</v>
      </c>
      <c r="W1454" s="14" t="s">
        <v>79</v>
      </c>
      <c r="X1454">
        <f t="shared" si="1384"/>
        <v>0.94250706880301605</v>
      </c>
      <c r="Y1454" s="499">
        <f t="shared" ref="Y1454:AA1454" si="1498">X1454</f>
        <v>0.94250706880301605</v>
      </c>
      <c r="Z1454" s="220">
        <f t="shared" si="1498"/>
        <v>0.94250706880301605</v>
      </c>
      <c r="AA1454" s="792">
        <f t="shared" si="1498"/>
        <v>0.94250706880301605</v>
      </c>
      <c r="AB1454" s="18" t="s">
        <v>79</v>
      </c>
      <c r="AC1454" s="13" t="s">
        <v>18</v>
      </c>
      <c r="AD1454" s="13" t="s">
        <v>18</v>
      </c>
      <c r="AE1454" s="12">
        <v>1.3100000000000001E-2</v>
      </c>
      <c r="AF1454" s="12">
        <v>0.27117000000000002</v>
      </c>
      <c r="AG1454" s="12">
        <v>4.1E-5</v>
      </c>
      <c r="AH1454" s="12">
        <v>1.8699999999999999E-3</v>
      </c>
    </row>
    <row r="1455" spans="1:34" ht="14.25">
      <c r="A1455" s="14" t="s">
        <v>4763</v>
      </c>
      <c r="B1455" s="24" t="s">
        <v>2768</v>
      </c>
      <c r="C1455" s="14" t="s">
        <v>2826</v>
      </c>
      <c r="D1455" s="14" t="s">
        <v>2911</v>
      </c>
      <c r="E1455" s="14" t="s">
        <v>4764</v>
      </c>
      <c r="F1455" s="13">
        <v>56</v>
      </c>
      <c r="G1455" s="14" t="s">
        <v>4765</v>
      </c>
      <c r="H1455" s="567" t="s">
        <v>2934</v>
      </c>
      <c r="I1455" s="14" t="s">
        <v>4764</v>
      </c>
      <c r="J1455" s="14" t="s">
        <v>4766</v>
      </c>
      <c r="K1455" s="478">
        <v>1</v>
      </c>
      <c r="L1455" s="220">
        <v>56</v>
      </c>
      <c r="M1455" s="568" t="s">
        <v>4767</v>
      </c>
      <c r="N1455" s="479" t="s">
        <v>2937</v>
      </c>
      <c r="O1455" s="569" t="s">
        <v>2976</v>
      </c>
      <c r="P1455" s="655" t="s">
        <v>2987</v>
      </c>
      <c r="Q1455" s="486" t="s">
        <v>2981</v>
      </c>
      <c r="R1455" s="14">
        <v>1</v>
      </c>
      <c r="S1455" s="14">
        <f t="shared" si="1448"/>
        <v>0.56000000000000005</v>
      </c>
      <c r="T1455">
        <f t="shared" si="1484"/>
        <v>106.1</v>
      </c>
      <c r="U1455">
        <f t="shared" si="1485"/>
        <v>0.94250706880301605</v>
      </c>
      <c r="V1455" s="220">
        <f t="shared" si="1456"/>
        <v>0.94250706880301605</v>
      </c>
      <c r="W1455" s="14" t="s">
        <v>349</v>
      </c>
      <c r="X1455">
        <f t="shared" si="1384"/>
        <v>0.94250706880301605</v>
      </c>
      <c r="Y1455" s="220" t="s">
        <v>1666</v>
      </c>
      <c r="Z1455" s="220">
        <f>SUM(X1455,X1461)</f>
        <v>1.413760603204524</v>
      </c>
      <c r="AA1455" s="792">
        <f t="shared" ref="AA1455:AA1462" si="1499">Z1455</f>
        <v>1.413760603204524</v>
      </c>
      <c r="AB1455" s="18" t="s">
        <v>2830</v>
      </c>
      <c r="AC1455" s="13" t="s">
        <v>2982</v>
      </c>
      <c r="AD1455" s="13" t="s">
        <v>2983</v>
      </c>
      <c r="AE1455" s="12">
        <v>2.9691872042618299E-2</v>
      </c>
      <c r="AF1455" s="12">
        <v>7.5368545517799299E-2</v>
      </c>
      <c r="AG1455" s="12">
        <v>2.9014018691588786E-4</v>
      </c>
      <c r="AH1455" s="12">
        <v>1.4770983615231311E-3</v>
      </c>
    </row>
    <row r="1456" spans="1:34" ht="14.25">
      <c r="A1456" s="14" t="s">
        <v>4763</v>
      </c>
      <c r="B1456" s="24" t="s">
        <v>2768</v>
      </c>
      <c r="C1456" s="14" t="s">
        <v>2826</v>
      </c>
      <c r="D1456" s="14" t="s">
        <v>2911</v>
      </c>
      <c r="E1456" s="14" t="s">
        <v>4764</v>
      </c>
      <c r="F1456" s="13">
        <v>56</v>
      </c>
      <c r="G1456" s="14" t="s">
        <v>4765</v>
      </c>
      <c r="H1456" s="567" t="s">
        <v>2934</v>
      </c>
      <c r="I1456" s="14" t="s">
        <v>4764</v>
      </c>
      <c r="J1456" s="14" t="s">
        <v>4766</v>
      </c>
      <c r="K1456" s="478">
        <v>1</v>
      </c>
      <c r="L1456" s="220">
        <v>56</v>
      </c>
      <c r="M1456" s="568" t="s">
        <v>4767</v>
      </c>
      <c r="N1456" s="479" t="s">
        <v>2937</v>
      </c>
      <c r="O1456" s="569" t="s">
        <v>2976</v>
      </c>
      <c r="P1456" s="14" t="s">
        <v>3124</v>
      </c>
      <c r="Q1456" s="486" t="s">
        <v>2968</v>
      </c>
      <c r="R1456" s="14">
        <v>0.8</v>
      </c>
      <c r="S1456" s="14">
        <f t="shared" si="1448"/>
        <v>0.44800000000000001</v>
      </c>
      <c r="T1456">
        <f t="shared" si="1484"/>
        <v>106.1</v>
      </c>
      <c r="U1456">
        <f t="shared" si="1485"/>
        <v>0.7540056550424129</v>
      </c>
      <c r="V1456" s="220">
        <f t="shared" si="1456"/>
        <v>0.7540056550424129</v>
      </c>
      <c r="W1456" s="14" t="s">
        <v>1370</v>
      </c>
      <c r="X1456">
        <f t="shared" si="1384"/>
        <v>0.7540056550424129</v>
      </c>
      <c r="Y1456" s="220">
        <f>SUM(X1456,X1457)</f>
        <v>1.5080113100848258</v>
      </c>
      <c r="Z1456" s="220">
        <f>SUM(X1456:X1457)</f>
        <v>1.5080113100848258</v>
      </c>
      <c r="AA1456" s="792">
        <f t="shared" si="1499"/>
        <v>1.5080113100848258</v>
      </c>
      <c r="AB1456" s="18" t="s">
        <v>2831</v>
      </c>
      <c r="AC1456" s="13" t="s">
        <v>4579</v>
      </c>
      <c r="AD1456" s="13"/>
      <c r="AE1456" s="12">
        <v>1.7000000000000001E-2</v>
      </c>
      <c r="AF1456" s="12">
        <v>3.15E-2</v>
      </c>
      <c r="AG1456" s="12">
        <v>9.9999999999999995E-7</v>
      </c>
      <c r="AH1456" s="12">
        <v>9.0389601227534877E-4</v>
      </c>
    </row>
    <row r="1457" spans="1:34" ht="14.25">
      <c r="A1457" s="14" t="s">
        <v>4763</v>
      </c>
      <c r="B1457" s="24" t="s">
        <v>2768</v>
      </c>
      <c r="C1457" s="14" t="s">
        <v>2826</v>
      </c>
      <c r="D1457" s="14" t="s">
        <v>2911</v>
      </c>
      <c r="E1457" s="14" t="s">
        <v>4764</v>
      </c>
      <c r="F1457" s="13">
        <v>56</v>
      </c>
      <c r="G1457" s="14" t="s">
        <v>4765</v>
      </c>
      <c r="H1457" s="567" t="s">
        <v>2934</v>
      </c>
      <c r="I1457" s="14" t="s">
        <v>4764</v>
      </c>
      <c r="J1457" s="14" t="s">
        <v>4766</v>
      </c>
      <c r="K1457" s="478">
        <v>1</v>
      </c>
      <c r="L1457" s="220">
        <v>56</v>
      </c>
      <c r="M1457" s="568" t="s">
        <v>4767</v>
      </c>
      <c r="N1457" s="479" t="s">
        <v>2937</v>
      </c>
      <c r="O1457" s="569" t="s">
        <v>2976</v>
      </c>
      <c r="P1457" s="655" t="s">
        <v>2985</v>
      </c>
      <c r="Q1457" s="486" t="s">
        <v>2968</v>
      </c>
      <c r="R1457" s="14">
        <v>0.8</v>
      </c>
      <c r="S1457" s="14">
        <f t="shared" si="1448"/>
        <v>0.44800000000000001</v>
      </c>
      <c r="T1457">
        <f t="shared" si="1484"/>
        <v>106.1</v>
      </c>
      <c r="U1457">
        <f t="shared" si="1485"/>
        <v>0.7540056550424129</v>
      </c>
      <c r="V1457" s="220">
        <f t="shared" si="1456"/>
        <v>0.7540056550424129</v>
      </c>
      <c r="W1457" s="14" t="s">
        <v>2522</v>
      </c>
      <c r="X1457">
        <f t="shared" si="1384"/>
        <v>0.7540056550424129</v>
      </c>
      <c r="Y1457" s="220" t="s">
        <v>1666</v>
      </c>
      <c r="Z1457" s="220" t="s">
        <v>1666</v>
      </c>
      <c r="AA1457" s="792" t="str">
        <f t="shared" si="1499"/>
        <v>*</v>
      </c>
      <c r="AB1457" s="497" t="str">
        <f t="shared" ref="AB1457:AH1457" si="1500">AA1457</f>
        <v>*</v>
      </c>
      <c r="AC1457" s="497" t="str">
        <f t="shared" si="1500"/>
        <v>*</v>
      </c>
      <c r="AD1457" s="497" t="str">
        <f t="shared" si="1500"/>
        <v>*</v>
      </c>
      <c r="AE1457" s="483" t="str">
        <f t="shared" si="1500"/>
        <v>*</v>
      </c>
      <c r="AF1457" s="483" t="str">
        <f t="shared" si="1500"/>
        <v>*</v>
      </c>
      <c r="AG1457" s="483" t="str">
        <f t="shared" si="1500"/>
        <v>*</v>
      </c>
      <c r="AH1457" s="483" t="str">
        <f t="shared" si="1500"/>
        <v>*</v>
      </c>
    </row>
    <row r="1458" spans="1:34" ht="14.25">
      <c r="A1458" s="14" t="s">
        <v>4763</v>
      </c>
      <c r="B1458" s="24" t="s">
        <v>2768</v>
      </c>
      <c r="C1458" s="14" t="s">
        <v>2826</v>
      </c>
      <c r="D1458" s="14" t="s">
        <v>2911</v>
      </c>
      <c r="E1458" s="14" t="s">
        <v>4764</v>
      </c>
      <c r="F1458" s="13">
        <v>56</v>
      </c>
      <c r="G1458" s="14" t="s">
        <v>4765</v>
      </c>
      <c r="H1458" s="567" t="s">
        <v>2934</v>
      </c>
      <c r="I1458" s="14" t="s">
        <v>4764</v>
      </c>
      <c r="J1458" s="14" t="s">
        <v>4766</v>
      </c>
      <c r="K1458" s="478">
        <v>1</v>
      </c>
      <c r="L1458" s="220">
        <v>56</v>
      </c>
      <c r="M1458" s="568" t="s">
        <v>4767</v>
      </c>
      <c r="N1458" s="479" t="s">
        <v>2937</v>
      </c>
      <c r="O1458" s="569" t="s">
        <v>2976</v>
      </c>
      <c r="P1458" s="655" t="s">
        <v>4032</v>
      </c>
      <c r="Q1458" s="486" t="s">
        <v>4033</v>
      </c>
      <c r="R1458" s="14">
        <v>1</v>
      </c>
      <c r="S1458" s="14">
        <f t="shared" si="1448"/>
        <v>0.56000000000000005</v>
      </c>
      <c r="T1458">
        <f t="shared" si="1484"/>
        <v>106.1</v>
      </c>
      <c r="U1458">
        <f t="shared" si="1485"/>
        <v>0.94250706880301605</v>
      </c>
      <c r="V1458" s="220">
        <f t="shared" si="1456"/>
        <v>0.94250706880301605</v>
      </c>
      <c r="W1458" s="14" t="s">
        <v>4034</v>
      </c>
      <c r="X1458">
        <f t="shared" si="1384"/>
        <v>0.94250706880301605</v>
      </c>
      <c r="Y1458" s="220" t="s">
        <v>1666</v>
      </c>
      <c r="Z1458" s="220" t="s">
        <v>1666</v>
      </c>
      <c r="AA1458" s="792" t="str">
        <f t="shared" si="1499"/>
        <v>*</v>
      </c>
      <c r="AB1458" s="497" t="str">
        <f t="shared" ref="AB1458:AH1458" si="1501">AA1458</f>
        <v>*</v>
      </c>
      <c r="AC1458" s="497" t="str">
        <f t="shared" si="1501"/>
        <v>*</v>
      </c>
      <c r="AD1458" s="497" t="str">
        <f t="shared" si="1501"/>
        <v>*</v>
      </c>
      <c r="AE1458" s="483" t="str">
        <f t="shared" si="1501"/>
        <v>*</v>
      </c>
      <c r="AF1458" s="483" t="str">
        <f t="shared" si="1501"/>
        <v>*</v>
      </c>
      <c r="AG1458" s="483" t="str">
        <f t="shared" si="1501"/>
        <v>*</v>
      </c>
      <c r="AH1458" s="483" t="str">
        <f t="shared" si="1501"/>
        <v>*</v>
      </c>
    </row>
    <row r="1459" spans="1:34" ht="14.25">
      <c r="A1459" s="14" t="s">
        <v>4763</v>
      </c>
      <c r="B1459" s="24" t="s">
        <v>2768</v>
      </c>
      <c r="C1459" s="14" t="s">
        <v>2826</v>
      </c>
      <c r="D1459" s="14" t="s">
        <v>2911</v>
      </c>
      <c r="E1459" s="14" t="s">
        <v>4764</v>
      </c>
      <c r="F1459" s="13">
        <v>56</v>
      </c>
      <c r="G1459" s="14" t="s">
        <v>4765</v>
      </c>
      <c r="H1459" s="567" t="s">
        <v>2934</v>
      </c>
      <c r="I1459" s="14" t="s">
        <v>4764</v>
      </c>
      <c r="J1459" s="14" t="s">
        <v>4766</v>
      </c>
      <c r="K1459" s="478">
        <v>1</v>
      </c>
      <c r="L1459" s="220">
        <v>56</v>
      </c>
      <c r="M1459" s="568" t="s">
        <v>4767</v>
      </c>
      <c r="N1459" s="479" t="s">
        <v>2937</v>
      </c>
      <c r="O1459" s="569" t="s">
        <v>2976</v>
      </c>
      <c r="P1459" s="14" t="s">
        <v>3526</v>
      </c>
      <c r="Q1459" s="14" t="s">
        <v>4159</v>
      </c>
      <c r="R1459" s="14">
        <v>1</v>
      </c>
      <c r="S1459" s="14">
        <f t="shared" si="1448"/>
        <v>0.56000000000000005</v>
      </c>
      <c r="T1459">
        <f t="shared" si="1484"/>
        <v>106.1</v>
      </c>
      <c r="U1459">
        <f t="shared" si="1485"/>
        <v>0.94250706880301605</v>
      </c>
      <c r="V1459" s="220">
        <f t="shared" si="1456"/>
        <v>0.94250706880301605</v>
      </c>
      <c r="W1459" s="14" t="s">
        <v>1114</v>
      </c>
      <c r="X1459">
        <f t="shared" si="1384"/>
        <v>0.94250706880301605</v>
      </c>
      <c r="Y1459" s="220" t="s">
        <v>1666</v>
      </c>
      <c r="Z1459" s="220" t="s">
        <v>1666</v>
      </c>
      <c r="AA1459" s="792" t="str">
        <f t="shared" si="1499"/>
        <v>*</v>
      </c>
      <c r="AB1459" s="497" t="str">
        <f t="shared" ref="AB1459:AH1459" si="1502">AA1459</f>
        <v>*</v>
      </c>
      <c r="AC1459" s="497" t="str">
        <f t="shared" si="1502"/>
        <v>*</v>
      </c>
      <c r="AD1459" s="497" t="str">
        <f t="shared" si="1502"/>
        <v>*</v>
      </c>
      <c r="AE1459" s="483" t="str">
        <f t="shared" si="1502"/>
        <v>*</v>
      </c>
      <c r="AF1459" s="483" t="str">
        <f t="shared" si="1502"/>
        <v>*</v>
      </c>
      <c r="AG1459" s="483" t="str">
        <f t="shared" si="1502"/>
        <v>*</v>
      </c>
      <c r="AH1459" s="483" t="str">
        <f t="shared" si="1502"/>
        <v>*</v>
      </c>
    </row>
    <row r="1460" spans="1:34" ht="14.25">
      <c r="A1460" s="14" t="s">
        <v>4763</v>
      </c>
      <c r="B1460" s="24" t="s">
        <v>2768</v>
      </c>
      <c r="C1460" s="14" t="s">
        <v>2826</v>
      </c>
      <c r="D1460" s="14" t="s">
        <v>2911</v>
      </c>
      <c r="E1460" s="14" t="s">
        <v>4764</v>
      </c>
      <c r="F1460" s="13">
        <v>56</v>
      </c>
      <c r="G1460" s="14" t="s">
        <v>4765</v>
      </c>
      <c r="H1460" s="567" t="s">
        <v>2934</v>
      </c>
      <c r="I1460" s="14" t="s">
        <v>4764</v>
      </c>
      <c r="J1460" s="14" t="s">
        <v>4766</v>
      </c>
      <c r="K1460" s="478">
        <v>1</v>
      </c>
      <c r="L1460" s="220">
        <v>56</v>
      </c>
      <c r="M1460" s="568" t="s">
        <v>4767</v>
      </c>
      <c r="N1460" s="479" t="s">
        <v>2937</v>
      </c>
      <c r="O1460" s="569" t="s">
        <v>2976</v>
      </c>
      <c r="P1460" s="14" t="s">
        <v>3008</v>
      </c>
      <c r="Q1460" s="486" t="s">
        <v>3009</v>
      </c>
      <c r="R1460" s="14">
        <v>1</v>
      </c>
      <c r="S1460" s="14">
        <f t="shared" si="1448"/>
        <v>0.56000000000000005</v>
      </c>
      <c r="T1460">
        <f t="shared" si="1484"/>
        <v>106.1</v>
      </c>
      <c r="U1460">
        <f t="shared" si="1485"/>
        <v>0.94250706880301605</v>
      </c>
      <c r="V1460" s="220">
        <f t="shared" si="1456"/>
        <v>0.94250706880301605</v>
      </c>
      <c r="W1460" s="14" t="s">
        <v>1588</v>
      </c>
      <c r="X1460">
        <f t="shared" si="1384"/>
        <v>0.94250706880301605</v>
      </c>
      <c r="Y1460" s="220" t="s">
        <v>1666</v>
      </c>
      <c r="Z1460" s="220">
        <f>X1460</f>
        <v>0.94250706880301605</v>
      </c>
      <c r="AA1460" s="792">
        <f t="shared" si="1499"/>
        <v>0.94250706880301605</v>
      </c>
      <c r="AB1460" s="18" t="s">
        <v>1588</v>
      </c>
      <c r="AC1460" s="13" t="str">
        <f t="shared" ref="AC1460:AD1460" si="1503">AB1460</f>
        <v>brown sugar</v>
      </c>
      <c r="AD1460" s="13" t="str">
        <f t="shared" si="1503"/>
        <v>brown sugar</v>
      </c>
      <c r="AE1460" s="12">
        <v>2.9559941486988851E-4</v>
      </c>
      <c r="AF1460" s="12">
        <v>1.227390180878553E-2</v>
      </c>
      <c r="AG1460" s="12">
        <v>5.0880902043692758E-4</v>
      </c>
      <c r="AH1460" s="12">
        <v>3.9359045321580248E-4</v>
      </c>
    </row>
    <row r="1461" spans="1:34" ht="14.25">
      <c r="A1461" s="14" t="s">
        <v>4763</v>
      </c>
      <c r="B1461" s="24" t="s">
        <v>2768</v>
      </c>
      <c r="C1461" s="14" t="s">
        <v>2826</v>
      </c>
      <c r="D1461" s="14" t="s">
        <v>2911</v>
      </c>
      <c r="E1461" s="14" t="s">
        <v>4764</v>
      </c>
      <c r="F1461" s="13">
        <v>56</v>
      </c>
      <c r="G1461" s="14" t="s">
        <v>4765</v>
      </c>
      <c r="H1461" s="567" t="s">
        <v>2934</v>
      </c>
      <c r="I1461" s="14" t="s">
        <v>4764</v>
      </c>
      <c r="J1461" s="14" t="s">
        <v>4766</v>
      </c>
      <c r="K1461" s="478">
        <v>1</v>
      </c>
      <c r="L1461" s="220">
        <v>56</v>
      </c>
      <c r="M1461" s="568" t="s">
        <v>4767</v>
      </c>
      <c r="N1461" s="479" t="s">
        <v>2937</v>
      </c>
      <c r="O1461" s="569" t="s">
        <v>2976</v>
      </c>
      <c r="P1461" s="14" t="s">
        <v>3072</v>
      </c>
      <c r="Q1461" s="14" t="s">
        <v>4779</v>
      </c>
      <c r="R1461" s="14">
        <v>0.5</v>
      </c>
      <c r="S1461" s="14">
        <f t="shared" si="1448"/>
        <v>0.28000000000000003</v>
      </c>
      <c r="T1461">
        <f t="shared" si="1484"/>
        <v>106.1</v>
      </c>
      <c r="U1461">
        <f t="shared" si="1485"/>
        <v>0.47125353440150802</v>
      </c>
      <c r="V1461" s="220">
        <f t="shared" si="1456"/>
        <v>0.47125353440150802</v>
      </c>
      <c r="W1461" s="14" t="s">
        <v>343</v>
      </c>
      <c r="X1461">
        <f t="shared" si="1384"/>
        <v>0.47125353440150802</v>
      </c>
      <c r="Y1461" s="220" t="s">
        <v>1666</v>
      </c>
      <c r="Z1461" s="220" t="s">
        <v>1666</v>
      </c>
      <c r="AA1461" s="792" t="str">
        <f t="shared" si="1499"/>
        <v>*</v>
      </c>
      <c r="AB1461" s="497" t="str">
        <f t="shared" ref="AB1461:AH1461" si="1504">AA1461</f>
        <v>*</v>
      </c>
      <c r="AC1461" s="497" t="str">
        <f t="shared" si="1504"/>
        <v>*</v>
      </c>
      <c r="AD1461" s="497" t="str">
        <f t="shared" si="1504"/>
        <v>*</v>
      </c>
      <c r="AE1461" s="483" t="str">
        <f t="shared" si="1504"/>
        <v>*</v>
      </c>
      <c r="AF1461" s="483" t="str">
        <f t="shared" si="1504"/>
        <v>*</v>
      </c>
      <c r="AG1461" s="483" t="str">
        <f t="shared" si="1504"/>
        <v>*</v>
      </c>
      <c r="AH1461" s="483" t="str">
        <f t="shared" si="1504"/>
        <v>*</v>
      </c>
    </row>
    <row r="1462" spans="1:34" ht="14.25">
      <c r="A1462" s="14" t="s">
        <v>4763</v>
      </c>
      <c r="B1462" s="24" t="s">
        <v>2768</v>
      </c>
      <c r="C1462" s="14" t="s">
        <v>2826</v>
      </c>
      <c r="D1462" s="14" t="s">
        <v>2911</v>
      </c>
      <c r="E1462" s="14" t="s">
        <v>4764</v>
      </c>
      <c r="F1462" s="13">
        <v>56</v>
      </c>
      <c r="G1462" s="14" t="s">
        <v>4765</v>
      </c>
      <c r="H1462" s="567" t="s">
        <v>2934</v>
      </c>
      <c r="I1462" s="14" t="s">
        <v>4764</v>
      </c>
      <c r="J1462" s="14" t="s">
        <v>4766</v>
      </c>
      <c r="K1462" s="478">
        <v>1</v>
      </c>
      <c r="L1462" s="220">
        <v>56</v>
      </c>
      <c r="M1462" s="568" t="s">
        <v>4767</v>
      </c>
      <c r="N1462" s="479" t="s">
        <v>2937</v>
      </c>
      <c r="O1462" s="569" t="s">
        <v>2976</v>
      </c>
      <c r="P1462" s="14" t="s">
        <v>3048</v>
      </c>
      <c r="Q1462" s="435" t="s">
        <v>3049</v>
      </c>
      <c r="R1462" s="14">
        <v>1</v>
      </c>
      <c r="S1462" s="14">
        <f t="shared" si="1448"/>
        <v>0.56000000000000005</v>
      </c>
      <c r="T1462">
        <f t="shared" si="1484"/>
        <v>106.1</v>
      </c>
      <c r="U1462">
        <f t="shared" si="1485"/>
        <v>0.94250706880301605</v>
      </c>
      <c r="V1462" s="220">
        <f t="shared" si="1456"/>
        <v>0.94250706880301605</v>
      </c>
      <c r="W1462" s="14" t="s">
        <v>2712</v>
      </c>
      <c r="X1462">
        <f t="shared" si="1384"/>
        <v>0.94250706880301605</v>
      </c>
      <c r="Y1462" s="220">
        <f t="shared" ref="Y1462:Y1463" si="1505">X1462</f>
        <v>0.94250706880301605</v>
      </c>
      <c r="Z1462" s="220">
        <f>X1462</f>
        <v>0.94250706880301605</v>
      </c>
      <c r="AA1462" s="792">
        <f t="shared" si="1499"/>
        <v>0.94250706880301605</v>
      </c>
      <c r="AB1462" s="18" t="s">
        <v>2712</v>
      </c>
      <c r="AC1462" s="13" t="s">
        <v>878</v>
      </c>
      <c r="AD1462" s="13" t="s">
        <v>3050</v>
      </c>
      <c r="AE1462" s="12">
        <v>4.0401172748815169E-2</v>
      </c>
      <c r="AF1462" s="12">
        <v>0.11878669834123222</v>
      </c>
      <c r="AG1462" s="12">
        <v>7.919516026066351E-4</v>
      </c>
      <c r="AH1462" s="12">
        <v>7.4518613744075819E-3</v>
      </c>
    </row>
    <row r="1463" spans="1:34" ht="14.25">
      <c r="A1463" s="14" t="s">
        <v>4763</v>
      </c>
      <c r="B1463" s="24" t="s">
        <v>2768</v>
      </c>
      <c r="C1463" s="14" t="s">
        <v>2826</v>
      </c>
      <c r="D1463" s="14" t="s">
        <v>2911</v>
      </c>
      <c r="E1463" s="14" t="s">
        <v>4764</v>
      </c>
      <c r="F1463" s="13">
        <v>56</v>
      </c>
      <c r="G1463" s="14" t="s">
        <v>4765</v>
      </c>
      <c r="H1463" s="567" t="s">
        <v>2934</v>
      </c>
      <c r="I1463" s="14" t="s">
        <v>4764</v>
      </c>
      <c r="J1463" s="14" t="s">
        <v>4766</v>
      </c>
      <c r="K1463" s="478">
        <v>1</v>
      </c>
      <c r="L1463" s="220">
        <v>56</v>
      </c>
      <c r="M1463" s="568" t="s">
        <v>4767</v>
      </c>
      <c r="N1463" s="479" t="s">
        <v>2937</v>
      </c>
      <c r="O1463" s="569" t="s">
        <v>2976</v>
      </c>
      <c r="P1463" s="14" t="s">
        <v>3041</v>
      </c>
      <c r="Q1463" s="486" t="s">
        <v>3089</v>
      </c>
      <c r="R1463" s="14">
        <v>0.5</v>
      </c>
      <c r="S1463" s="14">
        <f t="shared" si="1448"/>
        <v>0.28000000000000003</v>
      </c>
      <c r="T1463">
        <f t="shared" si="1484"/>
        <v>106.1</v>
      </c>
      <c r="U1463">
        <f t="shared" si="1485"/>
        <v>0.47125353440150802</v>
      </c>
      <c r="V1463" s="220">
        <f t="shared" si="1456"/>
        <v>0.47125353440150802</v>
      </c>
      <c r="W1463" s="14" t="s">
        <v>81</v>
      </c>
      <c r="X1463">
        <f t="shared" si="1384"/>
        <v>0.47125353440150802</v>
      </c>
      <c r="Y1463" s="499">
        <f t="shared" si="1505"/>
        <v>0.47125353440150802</v>
      </c>
      <c r="Z1463" s="220">
        <f t="shared" ref="Z1463:AA1463" si="1506">Y1463</f>
        <v>0.47125353440150802</v>
      </c>
      <c r="AA1463" s="792">
        <f t="shared" si="1506"/>
        <v>0.47125353440150802</v>
      </c>
      <c r="AB1463" s="18" t="s">
        <v>81</v>
      </c>
      <c r="AC1463" s="13" t="s">
        <v>18</v>
      </c>
      <c r="AD1463" s="13" t="s">
        <v>18</v>
      </c>
      <c r="AE1463" s="12">
        <v>1.9912385503783353E-2</v>
      </c>
      <c r="AF1463" s="12">
        <v>5.6949422540820388E-2</v>
      </c>
      <c r="AG1463" s="12">
        <v>3.8829151732377542E-3</v>
      </c>
      <c r="AH1463" s="12">
        <v>5.6321186778176026E-3</v>
      </c>
    </row>
    <row r="1464" spans="1:34" ht="14.25">
      <c r="A1464" s="617" t="s">
        <v>4763</v>
      </c>
      <c r="B1464" s="794" t="s">
        <v>2768</v>
      </c>
      <c r="C1464" s="617" t="s">
        <v>2826</v>
      </c>
      <c r="D1464" s="617" t="s">
        <v>2911</v>
      </c>
      <c r="E1464" s="617" t="s">
        <v>4764</v>
      </c>
      <c r="F1464" s="799">
        <v>56</v>
      </c>
      <c r="G1464" s="617" t="s">
        <v>4765</v>
      </c>
      <c r="H1464" s="910" t="s">
        <v>2934</v>
      </c>
      <c r="I1464" s="617" t="s">
        <v>4764</v>
      </c>
      <c r="J1464" s="617" t="s">
        <v>4766</v>
      </c>
      <c r="K1464" s="838">
        <v>1</v>
      </c>
      <c r="L1464" s="725">
        <v>56</v>
      </c>
      <c r="M1464" s="911" t="s">
        <v>4767</v>
      </c>
      <c r="N1464" s="841" t="s">
        <v>2937</v>
      </c>
      <c r="O1464" s="912" t="s">
        <v>2976</v>
      </c>
      <c r="P1464" s="617" t="s">
        <v>4226</v>
      </c>
      <c r="Q1464" s="856" t="s">
        <v>4780</v>
      </c>
      <c r="R1464" s="617">
        <v>0.5</v>
      </c>
      <c r="S1464" s="617">
        <f t="shared" si="1448"/>
        <v>0.28000000000000003</v>
      </c>
      <c r="T1464" s="942">
        <f>SUM(R1432:R1464)</f>
        <v>106.1</v>
      </c>
      <c r="U1464" s="617">
        <f t="shared" si="1485"/>
        <v>0.47125353440150802</v>
      </c>
      <c r="V1464" s="725">
        <f t="shared" si="1456"/>
        <v>0.47125353440150802</v>
      </c>
      <c r="W1464" s="617" t="s">
        <v>423</v>
      </c>
      <c r="X1464" s="617">
        <f t="shared" si="1384"/>
        <v>0.47125353440150802</v>
      </c>
      <c r="Y1464" s="725" t="s">
        <v>1666</v>
      </c>
      <c r="Z1464" s="725">
        <f t="shared" ref="Z1464:Z1467" si="1507">X1464</f>
        <v>0.47125353440150802</v>
      </c>
      <c r="AA1464" s="455">
        <f t="shared" ref="AA1464:AA1467" si="1508">Z1464</f>
        <v>0.47125353440150802</v>
      </c>
      <c r="AB1464" s="793" t="s">
        <v>2775</v>
      </c>
      <c r="AC1464" s="799" t="s">
        <v>2953</v>
      </c>
      <c r="AD1464" s="799" t="s">
        <v>2954</v>
      </c>
      <c r="AE1464" s="635">
        <v>8.22790593034603E-2</v>
      </c>
      <c r="AF1464" s="635">
        <v>0.15758024213268212</v>
      </c>
      <c r="AG1464" s="635">
        <v>9.7596766979824417E-6</v>
      </c>
      <c r="AH1464" s="635">
        <v>3.6045161743415983E-3</v>
      </c>
    </row>
    <row r="1465" spans="1:34" ht="14.25">
      <c r="A1465" s="14" t="s">
        <v>4781</v>
      </c>
      <c r="B1465" s="24" t="s">
        <v>2768</v>
      </c>
      <c r="C1465" s="14" t="s">
        <v>2832</v>
      </c>
      <c r="D1465" s="14" t="s">
        <v>2911</v>
      </c>
      <c r="E1465" s="14" t="s">
        <v>4782</v>
      </c>
      <c r="F1465" s="13">
        <v>50</v>
      </c>
      <c r="G1465" s="14" t="s">
        <v>3704</v>
      </c>
      <c r="H1465" s="567" t="s">
        <v>2934</v>
      </c>
      <c r="I1465" s="14" t="s">
        <v>4782</v>
      </c>
      <c r="J1465" s="14" t="s">
        <v>4783</v>
      </c>
      <c r="K1465" s="478">
        <v>1</v>
      </c>
      <c r="L1465" s="220">
        <v>50</v>
      </c>
      <c r="M1465" s="568" t="s">
        <v>4784</v>
      </c>
      <c r="N1465" s="479" t="s">
        <v>2937</v>
      </c>
      <c r="O1465" s="569" t="s">
        <v>4785</v>
      </c>
      <c r="P1465" s="14" t="s">
        <v>3483</v>
      </c>
      <c r="Q1465" s="88" t="s">
        <v>3719</v>
      </c>
      <c r="R1465" s="14">
        <v>26</v>
      </c>
      <c r="S1465" s="14">
        <f t="shared" si="1448"/>
        <v>13</v>
      </c>
      <c r="T1465">
        <f t="shared" ref="T1465:T1509" si="1509">SUM(R$1465:R$1510)</f>
        <v>96.425999999999988</v>
      </c>
      <c r="U1465">
        <f t="shared" si="1485"/>
        <v>26.963681994482819</v>
      </c>
      <c r="V1465" s="220">
        <f t="shared" si="1456"/>
        <v>26.963681994482819</v>
      </c>
      <c r="W1465" s="14" t="s">
        <v>301</v>
      </c>
      <c r="X1465">
        <f t="shared" si="1384"/>
        <v>26.963681994482819</v>
      </c>
      <c r="Y1465" s="220">
        <f>SUM(X1465,X1481,X1483,X1485,X1501,X1503)</f>
        <v>27.792815215813171</v>
      </c>
      <c r="Z1465" s="220">
        <f t="shared" si="1507"/>
        <v>26.963681994482819</v>
      </c>
      <c r="AA1465" s="792">
        <f t="shared" si="1508"/>
        <v>26.963681994482819</v>
      </c>
      <c r="AB1465" s="18" t="s">
        <v>301</v>
      </c>
      <c r="AC1465" s="13" t="s">
        <v>3485</v>
      </c>
      <c r="AD1465" s="13" t="s">
        <v>2944</v>
      </c>
      <c r="AE1465" s="12">
        <v>4.7062756261925113E-3</v>
      </c>
      <c r="AF1465" s="12">
        <v>3.8210906557435767E-2</v>
      </c>
      <c r="AG1465" s="12">
        <v>7.6086956521739124E-5</v>
      </c>
      <c r="AH1465" s="12">
        <v>5.9908272287602653E-4</v>
      </c>
    </row>
    <row r="1466" spans="1:34" ht="14.25">
      <c r="A1466" s="14" t="s">
        <v>4781</v>
      </c>
      <c r="B1466" s="24" t="s">
        <v>2768</v>
      </c>
      <c r="C1466" s="14" t="s">
        <v>2832</v>
      </c>
      <c r="D1466" s="14" t="s">
        <v>2911</v>
      </c>
      <c r="E1466" s="14" t="s">
        <v>4782</v>
      </c>
      <c r="F1466" s="13">
        <v>50</v>
      </c>
      <c r="G1466" s="14" t="s">
        <v>3704</v>
      </c>
      <c r="H1466" s="567" t="s">
        <v>2934</v>
      </c>
      <c r="I1466" s="14" t="s">
        <v>4782</v>
      </c>
      <c r="J1466" s="14" t="s">
        <v>4783</v>
      </c>
      <c r="K1466" s="478">
        <v>1</v>
      </c>
      <c r="L1466" s="220">
        <v>50</v>
      </c>
      <c r="M1466" s="568" t="s">
        <v>4784</v>
      </c>
      <c r="N1466" s="479" t="s">
        <v>2937</v>
      </c>
      <c r="O1466" s="569" t="s">
        <v>4785</v>
      </c>
      <c r="P1466" s="14" t="s">
        <v>3048</v>
      </c>
      <c r="Q1466" s="14" t="s">
        <v>4786</v>
      </c>
      <c r="R1466" s="14">
        <v>7</v>
      </c>
      <c r="S1466" s="14">
        <f t="shared" si="1448"/>
        <v>3.5000000000000004</v>
      </c>
      <c r="T1466">
        <f t="shared" si="1509"/>
        <v>96.425999999999988</v>
      </c>
      <c r="U1466">
        <f t="shared" si="1485"/>
        <v>7.2594528446684512</v>
      </c>
      <c r="V1466" s="220">
        <f t="shared" si="1456"/>
        <v>7.2594528446684512</v>
      </c>
      <c r="W1466" s="14" t="s">
        <v>2712</v>
      </c>
      <c r="X1466">
        <f t="shared" si="1384"/>
        <v>7.2594528446684512</v>
      </c>
      <c r="Y1466" s="220">
        <f>SUM(X1466,X1467,X1493,)</f>
        <v>16.852301246551761</v>
      </c>
      <c r="Z1466" s="220">
        <f t="shared" si="1507"/>
        <v>7.2594528446684512</v>
      </c>
      <c r="AA1466" s="792">
        <f t="shared" si="1508"/>
        <v>7.2594528446684512</v>
      </c>
      <c r="AB1466" s="18" t="s">
        <v>2712</v>
      </c>
      <c r="AC1466" s="13" t="s">
        <v>878</v>
      </c>
      <c r="AD1466" s="13" t="s">
        <v>3050</v>
      </c>
      <c r="AE1466" s="12">
        <v>4.0401172748815169E-2</v>
      </c>
      <c r="AF1466" s="12">
        <v>0.11878669834123222</v>
      </c>
      <c r="AG1466" s="12">
        <v>7.919516026066351E-4</v>
      </c>
      <c r="AH1466" s="12">
        <v>7.4518613744075819E-3</v>
      </c>
    </row>
    <row r="1467" spans="1:34" ht="14.25">
      <c r="A1467" s="14" t="s">
        <v>4781</v>
      </c>
      <c r="B1467" s="24" t="s">
        <v>2768</v>
      </c>
      <c r="C1467" s="14" t="s">
        <v>2832</v>
      </c>
      <c r="D1467" s="14" t="s">
        <v>2911</v>
      </c>
      <c r="E1467" s="14" t="s">
        <v>4782</v>
      </c>
      <c r="F1467" s="13">
        <v>50</v>
      </c>
      <c r="G1467" s="14" t="s">
        <v>3704</v>
      </c>
      <c r="H1467" s="567" t="s">
        <v>2934</v>
      </c>
      <c r="I1467" s="14" t="s">
        <v>4782</v>
      </c>
      <c r="J1467" s="14" t="s">
        <v>4783</v>
      </c>
      <c r="K1467" s="478">
        <v>1</v>
      </c>
      <c r="L1467" s="220">
        <v>50</v>
      </c>
      <c r="M1467" s="568" t="s">
        <v>4784</v>
      </c>
      <c r="N1467" s="479" t="s">
        <v>2937</v>
      </c>
      <c r="O1467" s="569" t="s">
        <v>4785</v>
      </c>
      <c r="P1467" s="14" t="s">
        <v>2994</v>
      </c>
      <c r="Q1467" s="14" t="s">
        <v>4787</v>
      </c>
      <c r="R1467" s="14">
        <v>7</v>
      </c>
      <c r="S1467" s="14">
        <f t="shared" si="1448"/>
        <v>3.5000000000000004</v>
      </c>
      <c r="T1467">
        <f t="shared" si="1509"/>
        <v>96.425999999999988</v>
      </c>
      <c r="U1467">
        <f t="shared" si="1485"/>
        <v>7.2594528446684512</v>
      </c>
      <c r="V1467" s="220">
        <f t="shared" si="1456"/>
        <v>7.2594528446684512</v>
      </c>
      <c r="W1467" s="14" t="s">
        <v>121</v>
      </c>
      <c r="X1467">
        <f t="shared" si="1384"/>
        <v>7.2594528446684512</v>
      </c>
      <c r="Y1467" s="220" t="s">
        <v>1666</v>
      </c>
      <c r="Z1467" s="220">
        <f t="shared" si="1507"/>
        <v>7.2594528446684512</v>
      </c>
      <c r="AA1467" s="792">
        <f t="shared" si="1508"/>
        <v>7.2594528446684512</v>
      </c>
      <c r="AB1467" s="458" t="s">
        <v>121</v>
      </c>
      <c r="AC1467" s="14" t="s">
        <v>121</v>
      </c>
      <c r="AD1467" s="14" t="s">
        <v>3016</v>
      </c>
      <c r="AE1467" s="12">
        <v>4.1127278199052132E-2</v>
      </c>
      <c r="AF1467" s="12">
        <v>0.12092157867298578</v>
      </c>
      <c r="AG1467" s="12">
        <v>8.0618486208530824E-4</v>
      </c>
      <c r="AH1467" s="12">
        <v>7.5857890995260661E-3</v>
      </c>
    </row>
    <row r="1468" spans="1:34" ht="14.25">
      <c r="A1468" s="14" t="s">
        <v>4781</v>
      </c>
      <c r="B1468" s="24" t="s">
        <v>2768</v>
      </c>
      <c r="C1468" s="14" t="s">
        <v>2832</v>
      </c>
      <c r="D1468" s="14" t="s">
        <v>2911</v>
      </c>
      <c r="E1468" s="14" t="s">
        <v>4782</v>
      </c>
      <c r="F1468" s="13">
        <v>50</v>
      </c>
      <c r="G1468" s="14" t="s">
        <v>3704</v>
      </c>
      <c r="H1468" s="567" t="s">
        <v>2934</v>
      </c>
      <c r="I1468" s="14" t="s">
        <v>4782</v>
      </c>
      <c r="J1468" s="14" t="s">
        <v>4783</v>
      </c>
      <c r="K1468" s="478">
        <v>1</v>
      </c>
      <c r="L1468" s="220">
        <v>50</v>
      </c>
      <c r="M1468" s="568" t="s">
        <v>4784</v>
      </c>
      <c r="N1468" s="479" t="s">
        <v>2937</v>
      </c>
      <c r="O1468" s="569" t="s">
        <v>2976</v>
      </c>
      <c r="P1468" s="14" t="s">
        <v>2945</v>
      </c>
      <c r="Q1468" s="435" t="s">
        <v>2946</v>
      </c>
      <c r="R1468" s="14">
        <v>10</v>
      </c>
      <c r="S1468" s="14">
        <f t="shared" si="1448"/>
        <v>5</v>
      </c>
      <c r="T1468">
        <f t="shared" si="1509"/>
        <v>96.425999999999988</v>
      </c>
      <c r="U1468">
        <f t="shared" si="1485"/>
        <v>10.370646920954931</v>
      </c>
      <c r="V1468" s="220">
        <f t="shared" si="1456"/>
        <v>10.370646920954931</v>
      </c>
      <c r="W1468" s="14" t="s">
        <v>433</v>
      </c>
      <c r="X1468">
        <f t="shared" si="1384"/>
        <v>10.370646920954931</v>
      </c>
      <c r="Y1468" s="220">
        <f>SUM(X1468,X1474,X1480,X1495,X1500)</f>
        <v>11.469935494576154</v>
      </c>
      <c r="Z1468" s="220">
        <f t="shared" ref="Z1468:AA1468" si="1510">Y1468</f>
        <v>11.469935494576154</v>
      </c>
      <c r="AA1468" s="792">
        <f t="shared" si="1510"/>
        <v>11.469935494576154</v>
      </c>
      <c r="AB1468" s="18" t="s">
        <v>433</v>
      </c>
      <c r="AC1468" s="13" t="s">
        <v>433</v>
      </c>
      <c r="AD1468" s="13" t="s">
        <v>2947</v>
      </c>
      <c r="AE1468" s="12">
        <v>3.0104466724907065E-4</v>
      </c>
      <c r="AF1468" s="12">
        <v>1.2500000000000001E-2</v>
      </c>
      <c r="AG1468" s="12">
        <v>5.1818181818181835E-4</v>
      </c>
      <c r="AH1468" s="12">
        <v>4.0084080366977777E-4</v>
      </c>
    </row>
    <row r="1469" spans="1:34" ht="14.25">
      <c r="A1469" s="14" t="s">
        <v>4781</v>
      </c>
      <c r="B1469" s="24" t="s">
        <v>2768</v>
      </c>
      <c r="C1469" s="14" t="s">
        <v>2832</v>
      </c>
      <c r="D1469" s="14" t="s">
        <v>2911</v>
      </c>
      <c r="E1469" s="14" t="s">
        <v>4782</v>
      </c>
      <c r="F1469" s="13">
        <v>50</v>
      </c>
      <c r="G1469" s="14" t="s">
        <v>3704</v>
      </c>
      <c r="H1469" s="567" t="s">
        <v>2934</v>
      </c>
      <c r="I1469" s="14" t="s">
        <v>4782</v>
      </c>
      <c r="J1469" s="14" t="s">
        <v>4783</v>
      </c>
      <c r="K1469" s="478">
        <v>1</v>
      </c>
      <c r="L1469" s="220">
        <v>50</v>
      </c>
      <c r="M1469" s="568" t="s">
        <v>4784</v>
      </c>
      <c r="N1469" s="479" t="s">
        <v>2937</v>
      </c>
      <c r="O1469" s="569" t="s">
        <v>4785</v>
      </c>
      <c r="P1469" s="14" t="s">
        <v>3526</v>
      </c>
      <c r="Q1469" s="14" t="s">
        <v>4788</v>
      </c>
      <c r="R1469" s="14">
        <v>5.4</v>
      </c>
      <c r="S1469" s="14">
        <f t="shared" si="1448"/>
        <v>2.7</v>
      </c>
      <c r="T1469">
        <f t="shared" si="1509"/>
        <v>96.425999999999988</v>
      </c>
      <c r="U1469">
        <f t="shared" si="1485"/>
        <v>5.6001493373156626</v>
      </c>
      <c r="V1469" s="220">
        <f t="shared" si="1456"/>
        <v>5.6001493373156626</v>
      </c>
      <c r="W1469" s="14" t="s">
        <v>1114</v>
      </c>
      <c r="X1469">
        <f t="shared" si="1384"/>
        <v>5.6001493373156626</v>
      </c>
      <c r="Y1469" s="220">
        <f t="shared" ref="Y1469:AA1469" si="1511">X1469</f>
        <v>5.6001493373156626</v>
      </c>
      <c r="Z1469" s="220">
        <f t="shared" si="1511"/>
        <v>5.6001493373156626</v>
      </c>
      <c r="AA1469" s="792">
        <f t="shared" si="1511"/>
        <v>5.6001493373156626</v>
      </c>
      <c r="AB1469" s="18" t="s">
        <v>1114</v>
      </c>
      <c r="AC1469" s="622" t="s">
        <v>4142</v>
      </c>
      <c r="AD1469" s="14" t="s">
        <v>3529</v>
      </c>
      <c r="AE1469" s="12">
        <v>3.8297066240151499E-4</v>
      </c>
      <c r="AF1469" s="12">
        <v>1.2726079536012401E-2</v>
      </c>
      <c r="AG1469" s="12">
        <v>1.225E-5</v>
      </c>
      <c r="AH1469" s="12">
        <v>1.5432370941286443E-5</v>
      </c>
    </row>
    <row r="1470" spans="1:34" ht="14.25">
      <c r="A1470" s="14" t="s">
        <v>4781</v>
      </c>
      <c r="B1470" s="24" t="s">
        <v>2768</v>
      </c>
      <c r="C1470" s="14" t="s">
        <v>2832</v>
      </c>
      <c r="D1470" s="14" t="s">
        <v>2911</v>
      </c>
      <c r="E1470" s="14" t="s">
        <v>4782</v>
      </c>
      <c r="F1470" s="13">
        <v>50</v>
      </c>
      <c r="G1470" s="14" t="s">
        <v>3704</v>
      </c>
      <c r="H1470" s="567" t="s">
        <v>2934</v>
      </c>
      <c r="I1470" s="14" t="s">
        <v>4782</v>
      </c>
      <c r="J1470" s="14" t="s">
        <v>4783</v>
      </c>
      <c r="K1470" s="478">
        <v>1</v>
      </c>
      <c r="L1470" s="220">
        <v>50</v>
      </c>
      <c r="M1470" s="568" t="s">
        <v>4784</v>
      </c>
      <c r="N1470" s="479" t="s">
        <v>2937</v>
      </c>
      <c r="O1470" s="569" t="s">
        <v>4785</v>
      </c>
      <c r="P1470" s="14" t="s">
        <v>421</v>
      </c>
      <c r="Q1470" s="14" t="s">
        <v>2952</v>
      </c>
      <c r="R1470" s="14">
        <v>5</v>
      </c>
      <c r="S1470" s="14">
        <f t="shared" si="1448"/>
        <v>2.5</v>
      </c>
      <c r="T1470">
        <f t="shared" si="1509"/>
        <v>96.425999999999988</v>
      </c>
      <c r="U1470">
        <f t="shared" si="1485"/>
        <v>5.1853234604774654</v>
      </c>
      <c r="V1470" s="220">
        <f t="shared" si="1456"/>
        <v>5.1853234604774654</v>
      </c>
      <c r="W1470" s="14" t="s">
        <v>424</v>
      </c>
      <c r="X1470">
        <f t="shared" si="1384"/>
        <v>5.1853234604774654</v>
      </c>
      <c r="Y1470" s="220">
        <f>SUM(X1470,X1505)</f>
        <v>5.392736398896564</v>
      </c>
      <c r="Z1470" s="220">
        <f>X1470</f>
        <v>5.1853234604774654</v>
      </c>
      <c r="AA1470" s="792">
        <f t="shared" ref="AA1470:AA1472" si="1512">Z1470</f>
        <v>5.1853234604774654</v>
      </c>
      <c r="AB1470" s="18" t="s">
        <v>2833</v>
      </c>
      <c r="AC1470" s="13" t="s">
        <v>2953</v>
      </c>
      <c r="AD1470" s="13" t="s">
        <v>2954</v>
      </c>
      <c r="AE1470" s="12">
        <v>3.372204299368619E-2</v>
      </c>
      <c r="AF1470" s="12">
        <v>6.4584205812988751E-2</v>
      </c>
      <c r="AG1470" s="12">
        <v>3.9999999999999998E-6</v>
      </c>
      <c r="AH1470" s="12">
        <v>1.477309663377164E-3</v>
      </c>
    </row>
    <row r="1471" spans="1:34" ht="14.25">
      <c r="A1471" s="14" t="s">
        <v>4781</v>
      </c>
      <c r="B1471" s="24" t="s">
        <v>2768</v>
      </c>
      <c r="C1471" s="14" t="s">
        <v>2832</v>
      </c>
      <c r="D1471" s="14" t="s">
        <v>2911</v>
      </c>
      <c r="E1471" s="14" t="s">
        <v>4782</v>
      </c>
      <c r="F1471" s="13">
        <v>50</v>
      </c>
      <c r="G1471" s="14" t="s">
        <v>3704</v>
      </c>
      <c r="H1471" s="567" t="s">
        <v>2934</v>
      </c>
      <c r="I1471" s="14" t="s">
        <v>4782</v>
      </c>
      <c r="J1471" s="14" t="s">
        <v>4783</v>
      </c>
      <c r="K1471" s="478">
        <v>1</v>
      </c>
      <c r="L1471" s="220">
        <v>50</v>
      </c>
      <c r="M1471" s="568" t="s">
        <v>4784</v>
      </c>
      <c r="N1471" s="479" t="s">
        <v>2937</v>
      </c>
      <c r="O1471" s="569" t="s">
        <v>4785</v>
      </c>
      <c r="P1471" s="655" t="s">
        <v>2977</v>
      </c>
      <c r="Q1471" s="486" t="s">
        <v>4789</v>
      </c>
      <c r="R1471" s="14">
        <v>4.3</v>
      </c>
      <c r="S1471" s="14">
        <f t="shared" si="1448"/>
        <v>2.15</v>
      </c>
      <c r="T1471">
        <f t="shared" si="1509"/>
        <v>96.425999999999988</v>
      </c>
      <c r="U1471">
        <f t="shared" si="1485"/>
        <v>4.4593781760106204</v>
      </c>
      <c r="V1471" s="220">
        <f t="shared" si="1456"/>
        <v>4.4593781760106204</v>
      </c>
      <c r="W1471" s="14" t="s">
        <v>227</v>
      </c>
      <c r="X1471">
        <f t="shared" si="1384"/>
        <v>4.4593781760106204</v>
      </c>
      <c r="Y1471" s="220">
        <f>SUM(X1471,X1472,X1490,X1494,X1502)</f>
        <v>11.148445440026551</v>
      </c>
      <c r="Z1471" s="220">
        <f>SUM(X1471,X1490)</f>
        <v>7.0520399062493535</v>
      </c>
      <c r="AA1471" s="792">
        <f t="shared" si="1512"/>
        <v>7.0520399062493535</v>
      </c>
      <c r="AB1471" s="18" t="s">
        <v>2530</v>
      </c>
      <c r="AC1471" s="13" t="s">
        <v>55</v>
      </c>
      <c r="AD1471" s="13" t="s">
        <v>2979</v>
      </c>
      <c r="AE1471" s="12">
        <v>2.5055367220000002E-3</v>
      </c>
      <c r="AF1471" s="12">
        <v>3.8459841414181101E-2</v>
      </c>
      <c r="AG1471" s="12">
        <v>1.1035422343324251E-4</v>
      </c>
      <c r="AH1471" s="12">
        <v>8.109653861711444E-4</v>
      </c>
    </row>
    <row r="1472" spans="1:34" ht="14.25">
      <c r="A1472" s="14" t="s">
        <v>4781</v>
      </c>
      <c r="B1472" s="24" t="s">
        <v>2768</v>
      </c>
      <c r="C1472" s="14" t="s">
        <v>2832</v>
      </c>
      <c r="D1472" s="14" t="s">
        <v>2911</v>
      </c>
      <c r="E1472" s="14" t="s">
        <v>4782</v>
      </c>
      <c r="F1472" s="13">
        <v>50</v>
      </c>
      <c r="G1472" s="14" t="s">
        <v>3704</v>
      </c>
      <c r="H1472" s="567" t="s">
        <v>2934</v>
      </c>
      <c r="I1472" s="14" t="s">
        <v>4782</v>
      </c>
      <c r="J1472" s="14" t="s">
        <v>4783</v>
      </c>
      <c r="K1472" s="478">
        <v>1</v>
      </c>
      <c r="L1472" s="220">
        <v>50</v>
      </c>
      <c r="M1472" s="568" t="s">
        <v>4784</v>
      </c>
      <c r="N1472" s="479" t="s">
        <v>2937</v>
      </c>
      <c r="O1472" s="569" t="s">
        <v>4785</v>
      </c>
      <c r="P1472" s="14" t="s">
        <v>2962</v>
      </c>
      <c r="Q1472" s="14" t="s">
        <v>4790</v>
      </c>
      <c r="R1472" s="14">
        <v>3.2</v>
      </c>
      <c r="S1472" s="14">
        <f t="shared" si="1448"/>
        <v>1.6</v>
      </c>
      <c r="T1472">
        <f t="shared" si="1509"/>
        <v>96.425999999999988</v>
      </c>
      <c r="U1472">
        <f t="shared" si="1485"/>
        <v>3.3186070147055777</v>
      </c>
      <c r="V1472" s="220">
        <f t="shared" si="1456"/>
        <v>3.3186070147055777</v>
      </c>
      <c r="W1472" s="14" t="s">
        <v>425</v>
      </c>
      <c r="X1472">
        <f t="shared" si="1384"/>
        <v>3.3186070147055777</v>
      </c>
      <c r="Y1472" s="220" t="s">
        <v>1666</v>
      </c>
      <c r="Z1472" s="220">
        <f>SUM(X1472,X1494,X1502)</f>
        <v>4.0964055337771974</v>
      </c>
      <c r="AA1472" s="792">
        <f t="shared" si="1512"/>
        <v>4.0964055337771974</v>
      </c>
      <c r="AB1472" s="18" t="s">
        <v>2525</v>
      </c>
      <c r="AC1472" s="13" t="s">
        <v>2964</v>
      </c>
      <c r="AD1472" s="13" t="s">
        <v>2965</v>
      </c>
      <c r="AE1472" s="12">
        <v>3.8102374934982654E-3</v>
      </c>
      <c r="AF1472" s="12">
        <v>0.20470422547079484</v>
      </c>
      <c r="AG1472" s="12">
        <v>1.210810810810811E-4</v>
      </c>
      <c r="AH1472" s="12">
        <v>1.0002400855855065E-3</v>
      </c>
    </row>
    <row r="1473" spans="1:34" ht="14.25">
      <c r="A1473" s="14" t="s">
        <v>4781</v>
      </c>
      <c r="B1473" s="24" t="s">
        <v>2768</v>
      </c>
      <c r="C1473" s="14" t="s">
        <v>2832</v>
      </c>
      <c r="D1473" s="14" t="s">
        <v>2911</v>
      </c>
      <c r="E1473" s="14" t="s">
        <v>4782</v>
      </c>
      <c r="F1473" s="13">
        <v>50</v>
      </c>
      <c r="G1473" s="14" t="s">
        <v>3704</v>
      </c>
      <c r="H1473" s="567" t="s">
        <v>2934</v>
      </c>
      <c r="I1473" s="14" t="s">
        <v>4782</v>
      </c>
      <c r="J1473" s="14" t="s">
        <v>4783</v>
      </c>
      <c r="K1473" s="478">
        <v>1</v>
      </c>
      <c r="L1473" s="220">
        <v>50</v>
      </c>
      <c r="M1473" s="568" t="s">
        <v>4784</v>
      </c>
      <c r="N1473" s="479" t="s">
        <v>2937</v>
      </c>
      <c r="O1473" s="569" t="s">
        <v>4785</v>
      </c>
      <c r="P1473" s="14" t="s">
        <v>4002</v>
      </c>
      <c r="Q1473" s="486" t="s">
        <v>4791</v>
      </c>
      <c r="R1473" s="14">
        <v>1.7</v>
      </c>
      <c r="S1473" s="14">
        <f t="shared" si="1448"/>
        <v>0.85000000000000009</v>
      </c>
      <c r="T1473">
        <f t="shared" si="1509"/>
        <v>96.425999999999988</v>
      </c>
      <c r="U1473">
        <f t="shared" si="1485"/>
        <v>1.7630099765623382</v>
      </c>
      <c r="V1473" s="220">
        <f t="shared" si="1456"/>
        <v>1.7630099765623382</v>
      </c>
      <c r="W1473" s="14" t="s">
        <v>2820</v>
      </c>
      <c r="X1473">
        <f t="shared" si="1384"/>
        <v>1.7630099765623382</v>
      </c>
      <c r="Y1473" s="220">
        <f>SUM(X1473,X1477)</f>
        <v>3.8371393607533246</v>
      </c>
      <c r="Z1473" s="220">
        <f t="shared" ref="Z1473:AA1473" si="1513">Y1473</f>
        <v>3.8371393607533246</v>
      </c>
      <c r="AA1473" s="792">
        <f t="shared" si="1513"/>
        <v>3.8371393607533246</v>
      </c>
      <c r="AB1473" s="18" t="s">
        <v>2834</v>
      </c>
      <c r="AC1473" s="13" t="s">
        <v>3875</v>
      </c>
      <c r="AD1473" s="13" t="s">
        <v>3876</v>
      </c>
      <c r="AE1473" s="12">
        <v>2.38916680630451E-3</v>
      </c>
      <c r="AF1473" s="12">
        <v>0.16192713668914901</v>
      </c>
      <c r="AG1473" s="12">
        <v>4.8714285714285716E-4</v>
      </c>
      <c r="AH1473" s="12">
        <v>2.358948129596642E-3</v>
      </c>
    </row>
    <row r="1474" spans="1:34" ht="14.25">
      <c r="A1474" s="14" t="s">
        <v>4781</v>
      </c>
      <c r="B1474" s="24" t="s">
        <v>2768</v>
      </c>
      <c r="C1474" s="14" t="s">
        <v>2832</v>
      </c>
      <c r="D1474" s="14" t="s">
        <v>2911</v>
      </c>
      <c r="E1474" s="14" t="s">
        <v>4782</v>
      </c>
      <c r="F1474" s="13">
        <v>50</v>
      </c>
      <c r="G1474" s="14" t="s">
        <v>3704</v>
      </c>
      <c r="H1474" s="567" t="s">
        <v>2934</v>
      </c>
      <c r="I1474" s="14" t="s">
        <v>4782</v>
      </c>
      <c r="J1474" s="14" t="s">
        <v>4783</v>
      </c>
      <c r="K1474" s="478">
        <v>1</v>
      </c>
      <c r="L1474" s="220">
        <v>50</v>
      </c>
      <c r="M1474" s="568" t="s">
        <v>4784</v>
      </c>
      <c r="N1474" s="479" t="s">
        <v>2937</v>
      </c>
      <c r="O1474" s="569" t="s">
        <v>4785</v>
      </c>
      <c r="P1474" s="14" t="s">
        <v>2945</v>
      </c>
      <c r="Q1474" s="14" t="s">
        <v>4792</v>
      </c>
      <c r="R1474" s="14">
        <v>0.24</v>
      </c>
      <c r="S1474" s="14">
        <f t="shared" si="1448"/>
        <v>0.12</v>
      </c>
      <c r="T1474">
        <f t="shared" si="1509"/>
        <v>96.425999999999988</v>
      </c>
      <c r="U1474">
        <f t="shared" si="1485"/>
        <v>0.24889552610291832</v>
      </c>
      <c r="V1474" s="220">
        <f t="shared" si="1456"/>
        <v>0.24889552610291832</v>
      </c>
      <c r="W1474" s="14" t="s">
        <v>433</v>
      </c>
      <c r="X1474">
        <f t="shared" si="1384"/>
        <v>0.24889552610291832</v>
      </c>
      <c r="Y1474" s="220" t="s">
        <v>1666</v>
      </c>
      <c r="Z1474" s="220" t="s">
        <v>1666</v>
      </c>
      <c r="AA1474" s="792" t="str">
        <f t="shared" ref="AA1474:AH1474" si="1514">Z1474</f>
        <v>*</v>
      </c>
      <c r="AB1474" s="497" t="str">
        <f t="shared" si="1514"/>
        <v>*</v>
      </c>
      <c r="AC1474" s="497" t="str">
        <f t="shared" si="1514"/>
        <v>*</v>
      </c>
      <c r="AD1474" s="497" t="str">
        <f t="shared" si="1514"/>
        <v>*</v>
      </c>
      <c r="AE1474" s="483" t="str">
        <f t="shared" si="1514"/>
        <v>*</v>
      </c>
      <c r="AF1474" s="483" t="str">
        <f t="shared" si="1514"/>
        <v>*</v>
      </c>
      <c r="AG1474" s="483" t="str">
        <f t="shared" si="1514"/>
        <v>*</v>
      </c>
      <c r="AH1474" s="483" t="str">
        <f t="shared" si="1514"/>
        <v>*</v>
      </c>
    </row>
    <row r="1475" spans="1:34" ht="14.25">
      <c r="A1475" s="14" t="s">
        <v>4781</v>
      </c>
      <c r="B1475" s="24" t="s">
        <v>2768</v>
      </c>
      <c r="C1475" s="14" t="s">
        <v>2832</v>
      </c>
      <c r="D1475" s="14" t="s">
        <v>2911</v>
      </c>
      <c r="E1475" s="14" t="s">
        <v>4782</v>
      </c>
      <c r="F1475" s="13">
        <v>50</v>
      </c>
      <c r="G1475" s="14" t="s">
        <v>3704</v>
      </c>
      <c r="H1475" s="567" t="s">
        <v>2934</v>
      </c>
      <c r="I1475" s="14" t="s">
        <v>4782</v>
      </c>
      <c r="J1475" s="14" t="s">
        <v>4783</v>
      </c>
      <c r="K1475" s="478">
        <v>1</v>
      </c>
      <c r="L1475" s="220">
        <v>50</v>
      </c>
      <c r="M1475" s="568" t="s">
        <v>4784</v>
      </c>
      <c r="N1475" s="479" t="s">
        <v>2937</v>
      </c>
      <c r="O1475" s="569" t="s">
        <v>4785</v>
      </c>
      <c r="P1475" s="14" t="s">
        <v>83</v>
      </c>
      <c r="Q1475" s="14" t="s">
        <v>4793</v>
      </c>
      <c r="R1475" s="14">
        <v>0.02</v>
      </c>
      <c r="S1475" s="14">
        <f t="shared" si="1448"/>
        <v>0.01</v>
      </c>
      <c r="T1475">
        <f t="shared" si="1509"/>
        <v>96.425999999999988</v>
      </c>
      <c r="U1475">
        <f t="shared" si="1485"/>
        <v>2.0741293841909862E-2</v>
      </c>
      <c r="V1475" s="220">
        <f t="shared" si="1456"/>
        <v>2.0741293841909862E-2</v>
      </c>
      <c r="W1475" s="14" t="s">
        <v>83</v>
      </c>
      <c r="X1475">
        <f t="shared" si="1384"/>
        <v>2.0741293841909862E-2</v>
      </c>
      <c r="Y1475" s="499">
        <f t="shared" ref="Y1475:AA1475" si="1515">X1475</f>
        <v>2.0741293841909862E-2</v>
      </c>
      <c r="Z1475" s="220">
        <f t="shared" si="1515"/>
        <v>2.0741293841909862E-2</v>
      </c>
      <c r="AA1475" s="792">
        <f t="shared" si="1515"/>
        <v>2.0741293841909862E-2</v>
      </c>
      <c r="AB1475" s="18" t="s">
        <v>83</v>
      </c>
      <c r="AC1475" s="14" t="s">
        <v>83</v>
      </c>
      <c r="AD1475" s="14" t="s">
        <v>2951</v>
      </c>
      <c r="AE1475" s="12">
        <v>0</v>
      </c>
      <c r="AF1475" s="12">
        <v>0</v>
      </c>
      <c r="AG1475" s="12">
        <v>0</v>
      </c>
      <c r="AH1475" s="12">
        <v>0</v>
      </c>
    </row>
    <row r="1476" spans="1:34" ht="14.25">
      <c r="A1476" s="14" t="s">
        <v>4781</v>
      </c>
      <c r="B1476" s="24" t="s">
        <v>2768</v>
      </c>
      <c r="C1476" s="14" t="s">
        <v>2832</v>
      </c>
      <c r="D1476" s="14" t="s">
        <v>2911</v>
      </c>
      <c r="E1476" s="14" t="s">
        <v>4782</v>
      </c>
      <c r="F1476" s="13">
        <v>50</v>
      </c>
      <c r="G1476" s="14" t="s">
        <v>3704</v>
      </c>
      <c r="H1476" s="567" t="s">
        <v>2934</v>
      </c>
      <c r="I1476" s="14" t="s">
        <v>4782</v>
      </c>
      <c r="J1476" s="14" t="s">
        <v>4783</v>
      </c>
      <c r="K1476" s="478">
        <v>1</v>
      </c>
      <c r="L1476" s="220">
        <v>50</v>
      </c>
      <c r="M1476" s="568" t="s">
        <v>4784</v>
      </c>
      <c r="N1476" s="479" t="s">
        <v>2937</v>
      </c>
      <c r="O1476" s="569" t="s">
        <v>4785</v>
      </c>
      <c r="P1476" s="14" t="s">
        <v>3862</v>
      </c>
      <c r="Q1476" s="486" t="s">
        <v>4794</v>
      </c>
      <c r="R1476" s="14">
        <v>0.02</v>
      </c>
      <c r="S1476" s="14">
        <f t="shared" si="1448"/>
        <v>0.01</v>
      </c>
      <c r="T1476">
        <f t="shared" si="1509"/>
        <v>96.425999999999988</v>
      </c>
      <c r="U1476">
        <f t="shared" si="1485"/>
        <v>2.0741293841909862E-2</v>
      </c>
      <c r="V1476" s="220">
        <f t="shared" si="1456"/>
        <v>2.0741293841909862E-2</v>
      </c>
      <c r="W1476" s="14" t="s">
        <v>4161</v>
      </c>
      <c r="X1476">
        <f t="shared" si="1384"/>
        <v>2.0741293841909862E-2</v>
      </c>
      <c r="Y1476" s="499">
        <f t="shared" ref="Y1476:AA1476" si="1516">X1476</f>
        <v>2.0741293841909862E-2</v>
      </c>
      <c r="Z1476" s="220">
        <f t="shared" si="1516"/>
        <v>2.0741293841909862E-2</v>
      </c>
      <c r="AA1476" s="792">
        <f t="shared" si="1516"/>
        <v>2.0741293841909862E-2</v>
      </c>
      <c r="AB1476" s="18" t="s">
        <v>2662</v>
      </c>
      <c r="AC1476" s="13" t="s">
        <v>208</v>
      </c>
      <c r="AD1476" s="13" t="s">
        <v>3864</v>
      </c>
      <c r="AE1476" s="12">
        <v>6.399192301960112E-3</v>
      </c>
      <c r="AF1476" s="12">
        <v>0.12411340117772937</v>
      </c>
      <c r="AG1476" s="12">
        <v>9.8749999999999988E-5</v>
      </c>
      <c r="AH1476" s="12">
        <v>3.8580927353216109E-4</v>
      </c>
    </row>
    <row r="1477" spans="1:34" ht="14.25">
      <c r="A1477" s="14" t="s">
        <v>4781</v>
      </c>
      <c r="B1477" s="24" t="s">
        <v>2768</v>
      </c>
      <c r="C1477" s="14" t="s">
        <v>2832</v>
      </c>
      <c r="D1477" s="14" t="s">
        <v>2911</v>
      </c>
      <c r="E1477" s="14" t="s">
        <v>4782</v>
      </c>
      <c r="F1477" s="13">
        <v>50</v>
      </c>
      <c r="G1477" s="14" t="s">
        <v>3704</v>
      </c>
      <c r="H1477" s="567" t="s">
        <v>2934</v>
      </c>
      <c r="I1477" s="14" t="s">
        <v>4782</v>
      </c>
      <c r="J1477" s="14" t="s">
        <v>4783</v>
      </c>
      <c r="K1477" s="478">
        <v>1</v>
      </c>
      <c r="L1477" s="220">
        <v>50</v>
      </c>
      <c r="M1477" s="568" t="s">
        <v>4784</v>
      </c>
      <c r="N1477" s="479" t="s">
        <v>2937</v>
      </c>
      <c r="O1477" s="569" t="s">
        <v>2976</v>
      </c>
      <c r="P1477" s="14" t="s">
        <v>3873</v>
      </c>
      <c r="Q1477" s="486" t="s">
        <v>4795</v>
      </c>
      <c r="R1477" s="14">
        <v>2</v>
      </c>
      <c r="S1477" s="14">
        <f t="shared" si="1448"/>
        <v>1</v>
      </c>
      <c r="T1477">
        <f t="shared" si="1509"/>
        <v>96.425999999999988</v>
      </c>
      <c r="U1477">
        <f t="shared" si="1485"/>
        <v>2.0741293841909862</v>
      </c>
      <c r="V1477" s="220">
        <f t="shared" si="1456"/>
        <v>2.0741293841909862</v>
      </c>
      <c r="W1477" s="14" t="s">
        <v>1124</v>
      </c>
      <c r="X1477">
        <f t="shared" si="1384"/>
        <v>2.0741293841909862</v>
      </c>
      <c r="Y1477" s="220" t="s">
        <v>1666</v>
      </c>
      <c r="Z1477" s="220" t="s">
        <v>1666</v>
      </c>
      <c r="AA1477" s="792" t="str">
        <f t="shared" ref="AA1477:AH1477" si="1517">Z1477</f>
        <v>*</v>
      </c>
      <c r="AB1477" s="497" t="str">
        <f t="shared" si="1517"/>
        <v>*</v>
      </c>
      <c r="AC1477" s="497" t="str">
        <f t="shared" si="1517"/>
        <v>*</v>
      </c>
      <c r="AD1477" s="497" t="str">
        <f t="shared" si="1517"/>
        <v>*</v>
      </c>
      <c r="AE1477" s="483" t="str">
        <f t="shared" si="1517"/>
        <v>*</v>
      </c>
      <c r="AF1477" s="483" t="str">
        <f t="shared" si="1517"/>
        <v>*</v>
      </c>
      <c r="AG1477" s="483" t="str">
        <f t="shared" si="1517"/>
        <v>*</v>
      </c>
      <c r="AH1477" s="483" t="str">
        <f t="shared" si="1517"/>
        <v>*</v>
      </c>
    </row>
    <row r="1478" spans="1:34" ht="14.25">
      <c r="A1478" s="14" t="s">
        <v>4781</v>
      </c>
      <c r="B1478" s="24" t="s">
        <v>2768</v>
      </c>
      <c r="C1478" s="14" t="s">
        <v>2832</v>
      </c>
      <c r="D1478" s="14" t="s">
        <v>2911</v>
      </c>
      <c r="E1478" s="14" t="s">
        <v>4782</v>
      </c>
      <c r="F1478" s="13">
        <v>50</v>
      </c>
      <c r="G1478" s="14" t="s">
        <v>3704</v>
      </c>
      <c r="H1478" s="567" t="s">
        <v>2934</v>
      </c>
      <c r="I1478" s="14" t="s">
        <v>4782</v>
      </c>
      <c r="J1478" s="14" t="s">
        <v>4783</v>
      </c>
      <c r="K1478" s="478">
        <v>1</v>
      </c>
      <c r="L1478" s="220">
        <v>50</v>
      </c>
      <c r="M1478" s="568" t="s">
        <v>4784</v>
      </c>
      <c r="N1478" s="479" t="s">
        <v>2937</v>
      </c>
      <c r="O1478" s="569" t="s">
        <v>4785</v>
      </c>
      <c r="P1478" s="14" t="s">
        <v>438</v>
      </c>
      <c r="Q1478" s="14" t="s">
        <v>4206</v>
      </c>
      <c r="R1478" s="14">
        <v>1</v>
      </c>
      <c r="S1478" s="14">
        <f t="shared" si="1448"/>
        <v>0.5</v>
      </c>
      <c r="T1478">
        <f t="shared" si="1509"/>
        <v>96.425999999999988</v>
      </c>
      <c r="U1478">
        <f t="shared" si="1485"/>
        <v>1.0370646920954931</v>
      </c>
      <c r="V1478" s="220">
        <f t="shared" si="1456"/>
        <v>1.0370646920954931</v>
      </c>
      <c r="W1478" s="14" t="s">
        <v>438</v>
      </c>
      <c r="X1478">
        <f t="shared" si="1384"/>
        <v>1.0370646920954931</v>
      </c>
      <c r="Y1478" s="499">
        <f t="shared" ref="Y1478:AA1478" si="1518">X1478</f>
        <v>1.0370646920954931</v>
      </c>
      <c r="Z1478" s="220">
        <f t="shared" si="1518"/>
        <v>1.0370646920954931</v>
      </c>
      <c r="AA1478" s="792">
        <f t="shared" si="1518"/>
        <v>1.0370646920954931</v>
      </c>
      <c r="AB1478" s="18" t="s">
        <v>438</v>
      </c>
      <c r="AC1478" s="13" t="s">
        <v>3056</v>
      </c>
      <c r="AD1478" s="13" t="s">
        <v>3057</v>
      </c>
      <c r="AE1478" s="12">
        <v>0</v>
      </c>
      <c r="AF1478" s="12">
        <v>0</v>
      </c>
      <c r="AG1478" s="12">
        <v>0</v>
      </c>
      <c r="AH1478" s="12">
        <v>0</v>
      </c>
    </row>
    <row r="1479" spans="1:34" ht="14.25">
      <c r="A1479" s="14" t="s">
        <v>4781</v>
      </c>
      <c r="B1479" s="24" t="s">
        <v>2768</v>
      </c>
      <c r="C1479" s="14" t="s">
        <v>2832</v>
      </c>
      <c r="D1479" s="14" t="s">
        <v>2911</v>
      </c>
      <c r="E1479" s="14" t="s">
        <v>4782</v>
      </c>
      <c r="F1479" s="13">
        <v>50</v>
      </c>
      <c r="G1479" s="14" t="s">
        <v>3704</v>
      </c>
      <c r="H1479" s="567" t="s">
        <v>2934</v>
      </c>
      <c r="I1479" s="14" t="s">
        <v>4782</v>
      </c>
      <c r="J1479" s="14" t="s">
        <v>4783</v>
      </c>
      <c r="K1479" s="478">
        <v>1</v>
      </c>
      <c r="L1479" s="220">
        <v>50</v>
      </c>
      <c r="M1479" s="568" t="s">
        <v>4784</v>
      </c>
      <c r="N1479" s="479" t="s">
        <v>2937</v>
      </c>
      <c r="O1479" s="569" t="s">
        <v>4785</v>
      </c>
      <c r="P1479" s="939" t="s">
        <v>4672</v>
      </c>
      <c r="Q1479" s="489" t="s">
        <v>4796</v>
      </c>
      <c r="R1479" s="489">
        <v>0.8</v>
      </c>
      <c r="S1479" s="489">
        <f t="shared" si="1448"/>
        <v>0.4</v>
      </c>
      <c r="T1479" s="489">
        <f t="shared" si="1509"/>
        <v>96.425999999999988</v>
      </c>
      <c r="U1479" s="489">
        <f t="shared" si="1485"/>
        <v>0.82965175367639443</v>
      </c>
      <c r="V1479" s="588">
        <f t="shared" si="1456"/>
        <v>0.82965175367639443</v>
      </c>
      <c r="W1479" s="489" t="s">
        <v>4523</v>
      </c>
      <c r="X1479">
        <f t="shared" si="1384"/>
        <v>0.82965175367639443</v>
      </c>
      <c r="Y1479" s="220">
        <f>SUM(X1479,X1488,X1498,X1499,X1508)</f>
        <v>3.0593408416817045</v>
      </c>
      <c r="Z1479" s="220">
        <f>SUM(X1479,X1488,X1498,X1499)</f>
        <v>2.9037811378673806</v>
      </c>
      <c r="AA1479" s="792">
        <f t="shared" ref="AA1479:AA1481" si="1519">Z1479</f>
        <v>2.9037811378673806</v>
      </c>
      <c r="AB1479" s="18" t="s">
        <v>2772</v>
      </c>
      <c r="AC1479" s="13" t="s">
        <v>4524</v>
      </c>
      <c r="AD1479" s="13" t="s">
        <v>4525</v>
      </c>
      <c r="AE1479" s="12">
        <v>3.8427539589960401E-3</v>
      </c>
      <c r="AF1479" s="12">
        <v>1.5537788094869101E-2</v>
      </c>
      <c r="AG1479" s="12">
        <v>2.14E-4</v>
      </c>
      <c r="AH1479" s="12">
        <v>5.7320234924778215E-4</v>
      </c>
    </row>
    <row r="1480" spans="1:34" ht="14.25">
      <c r="A1480" s="14" t="s">
        <v>4781</v>
      </c>
      <c r="B1480" s="24" t="s">
        <v>2768</v>
      </c>
      <c r="C1480" s="14" t="s">
        <v>2832</v>
      </c>
      <c r="D1480" s="14" t="s">
        <v>2911</v>
      </c>
      <c r="E1480" s="14" t="s">
        <v>4782</v>
      </c>
      <c r="F1480" s="13">
        <v>50</v>
      </c>
      <c r="G1480" s="14" t="s">
        <v>3704</v>
      </c>
      <c r="H1480" s="567" t="s">
        <v>2934</v>
      </c>
      <c r="I1480" s="14" t="s">
        <v>4782</v>
      </c>
      <c r="J1480" s="14" t="s">
        <v>4783</v>
      </c>
      <c r="K1480" s="478">
        <v>1</v>
      </c>
      <c r="L1480" s="220">
        <v>50</v>
      </c>
      <c r="M1480" s="568" t="s">
        <v>4784</v>
      </c>
      <c r="N1480" s="479" t="s">
        <v>2937</v>
      </c>
      <c r="O1480" s="569" t="s">
        <v>4785</v>
      </c>
      <c r="P1480" s="655" t="s">
        <v>4672</v>
      </c>
      <c r="Q1480" s="14" t="s">
        <v>4796</v>
      </c>
      <c r="R1480" s="14">
        <v>7.0000000000000007E-2</v>
      </c>
      <c r="S1480" s="14">
        <f t="shared" si="1448"/>
        <v>3.5000000000000003E-2</v>
      </c>
      <c r="T1480">
        <f t="shared" si="1509"/>
        <v>96.425999999999988</v>
      </c>
      <c r="U1480">
        <f t="shared" si="1485"/>
        <v>7.2594528446684528E-2</v>
      </c>
      <c r="V1480" s="220">
        <f t="shared" si="1456"/>
        <v>7.2594528446684528E-2</v>
      </c>
      <c r="W1480" s="14" t="s">
        <v>433</v>
      </c>
      <c r="X1480">
        <f t="shared" si="1384"/>
        <v>7.2594528446684528E-2</v>
      </c>
      <c r="Y1480" s="220" t="s">
        <v>1666</v>
      </c>
      <c r="Z1480" s="220" t="s">
        <v>1666</v>
      </c>
      <c r="AA1480" s="792" t="str">
        <f t="shared" si="1519"/>
        <v>*</v>
      </c>
      <c r="AB1480" s="497" t="str">
        <f t="shared" ref="AB1480:AH1480" si="1520">AA1480</f>
        <v>*</v>
      </c>
      <c r="AC1480" s="497" t="str">
        <f t="shared" si="1520"/>
        <v>*</v>
      </c>
      <c r="AD1480" s="497" t="str">
        <f t="shared" si="1520"/>
        <v>*</v>
      </c>
      <c r="AE1480" s="483" t="str">
        <f t="shared" si="1520"/>
        <v>*</v>
      </c>
      <c r="AF1480" s="483" t="str">
        <f t="shared" si="1520"/>
        <v>*</v>
      </c>
      <c r="AG1480" s="483" t="str">
        <f t="shared" si="1520"/>
        <v>*</v>
      </c>
      <c r="AH1480" s="483" t="str">
        <f t="shared" si="1520"/>
        <v>*</v>
      </c>
    </row>
    <row r="1481" spans="1:34" ht="14.25">
      <c r="A1481" s="14" t="s">
        <v>4781</v>
      </c>
      <c r="B1481" s="10" t="s">
        <v>2768</v>
      </c>
      <c r="C1481" s="14" t="s">
        <v>2832</v>
      </c>
      <c r="D1481" s="14" t="s">
        <v>2911</v>
      </c>
      <c r="E1481" s="14" t="s">
        <v>4782</v>
      </c>
      <c r="F1481" s="13">
        <v>50</v>
      </c>
      <c r="G1481" s="14" t="s">
        <v>3704</v>
      </c>
      <c r="H1481" s="567" t="s">
        <v>2934</v>
      </c>
      <c r="I1481" s="14" t="s">
        <v>4782</v>
      </c>
      <c r="J1481" s="14" t="s">
        <v>4783</v>
      </c>
      <c r="K1481" s="873">
        <v>1</v>
      </c>
      <c r="L1481" s="220">
        <v>50</v>
      </c>
      <c r="M1481" s="568" t="s">
        <v>4784</v>
      </c>
      <c r="N1481" s="521" t="s">
        <v>2937</v>
      </c>
      <c r="O1481" s="569" t="s">
        <v>4785</v>
      </c>
      <c r="P1481" s="668" t="s">
        <v>4672</v>
      </c>
      <c r="Q1481" s="14" t="s">
        <v>4796</v>
      </c>
      <c r="R1481" s="220">
        <v>4.3999999999999997E-2</v>
      </c>
      <c r="S1481" s="220">
        <f t="shared" si="1448"/>
        <v>2.1999999999999999E-2</v>
      </c>
      <c r="T1481" s="220">
        <f t="shared" si="1509"/>
        <v>96.425999999999988</v>
      </c>
      <c r="U1481" s="220">
        <f t="shared" si="1485"/>
        <v>4.5630846452201689E-2</v>
      </c>
      <c r="V1481" s="220">
        <f t="shared" si="1456"/>
        <v>4.5630846452201689E-2</v>
      </c>
      <c r="W1481" s="14" t="s">
        <v>4321</v>
      </c>
      <c r="X1481">
        <f t="shared" si="1384"/>
        <v>4.5630846452201689E-2</v>
      </c>
      <c r="Y1481" s="14" t="s">
        <v>1666</v>
      </c>
      <c r="Z1481" s="14">
        <f>SUM(X1481,X1483,X1485,X1501,X1503)</f>
        <v>0.82913322133034661</v>
      </c>
      <c r="AA1481" s="792">
        <f t="shared" si="1519"/>
        <v>0.82913322133034661</v>
      </c>
      <c r="AB1481" s="18" t="s">
        <v>2835</v>
      </c>
      <c r="AC1481" s="13" t="s">
        <v>2982</v>
      </c>
      <c r="AD1481" s="13" t="s">
        <v>2983</v>
      </c>
      <c r="AE1481" s="12">
        <v>2.9691872042618299E-2</v>
      </c>
      <c r="AF1481" s="12">
        <v>7.5368545517799299E-2</v>
      </c>
      <c r="AG1481" s="12">
        <v>2.9014018691588786E-4</v>
      </c>
      <c r="AH1481" s="12">
        <v>1.4770983615231311E-3</v>
      </c>
    </row>
    <row r="1482" spans="1:34" ht="14.25">
      <c r="A1482" s="14" t="s">
        <v>4781</v>
      </c>
      <c r="B1482" s="10" t="s">
        <v>2768</v>
      </c>
      <c r="C1482" s="14" t="s">
        <v>2832</v>
      </c>
      <c r="D1482" s="14" t="s">
        <v>2911</v>
      </c>
      <c r="E1482" s="14" t="s">
        <v>4782</v>
      </c>
      <c r="F1482" s="13">
        <v>50</v>
      </c>
      <c r="G1482" s="14" t="s">
        <v>3704</v>
      </c>
      <c r="H1482" s="567" t="s">
        <v>2934</v>
      </c>
      <c r="I1482" s="14" t="s">
        <v>4782</v>
      </c>
      <c r="J1482" s="14" t="s">
        <v>4783</v>
      </c>
      <c r="K1482" s="873">
        <v>1</v>
      </c>
      <c r="L1482" s="220">
        <v>50</v>
      </c>
      <c r="M1482" s="568" t="s">
        <v>4784</v>
      </c>
      <c r="N1482" s="521" t="s">
        <v>2937</v>
      </c>
      <c r="O1482" s="569" t="s">
        <v>4785</v>
      </c>
      <c r="P1482" s="668" t="s">
        <v>4672</v>
      </c>
      <c r="Q1482" s="14" t="s">
        <v>4796</v>
      </c>
      <c r="R1482" s="220">
        <v>2.1000000000000001E-2</v>
      </c>
      <c r="S1482" s="220">
        <f t="shared" si="1448"/>
        <v>1.0500000000000001E-2</v>
      </c>
      <c r="T1482" s="220">
        <f t="shared" si="1509"/>
        <v>96.425999999999988</v>
      </c>
      <c r="U1482" s="220">
        <f t="shared" si="1485"/>
        <v>2.1778358534005355E-2</v>
      </c>
      <c r="V1482" s="220">
        <f t="shared" si="1456"/>
        <v>2.1778358534005355E-2</v>
      </c>
      <c r="W1482" s="14" t="s">
        <v>340</v>
      </c>
      <c r="X1482">
        <f t="shared" si="1384"/>
        <v>2.1778358534005355E-2</v>
      </c>
      <c r="Y1482" s="39">
        <f>SUM(X1482,X1487,X1506)</f>
        <v>0.69587040839607583</v>
      </c>
      <c r="Z1482" s="14">
        <f t="shared" ref="Z1482:AA1482" si="1521">Y1482</f>
        <v>0.69587040839607583</v>
      </c>
      <c r="AA1482" s="792">
        <f t="shared" si="1521"/>
        <v>0.69587040839607583</v>
      </c>
      <c r="AB1482" s="18" t="s">
        <v>340</v>
      </c>
      <c r="AC1482" s="13" t="s">
        <v>3115</v>
      </c>
      <c r="AD1482" s="13" t="s">
        <v>3116</v>
      </c>
      <c r="AE1482" s="12">
        <v>2.1708241661196198E-2</v>
      </c>
      <c r="AF1482" s="12">
        <v>0.36572952458380198</v>
      </c>
      <c r="AG1482" s="12">
        <v>4.6350652173913045E-4</v>
      </c>
      <c r="AH1482" s="12">
        <v>1.6975608035415088E-3</v>
      </c>
    </row>
    <row r="1483" spans="1:34" ht="14.25">
      <c r="A1483" s="14" t="s">
        <v>4781</v>
      </c>
      <c r="B1483" s="10" t="s">
        <v>2768</v>
      </c>
      <c r="C1483" s="14" t="s">
        <v>2832</v>
      </c>
      <c r="D1483" s="14" t="s">
        <v>2911</v>
      </c>
      <c r="E1483" s="14" t="s">
        <v>4782</v>
      </c>
      <c r="F1483" s="13">
        <v>50</v>
      </c>
      <c r="G1483" s="14" t="s">
        <v>3704</v>
      </c>
      <c r="H1483" s="567" t="s">
        <v>2934</v>
      </c>
      <c r="I1483" s="14" t="s">
        <v>4782</v>
      </c>
      <c r="J1483" s="14" t="s">
        <v>4783</v>
      </c>
      <c r="K1483" s="873">
        <v>1</v>
      </c>
      <c r="L1483" s="220">
        <v>50</v>
      </c>
      <c r="M1483" s="568" t="s">
        <v>4784</v>
      </c>
      <c r="N1483" s="521" t="s">
        <v>2937</v>
      </c>
      <c r="O1483" s="569" t="s">
        <v>4785</v>
      </c>
      <c r="P1483" s="668" t="s">
        <v>4672</v>
      </c>
      <c r="Q1483" s="14" t="s">
        <v>4796</v>
      </c>
      <c r="R1483" s="220">
        <v>5.4999999999999997E-3</v>
      </c>
      <c r="S1483" s="220">
        <f t="shared" si="1448"/>
        <v>2.7499999999999998E-3</v>
      </c>
      <c r="T1483" s="220">
        <f t="shared" si="1509"/>
        <v>96.425999999999988</v>
      </c>
      <c r="U1483" s="220">
        <f t="shared" si="1485"/>
        <v>5.7038558065252111E-3</v>
      </c>
      <c r="V1483" s="220">
        <f t="shared" si="1456"/>
        <v>5.7038558065252111E-3</v>
      </c>
      <c r="W1483" s="14" t="s">
        <v>349</v>
      </c>
      <c r="X1483">
        <f t="shared" si="1384"/>
        <v>5.7038558065252111E-3</v>
      </c>
      <c r="Y1483" s="14" t="s">
        <v>1666</v>
      </c>
      <c r="Z1483" s="14" t="s">
        <v>1666</v>
      </c>
      <c r="AA1483" s="792" t="str">
        <f t="shared" ref="AA1483:AH1483" si="1522">Z1483</f>
        <v>*</v>
      </c>
      <c r="AB1483" s="497" t="str">
        <f t="shared" si="1522"/>
        <v>*</v>
      </c>
      <c r="AC1483" s="497" t="str">
        <f t="shared" si="1522"/>
        <v>*</v>
      </c>
      <c r="AD1483" s="497" t="str">
        <f t="shared" si="1522"/>
        <v>*</v>
      </c>
      <c r="AE1483" s="483" t="str">
        <f t="shared" si="1522"/>
        <v>*</v>
      </c>
      <c r="AF1483" s="483" t="str">
        <f t="shared" si="1522"/>
        <v>*</v>
      </c>
      <c r="AG1483" s="483" t="str">
        <f t="shared" si="1522"/>
        <v>*</v>
      </c>
      <c r="AH1483" s="483" t="str">
        <f t="shared" si="1522"/>
        <v>*</v>
      </c>
    </row>
    <row r="1484" spans="1:34" ht="14.25">
      <c r="A1484" s="14" t="s">
        <v>4781</v>
      </c>
      <c r="B1484" s="10" t="s">
        <v>2768</v>
      </c>
      <c r="C1484" s="14" t="s">
        <v>2832</v>
      </c>
      <c r="D1484" s="14" t="s">
        <v>2911</v>
      </c>
      <c r="E1484" s="14" t="s">
        <v>4782</v>
      </c>
      <c r="F1484" s="13">
        <v>50</v>
      </c>
      <c r="G1484" s="14" t="s">
        <v>3704</v>
      </c>
      <c r="H1484" s="567" t="s">
        <v>2934</v>
      </c>
      <c r="I1484" s="14" t="s">
        <v>4782</v>
      </c>
      <c r="J1484" s="14" t="s">
        <v>4783</v>
      </c>
      <c r="K1484" s="873">
        <v>1</v>
      </c>
      <c r="L1484" s="220">
        <v>50</v>
      </c>
      <c r="M1484" s="568" t="s">
        <v>4784</v>
      </c>
      <c r="N1484" s="521" t="s">
        <v>2937</v>
      </c>
      <c r="O1484" s="569" t="s">
        <v>4785</v>
      </c>
      <c r="P1484" s="668" t="s">
        <v>4672</v>
      </c>
      <c r="Q1484" s="486" t="s">
        <v>4797</v>
      </c>
      <c r="R1484" s="589">
        <v>5.4999999999999997E-3</v>
      </c>
      <c r="S1484" s="220">
        <f t="shared" si="1448"/>
        <v>2.7499999999999998E-3</v>
      </c>
      <c r="T1484" s="220">
        <f t="shared" si="1509"/>
        <v>96.425999999999988</v>
      </c>
      <c r="U1484" s="220">
        <f t="shared" si="1485"/>
        <v>5.7038558065252111E-3</v>
      </c>
      <c r="V1484" s="220">
        <f t="shared" si="1456"/>
        <v>5.7038558065252111E-3</v>
      </c>
      <c r="W1484" s="490" t="s">
        <v>2521</v>
      </c>
      <c r="X1484">
        <f t="shared" si="1384"/>
        <v>5.7038558065252111E-3</v>
      </c>
      <c r="Y1484" s="39">
        <f>SUM(X1484,X1486)</f>
        <v>0.2649700288303985</v>
      </c>
      <c r="Z1484" s="14">
        <f t="shared" ref="Z1484:AA1484" si="1523">Y1484</f>
        <v>0.2649700288303985</v>
      </c>
      <c r="AA1484" s="792">
        <f t="shared" si="1523"/>
        <v>0.2649700288303985</v>
      </c>
      <c r="AB1484" s="18" t="s">
        <v>324</v>
      </c>
      <c r="AC1484" s="13" t="s">
        <v>18</v>
      </c>
      <c r="AD1484" s="13" t="s">
        <v>3144</v>
      </c>
      <c r="AE1484" s="12">
        <v>1.0652903141570055E-3</v>
      </c>
      <c r="AF1484" s="12">
        <v>1.7273631840796021E-2</v>
      </c>
      <c r="AG1484" s="12">
        <v>1.3582399999999999E-4</v>
      </c>
      <c r="AH1484" s="12">
        <v>2.14E-3</v>
      </c>
    </row>
    <row r="1485" spans="1:34" ht="14.25">
      <c r="A1485" s="14" t="s">
        <v>4781</v>
      </c>
      <c r="B1485" s="24" t="s">
        <v>2768</v>
      </c>
      <c r="C1485" s="14" t="s">
        <v>2832</v>
      </c>
      <c r="D1485" s="14" t="s">
        <v>2911</v>
      </c>
      <c r="E1485" s="14" t="s">
        <v>4782</v>
      </c>
      <c r="F1485" s="13">
        <v>50</v>
      </c>
      <c r="G1485" s="14" t="s">
        <v>3704</v>
      </c>
      <c r="H1485" s="567" t="s">
        <v>2934</v>
      </c>
      <c r="I1485" s="14" t="s">
        <v>4782</v>
      </c>
      <c r="J1485" s="14" t="s">
        <v>4783</v>
      </c>
      <c r="K1485" s="478">
        <v>1</v>
      </c>
      <c r="L1485" s="220">
        <v>50</v>
      </c>
      <c r="M1485" s="568" t="s">
        <v>4784</v>
      </c>
      <c r="N1485" s="479" t="s">
        <v>2937</v>
      </c>
      <c r="O1485" s="569" t="s">
        <v>4785</v>
      </c>
      <c r="P1485" s="939" t="s">
        <v>4717</v>
      </c>
      <c r="Q1485" s="563" t="s">
        <v>4798</v>
      </c>
      <c r="R1485" s="489">
        <v>0.25</v>
      </c>
      <c r="S1485" s="489">
        <f t="shared" si="1448"/>
        <v>0.125</v>
      </c>
      <c r="T1485" s="489">
        <f t="shared" si="1509"/>
        <v>96.425999999999988</v>
      </c>
      <c r="U1485" s="489">
        <f t="shared" si="1485"/>
        <v>0.25926617302387328</v>
      </c>
      <c r="V1485" s="588">
        <f t="shared" si="1456"/>
        <v>0.25926617302387328</v>
      </c>
      <c r="W1485" s="489" t="s">
        <v>349</v>
      </c>
      <c r="X1485">
        <f t="shared" si="1384"/>
        <v>0.25926617302387328</v>
      </c>
      <c r="Y1485" s="220" t="s">
        <v>1666</v>
      </c>
      <c r="Z1485" s="220" t="s">
        <v>1666</v>
      </c>
      <c r="AA1485" s="792" t="str">
        <f t="shared" ref="AA1485:AH1485" si="1524">Z1485</f>
        <v>*</v>
      </c>
      <c r="AB1485" s="497" t="str">
        <f t="shared" si="1524"/>
        <v>*</v>
      </c>
      <c r="AC1485" s="497" t="str">
        <f t="shared" si="1524"/>
        <v>*</v>
      </c>
      <c r="AD1485" s="497" t="str">
        <f t="shared" si="1524"/>
        <v>*</v>
      </c>
      <c r="AE1485" s="483" t="str">
        <f t="shared" si="1524"/>
        <v>*</v>
      </c>
      <c r="AF1485" s="483" t="str">
        <f t="shared" si="1524"/>
        <v>*</v>
      </c>
      <c r="AG1485" s="483" t="str">
        <f t="shared" si="1524"/>
        <v>*</v>
      </c>
      <c r="AH1485" s="483" t="str">
        <f t="shared" si="1524"/>
        <v>*</v>
      </c>
    </row>
    <row r="1486" spans="1:34" ht="14.25">
      <c r="A1486" s="14" t="s">
        <v>4781</v>
      </c>
      <c r="B1486" s="24" t="s">
        <v>2768</v>
      </c>
      <c r="C1486" s="14" t="s">
        <v>2832</v>
      </c>
      <c r="D1486" s="14" t="s">
        <v>2911</v>
      </c>
      <c r="E1486" s="14" t="s">
        <v>4782</v>
      </c>
      <c r="F1486" s="13">
        <v>50</v>
      </c>
      <c r="G1486" s="14" t="s">
        <v>3704</v>
      </c>
      <c r="H1486" s="567" t="s">
        <v>2934</v>
      </c>
      <c r="I1486" s="14" t="s">
        <v>4782</v>
      </c>
      <c r="J1486" s="14" t="s">
        <v>4783</v>
      </c>
      <c r="K1486" s="478">
        <v>1</v>
      </c>
      <c r="L1486" s="220">
        <v>50</v>
      </c>
      <c r="M1486" s="568" t="s">
        <v>4784</v>
      </c>
      <c r="N1486" s="479" t="s">
        <v>2937</v>
      </c>
      <c r="O1486" s="569" t="s">
        <v>4785</v>
      </c>
      <c r="P1486" s="940" t="s">
        <v>4717</v>
      </c>
      <c r="Q1486" s="491" t="s">
        <v>4799</v>
      </c>
      <c r="R1486" s="490">
        <v>0.25</v>
      </c>
      <c r="S1486" s="490">
        <f t="shared" si="1448"/>
        <v>0.125</v>
      </c>
      <c r="T1486" s="490">
        <f t="shared" si="1509"/>
        <v>96.425999999999988</v>
      </c>
      <c r="U1486" s="490">
        <f t="shared" si="1485"/>
        <v>0.25926617302387328</v>
      </c>
      <c r="V1486" s="589">
        <f t="shared" si="1456"/>
        <v>0.25926617302387328</v>
      </c>
      <c r="W1486" s="490" t="s">
        <v>2521</v>
      </c>
      <c r="X1486">
        <f t="shared" si="1384"/>
        <v>0.25926617302387328</v>
      </c>
      <c r="Y1486" s="220" t="s">
        <v>1624</v>
      </c>
      <c r="Z1486" s="220" t="s">
        <v>1666</v>
      </c>
      <c r="AA1486" s="792" t="str">
        <f t="shared" ref="AA1486:AH1486" si="1525">Z1486</f>
        <v>*</v>
      </c>
      <c r="AB1486" s="497" t="str">
        <f t="shared" si="1525"/>
        <v>*</v>
      </c>
      <c r="AC1486" s="497" t="str">
        <f t="shared" si="1525"/>
        <v>*</v>
      </c>
      <c r="AD1486" s="497" t="str">
        <f t="shared" si="1525"/>
        <v>*</v>
      </c>
      <c r="AE1486" s="483" t="str">
        <f t="shared" si="1525"/>
        <v>*</v>
      </c>
      <c r="AF1486" s="483" t="str">
        <f t="shared" si="1525"/>
        <v>*</v>
      </c>
      <c r="AG1486" s="483" t="str">
        <f t="shared" si="1525"/>
        <v>*</v>
      </c>
      <c r="AH1486" s="483" t="str">
        <f t="shared" si="1525"/>
        <v>*</v>
      </c>
    </row>
    <row r="1487" spans="1:34" ht="14.25">
      <c r="A1487" s="14" t="s">
        <v>4781</v>
      </c>
      <c r="B1487" s="24" t="s">
        <v>2768</v>
      </c>
      <c r="C1487" s="14" t="s">
        <v>2832</v>
      </c>
      <c r="D1487" s="14" t="s">
        <v>2911</v>
      </c>
      <c r="E1487" s="14" t="s">
        <v>4782</v>
      </c>
      <c r="F1487" s="13">
        <v>50</v>
      </c>
      <c r="G1487" s="14" t="s">
        <v>3704</v>
      </c>
      <c r="H1487" s="567" t="s">
        <v>2934</v>
      </c>
      <c r="I1487" s="14" t="s">
        <v>4782</v>
      </c>
      <c r="J1487" s="14" t="s">
        <v>4783</v>
      </c>
      <c r="K1487" s="478">
        <v>1</v>
      </c>
      <c r="L1487" s="220">
        <v>50</v>
      </c>
      <c r="M1487" s="568" t="s">
        <v>4784</v>
      </c>
      <c r="N1487" s="479" t="s">
        <v>2937</v>
      </c>
      <c r="O1487" s="569" t="s">
        <v>4785</v>
      </c>
      <c r="P1487" s="14" t="s">
        <v>1376</v>
      </c>
      <c r="Q1487" s="14" t="s">
        <v>4800</v>
      </c>
      <c r="R1487" s="14">
        <v>0.5</v>
      </c>
      <c r="S1487" s="14">
        <f t="shared" si="1448"/>
        <v>0.25</v>
      </c>
      <c r="T1487">
        <f t="shared" si="1509"/>
        <v>96.425999999999988</v>
      </c>
      <c r="U1487">
        <f t="shared" si="1485"/>
        <v>0.51853234604774656</v>
      </c>
      <c r="V1487" s="220">
        <f t="shared" si="1456"/>
        <v>0.51853234604774656</v>
      </c>
      <c r="W1487" s="14" t="s">
        <v>340</v>
      </c>
      <c r="X1487">
        <f t="shared" si="1384"/>
        <v>0.51853234604774656</v>
      </c>
      <c r="Y1487" s="220" t="s">
        <v>1624</v>
      </c>
      <c r="Z1487" s="220" t="s">
        <v>1666</v>
      </c>
      <c r="AA1487" s="792" t="str">
        <f t="shared" ref="AA1487:AH1487" si="1526">Z1487</f>
        <v>*</v>
      </c>
      <c r="AB1487" s="497" t="str">
        <f t="shared" si="1526"/>
        <v>*</v>
      </c>
      <c r="AC1487" s="497" t="str">
        <f t="shared" si="1526"/>
        <v>*</v>
      </c>
      <c r="AD1487" s="497" t="str">
        <f t="shared" si="1526"/>
        <v>*</v>
      </c>
      <c r="AE1487" s="483" t="str">
        <f t="shared" si="1526"/>
        <v>*</v>
      </c>
      <c r="AF1487" s="483" t="str">
        <f t="shared" si="1526"/>
        <v>*</v>
      </c>
      <c r="AG1487" s="483" t="str">
        <f t="shared" si="1526"/>
        <v>*</v>
      </c>
      <c r="AH1487" s="483" t="str">
        <f t="shared" si="1526"/>
        <v>*</v>
      </c>
    </row>
    <row r="1488" spans="1:34" ht="14.25">
      <c r="A1488" s="14" t="s">
        <v>4781</v>
      </c>
      <c r="B1488" s="24" t="s">
        <v>2768</v>
      </c>
      <c r="C1488" s="14" t="s">
        <v>2832</v>
      </c>
      <c r="D1488" s="14" t="s">
        <v>2911</v>
      </c>
      <c r="E1488" s="14" t="s">
        <v>4782</v>
      </c>
      <c r="F1488" s="13">
        <v>50</v>
      </c>
      <c r="G1488" s="14" t="s">
        <v>3704</v>
      </c>
      <c r="H1488" s="567" t="s">
        <v>2934</v>
      </c>
      <c r="I1488" s="14" t="s">
        <v>4782</v>
      </c>
      <c r="J1488" s="14" t="s">
        <v>4783</v>
      </c>
      <c r="K1488" s="478">
        <v>1</v>
      </c>
      <c r="L1488" s="220">
        <v>50</v>
      </c>
      <c r="M1488" s="568" t="s">
        <v>4784</v>
      </c>
      <c r="N1488" s="479" t="s">
        <v>2937</v>
      </c>
      <c r="O1488" s="569" t="s">
        <v>2976</v>
      </c>
      <c r="P1488" s="14" t="s">
        <v>4521</v>
      </c>
      <c r="Q1488" s="14" t="s">
        <v>4522</v>
      </c>
      <c r="R1488" s="14">
        <v>1</v>
      </c>
      <c r="S1488" s="14">
        <f t="shared" si="1448"/>
        <v>0.5</v>
      </c>
      <c r="T1488">
        <f t="shared" si="1509"/>
        <v>96.425999999999988</v>
      </c>
      <c r="U1488">
        <f t="shared" si="1485"/>
        <v>1.0370646920954931</v>
      </c>
      <c r="V1488" s="220">
        <f t="shared" si="1456"/>
        <v>1.0370646920954931</v>
      </c>
      <c r="W1488" s="14" t="s">
        <v>4523</v>
      </c>
      <c r="X1488">
        <f t="shared" si="1384"/>
        <v>1.0370646920954931</v>
      </c>
      <c r="Y1488" s="220" t="s">
        <v>1666</v>
      </c>
      <c r="Z1488" s="220" t="s">
        <v>1666</v>
      </c>
      <c r="AA1488" s="792" t="str">
        <f t="shared" ref="AA1488:AH1488" si="1527">Z1488</f>
        <v>*</v>
      </c>
      <c r="AB1488" s="497" t="str">
        <f t="shared" si="1527"/>
        <v>*</v>
      </c>
      <c r="AC1488" s="497" t="str">
        <f t="shared" si="1527"/>
        <v>*</v>
      </c>
      <c r="AD1488" s="497" t="str">
        <f t="shared" si="1527"/>
        <v>*</v>
      </c>
      <c r="AE1488" s="483" t="str">
        <f t="shared" si="1527"/>
        <v>*</v>
      </c>
      <c r="AF1488" s="483" t="str">
        <f t="shared" si="1527"/>
        <v>*</v>
      </c>
      <c r="AG1488" s="483" t="str">
        <f t="shared" si="1527"/>
        <v>*</v>
      </c>
      <c r="AH1488" s="483" t="str">
        <f t="shared" si="1527"/>
        <v>*</v>
      </c>
    </row>
    <row r="1489" spans="1:34" ht="14.25">
      <c r="A1489" s="14" t="s">
        <v>4781</v>
      </c>
      <c r="B1489" s="24" t="s">
        <v>2768</v>
      </c>
      <c r="C1489" s="14" t="s">
        <v>2832</v>
      </c>
      <c r="D1489" s="14" t="s">
        <v>2911</v>
      </c>
      <c r="E1489" s="14" t="s">
        <v>4782</v>
      </c>
      <c r="F1489" s="13">
        <v>50</v>
      </c>
      <c r="G1489" s="14" t="s">
        <v>3704</v>
      </c>
      <c r="H1489" s="567" t="s">
        <v>2934</v>
      </c>
      <c r="I1489" s="14" t="s">
        <v>4782</v>
      </c>
      <c r="J1489" s="14" t="s">
        <v>4783</v>
      </c>
      <c r="K1489" s="478">
        <v>1</v>
      </c>
      <c r="L1489" s="220">
        <v>50</v>
      </c>
      <c r="M1489" s="568" t="s">
        <v>4784</v>
      </c>
      <c r="N1489" s="479" t="s">
        <v>2937</v>
      </c>
      <c r="O1489" s="569" t="s">
        <v>4785</v>
      </c>
      <c r="P1489" s="655" t="s">
        <v>3005</v>
      </c>
      <c r="Q1489" s="486" t="s">
        <v>3006</v>
      </c>
      <c r="R1489" s="14">
        <v>2.5</v>
      </c>
      <c r="S1489" s="14">
        <f t="shared" si="1448"/>
        <v>1.25</v>
      </c>
      <c r="T1489">
        <f t="shared" si="1509"/>
        <v>96.425999999999988</v>
      </c>
      <c r="U1489">
        <f t="shared" si="1485"/>
        <v>2.5926617302387327</v>
      </c>
      <c r="V1489" s="220">
        <f t="shared" si="1456"/>
        <v>2.5926617302387327</v>
      </c>
      <c r="W1489" s="14" t="s">
        <v>2526</v>
      </c>
      <c r="X1489">
        <f t="shared" si="1384"/>
        <v>2.5926617302387327</v>
      </c>
      <c r="Y1489" s="220">
        <f>SUM(X1489,X1497,X1504)</f>
        <v>4.1482587683819725</v>
      </c>
      <c r="Z1489" s="220">
        <f>X1489</f>
        <v>2.5926617302387327</v>
      </c>
      <c r="AA1489" s="792">
        <f t="shared" ref="AA1489:AA1495" si="1528">Z1489</f>
        <v>2.5926617302387327</v>
      </c>
      <c r="AB1489" s="18" t="s">
        <v>2526</v>
      </c>
      <c r="AC1489" s="14" t="s">
        <v>215</v>
      </c>
      <c r="AD1489" s="14" t="s">
        <v>3007</v>
      </c>
      <c r="AE1489" s="12">
        <v>5.0851930036188197E-3</v>
      </c>
      <c r="AF1489" s="12">
        <v>5.9995417730640897E-2</v>
      </c>
      <c r="AG1489" s="12">
        <v>3.4699999999999998E-4</v>
      </c>
      <c r="AH1489" s="12">
        <v>2.9762429672480995E-4</v>
      </c>
    </row>
    <row r="1490" spans="1:34" ht="14.25">
      <c r="A1490" s="14" t="s">
        <v>4781</v>
      </c>
      <c r="B1490" s="24" t="s">
        <v>2768</v>
      </c>
      <c r="C1490" s="14" t="s">
        <v>2832</v>
      </c>
      <c r="D1490" s="14" t="s">
        <v>2911</v>
      </c>
      <c r="E1490" s="14" t="s">
        <v>4782</v>
      </c>
      <c r="F1490" s="13">
        <v>50</v>
      </c>
      <c r="G1490" s="14" t="s">
        <v>3704</v>
      </c>
      <c r="H1490" s="567" t="s">
        <v>2934</v>
      </c>
      <c r="I1490" s="14" t="s">
        <v>4782</v>
      </c>
      <c r="J1490" s="14" t="s">
        <v>4783</v>
      </c>
      <c r="K1490" s="478">
        <v>1</v>
      </c>
      <c r="L1490" s="220">
        <v>50</v>
      </c>
      <c r="M1490" s="568" t="s">
        <v>4784</v>
      </c>
      <c r="N1490" s="479" t="s">
        <v>2937</v>
      </c>
      <c r="O1490" s="569" t="s">
        <v>4785</v>
      </c>
      <c r="P1490" s="655" t="s">
        <v>2977</v>
      </c>
      <c r="Q1490" s="486" t="s">
        <v>4801</v>
      </c>
      <c r="R1490" s="14">
        <v>2.5</v>
      </c>
      <c r="S1490" s="14">
        <f t="shared" si="1448"/>
        <v>1.25</v>
      </c>
      <c r="T1490">
        <f t="shared" si="1509"/>
        <v>96.425999999999988</v>
      </c>
      <c r="U1490">
        <f t="shared" si="1485"/>
        <v>2.5926617302387327</v>
      </c>
      <c r="V1490" s="220">
        <f t="shared" si="1456"/>
        <v>2.5926617302387327</v>
      </c>
      <c r="W1490" s="14" t="s">
        <v>227</v>
      </c>
      <c r="X1490">
        <f t="shared" si="1384"/>
        <v>2.5926617302387327</v>
      </c>
      <c r="Y1490" s="220" t="s">
        <v>1666</v>
      </c>
      <c r="Z1490" s="220" t="s">
        <v>1666</v>
      </c>
      <c r="AA1490" s="792" t="str">
        <f t="shared" si="1528"/>
        <v>*</v>
      </c>
      <c r="AB1490" s="497" t="str">
        <f t="shared" ref="AB1490:AH1490" si="1529">AA1490</f>
        <v>*</v>
      </c>
      <c r="AC1490" s="497" t="str">
        <f t="shared" si="1529"/>
        <v>*</v>
      </c>
      <c r="AD1490" s="497" t="str">
        <f t="shared" si="1529"/>
        <v>*</v>
      </c>
      <c r="AE1490" s="483" t="str">
        <f t="shared" si="1529"/>
        <v>*</v>
      </c>
      <c r="AF1490" s="483" t="str">
        <f t="shared" si="1529"/>
        <v>*</v>
      </c>
      <c r="AG1490" s="483" t="str">
        <f t="shared" si="1529"/>
        <v>*</v>
      </c>
      <c r="AH1490" s="483" t="str">
        <f t="shared" si="1529"/>
        <v>*</v>
      </c>
    </row>
    <row r="1491" spans="1:34" ht="14.25">
      <c r="A1491" s="14" t="s">
        <v>4781</v>
      </c>
      <c r="B1491" s="24" t="s">
        <v>2768</v>
      </c>
      <c r="C1491" s="14" t="s">
        <v>2832</v>
      </c>
      <c r="D1491" s="14" t="s">
        <v>2911</v>
      </c>
      <c r="E1491" s="14" t="s">
        <v>4782</v>
      </c>
      <c r="F1491" s="13">
        <v>50</v>
      </c>
      <c r="G1491" s="14" t="s">
        <v>3704</v>
      </c>
      <c r="H1491" s="567" t="s">
        <v>2934</v>
      </c>
      <c r="I1491" s="14" t="s">
        <v>4782</v>
      </c>
      <c r="J1491" s="14" t="s">
        <v>4783</v>
      </c>
      <c r="K1491" s="478">
        <v>1</v>
      </c>
      <c r="L1491" s="220">
        <v>50</v>
      </c>
      <c r="M1491" s="568" t="s">
        <v>4784</v>
      </c>
      <c r="N1491" s="479" t="s">
        <v>2937</v>
      </c>
      <c r="O1491" s="569" t="s">
        <v>4785</v>
      </c>
      <c r="P1491" s="14" t="s">
        <v>3124</v>
      </c>
      <c r="Q1491" s="486" t="s">
        <v>2968</v>
      </c>
      <c r="R1491" s="14">
        <v>6</v>
      </c>
      <c r="S1491" s="14">
        <f t="shared" si="1448"/>
        <v>3</v>
      </c>
      <c r="T1491">
        <f t="shared" si="1509"/>
        <v>96.425999999999988</v>
      </c>
      <c r="U1491">
        <f t="shared" si="1485"/>
        <v>6.2223881525729583</v>
      </c>
      <c r="V1491" s="220">
        <f t="shared" si="1456"/>
        <v>6.2223881525729583</v>
      </c>
      <c r="W1491" s="14" t="s">
        <v>1370</v>
      </c>
      <c r="X1491">
        <f t="shared" si="1384"/>
        <v>6.2223881525729583</v>
      </c>
      <c r="Y1491" s="220">
        <f>SUM(X1491,X1492,X1509)</f>
        <v>7.3631593138780005</v>
      </c>
      <c r="Z1491" s="220">
        <f>SUM(X1491,X1509)</f>
        <v>6.3260946217825076</v>
      </c>
      <c r="AA1491" s="792">
        <f t="shared" si="1528"/>
        <v>6.3260946217825076</v>
      </c>
      <c r="AB1491" s="18" t="s">
        <v>2836</v>
      </c>
      <c r="AC1491" s="13"/>
      <c r="AD1491" s="13"/>
      <c r="AE1491" s="12">
        <v>1.7000000000000001E-2</v>
      </c>
      <c r="AF1491" s="12">
        <v>3.15E-2</v>
      </c>
      <c r="AG1491" s="12">
        <v>9.9999999999999995E-7</v>
      </c>
      <c r="AH1491" s="12">
        <v>9.0389601227534877E-4</v>
      </c>
    </row>
    <row r="1492" spans="1:34" ht="14.25">
      <c r="A1492" s="14" t="s">
        <v>4781</v>
      </c>
      <c r="B1492" s="24" t="s">
        <v>2768</v>
      </c>
      <c r="C1492" s="14" t="s">
        <v>2832</v>
      </c>
      <c r="D1492" s="14" t="s">
        <v>2911</v>
      </c>
      <c r="E1492" s="14" t="s">
        <v>4782</v>
      </c>
      <c r="F1492" s="13">
        <v>50</v>
      </c>
      <c r="G1492" s="14" t="s">
        <v>3704</v>
      </c>
      <c r="H1492" s="567" t="s">
        <v>2934</v>
      </c>
      <c r="I1492" s="14" t="s">
        <v>4782</v>
      </c>
      <c r="J1492" s="14" t="s">
        <v>4783</v>
      </c>
      <c r="K1492" s="478">
        <v>1</v>
      </c>
      <c r="L1492" s="220">
        <v>50</v>
      </c>
      <c r="M1492" s="568" t="s">
        <v>4784</v>
      </c>
      <c r="N1492" s="479" t="s">
        <v>2937</v>
      </c>
      <c r="O1492" s="569" t="s">
        <v>4785</v>
      </c>
      <c r="P1492" s="14" t="s">
        <v>330</v>
      </c>
      <c r="Q1492" s="486" t="s">
        <v>3113</v>
      </c>
      <c r="R1492" s="14">
        <v>1</v>
      </c>
      <c r="S1492" s="14">
        <f t="shared" si="1448"/>
        <v>0.5</v>
      </c>
      <c r="T1492">
        <f t="shared" si="1509"/>
        <v>96.425999999999988</v>
      </c>
      <c r="U1492">
        <f t="shared" si="1485"/>
        <v>1.0370646920954931</v>
      </c>
      <c r="V1492" s="220">
        <f t="shared" si="1456"/>
        <v>1.0370646920954931</v>
      </c>
      <c r="W1492" s="14" t="s">
        <v>332</v>
      </c>
      <c r="X1492">
        <f t="shared" si="1384"/>
        <v>1.0370646920954931</v>
      </c>
      <c r="Y1492" s="220" t="s">
        <v>1666</v>
      </c>
      <c r="Z1492" s="220">
        <f t="shared" ref="Z1492:Z1493" si="1530">X1492</f>
        <v>1.0370646920954931</v>
      </c>
      <c r="AA1492" s="792">
        <f t="shared" si="1528"/>
        <v>1.0370646920954931</v>
      </c>
      <c r="AB1492" s="458" t="s">
        <v>2837</v>
      </c>
      <c r="AC1492" s="13"/>
      <c r="AD1492" s="13"/>
      <c r="AE1492" s="12">
        <v>2.3E-3</v>
      </c>
      <c r="AF1492" s="12">
        <v>4.7879999999999999E-2</v>
      </c>
      <c r="AG1492" s="12">
        <v>9.9999999999999995E-7</v>
      </c>
      <c r="AH1492" s="12">
        <v>4.4092488403675551E-4</v>
      </c>
    </row>
    <row r="1493" spans="1:34" ht="14.25">
      <c r="A1493" s="14" t="s">
        <v>4781</v>
      </c>
      <c r="B1493" s="24" t="s">
        <v>2768</v>
      </c>
      <c r="C1493" s="14" t="s">
        <v>2832</v>
      </c>
      <c r="D1493" s="14" t="s">
        <v>2911</v>
      </c>
      <c r="E1493" s="14" t="s">
        <v>4782</v>
      </c>
      <c r="F1493" s="13">
        <v>50</v>
      </c>
      <c r="G1493" s="14" t="s">
        <v>3704</v>
      </c>
      <c r="H1493" s="567" t="s">
        <v>2934</v>
      </c>
      <c r="I1493" s="14" t="s">
        <v>4782</v>
      </c>
      <c r="J1493" s="14" t="s">
        <v>4783</v>
      </c>
      <c r="K1493" s="478">
        <v>1</v>
      </c>
      <c r="L1493" s="220">
        <v>50</v>
      </c>
      <c r="M1493" s="568" t="s">
        <v>4784</v>
      </c>
      <c r="N1493" s="479" t="s">
        <v>2937</v>
      </c>
      <c r="O1493" s="569" t="s">
        <v>4785</v>
      </c>
      <c r="P1493" s="14" t="s">
        <v>3013</v>
      </c>
      <c r="Q1493" s="88" t="s">
        <v>4704</v>
      </c>
      <c r="R1493" s="14">
        <v>2.25</v>
      </c>
      <c r="S1493" s="14">
        <f t="shared" si="1448"/>
        <v>1.125</v>
      </c>
      <c r="T1493">
        <f t="shared" si="1509"/>
        <v>96.425999999999988</v>
      </c>
      <c r="U1493">
        <f t="shared" si="1485"/>
        <v>2.3333955572148595</v>
      </c>
      <c r="V1493" s="220">
        <f t="shared" si="1456"/>
        <v>2.3333955572148595</v>
      </c>
      <c r="W1493" s="14" t="s">
        <v>88</v>
      </c>
      <c r="X1493">
        <f t="shared" si="1384"/>
        <v>2.3333955572148595</v>
      </c>
      <c r="Y1493" s="220" t="s">
        <v>1666</v>
      </c>
      <c r="Z1493" s="220">
        <f t="shared" si="1530"/>
        <v>2.3333955572148595</v>
      </c>
      <c r="AA1493" s="792">
        <f t="shared" si="1528"/>
        <v>2.3333955572148595</v>
      </c>
      <c r="AB1493" s="18" t="s">
        <v>2528</v>
      </c>
      <c r="AC1493" s="13" t="s">
        <v>3015</v>
      </c>
      <c r="AD1493" s="13" t="s">
        <v>3016</v>
      </c>
      <c r="AE1493" s="12">
        <v>5.5280749052132698E-2</v>
      </c>
      <c r="AF1493" s="12">
        <v>0.16253532298578199</v>
      </c>
      <c r="AG1493" s="12">
        <v>1.0836239353080568E-3</v>
      </c>
      <c r="AH1493" s="12">
        <v>1.0196349526066351E-2</v>
      </c>
    </row>
    <row r="1494" spans="1:34" ht="14.25">
      <c r="A1494" s="14" t="s">
        <v>4781</v>
      </c>
      <c r="B1494" s="24" t="s">
        <v>2768</v>
      </c>
      <c r="C1494" s="14" t="s">
        <v>2832</v>
      </c>
      <c r="D1494" s="14" t="s">
        <v>2911</v>
      </c>
      <c r="E1494" s="14" t="s">
        <v>4782</v>
      </c>
      <c r="F1494" s="13">
        <v>50</v>
      </c>
      <c r="G1494" s="14" t="s">
        <v>3704</v>
      </c>
      <c r="H1494" s="567" t="s">
        <v>2934</v>
      </c>
      <c r="I1494" s="14" t="s">
        <v>4782</v>
      </c>
      <c r="J1494" s="14" t="s">
        <v>4783</v>
      </c>
      <c r="K1494" s="478">
        <v>1</v>
      </c>
      <c r="L1494" s="220">
        <v>50</v>
      </c>
      <c r="M1494" s="568" t="s">
        <v>4784</v>
      </c>
      <c r="N1494" s="479" t="s">
        <v>2937</v>
      </c>
      <c r="O1494" s="569" t="s">
        <v>4785</v>
      </c>
      <c r="P1494" s="14" t="s">
        <v>2962</v>
      </c>
      <c r="Q1494" s="14" t="s">
        <v>4802</v>
      </c>
      <c r="R1494" s="14">
        <v>0.5</v>
      </c>
      <c r="S1494" s="14">
        <f t="shared" si="1448"/>
        <v>0.25</v>
      </c>
      <c r="T1494">
        <f t="shared" si="1509"/>
        <v>96.425999999999988</v>
      </c>
      <c r="U1494">
        <f t="shared" si="1485"/>
        <v>0.51853234604774656</v>
      </c>
      <c r="V1494" s="220">
        <f t="shared" si="1456"/>
        <v>0.51853234604774656</v>
      </c>
      <c r="W1494" s="14" t="s">
        <v>425</v>
      </c>
      <c r="X1494">
        <f t="shared" si="1384"/>
        <v>0.51853234604774656</v>
      </c>
      <c r="Y1494" s="220" t="s">
        <v>1666</v>
      </c>
      <c r="Z1494" s="220" t="s">
        <v>1666</v>
      </c>
      <c r="AA1494" s="792" t="str">
        <f t="shared" si="1528"/>
        <v>*</v>
      </c>
      <c r="AB1494" s="497" t="str">
        <f t="shared" ref="AB1494:AH1494" si="1531">AA1494</f>
        <v>*</v>
      </c>
      <c r="AC1494" s="497" t="str">
        <f t="shared" si="1531"/>
        <v>*</v>
      </c>
      <c r="AD1494" s="497" t="str">
        <f t="shared" si="1531"/>
        <v>*</v>
      </c>
      <c r="AE1494" s="483" t="str">
        <f t="shared" si="1531"/>
        <v>*</v>
      </c>
      <c r="AF1494" s="483" t="str">
        <f t="shared" si="1531"/>
        <v>*</v>
      </c>
      <c r="AG1494" s="483" t="str">
        <f t="shared" si="1531"/>
        <v>*</v>
      </c>
      <c r="AH1494" s="483" t="str">
        <f t="shared" si="1531"/>
        <v>*</v>
      </c>
    </row>
    <row r="1495" spans="1:34" ht="14.25">
      <c r="A1495" s="14" t="s">
        <v>4781</v>
      </c>
      <c r="B1495" s="24" t="s">
        <v>2768</v>
      </c>
      <c r="C1495" s="14" t="s">
        <v>2832</v>
      </c>
      <c r="D1495" s="14" t="s">
        <v>2911</v>
      </c>
      <c r="E1495" s="14" t="s">
        <v>4782</v>
      </c>
      <c r="F1495" s="13">
        <v>50</v>
      </c>
      <c r="G1495" s="14" t="s">
        <v>3704</v>
      </c>
      <c r="H1495" s="567" t="s">
        <v>2934</v>
      </c>
      <c r="I1495" s="14" t="s">
        <v>4782</v>
      </c>
      <c r="J1495" s="14" t="s">
        <v>4783</v>
      </c>
      <c r="K1495" s="478">
        <v>1</v>
      </c>
      <c r="L1495" s="220">
        <v>50</v>
      </c>
      <c r="M1495" s="568" t="s">
        <v>4784</v>
      </c>
      <c r="N1495" s="479" t="s">
        <v>2937</v>
      </c>
      <c r="O1495" s="569" t="s">
        <v>2976</v>
      </c>
      <c r="P1495" s="14" t="s">
        <v>2945</v>
      </c>
      <c r="Q1495" s="14" t="s">
        <v>4803</v>
      </c>
      <c r="R1495" s="14">
        <v>0.5</v>
      </c>
      <c r="S1495" s="14">
        <f t="shared" si="1448"/>
        <v>0.25</v>
      </c>
      <c r="T1495">
        <f t="shared" si="1509"/>
        <v>96.425999999999988</v>
      </c>
      <c r="U1495">
        <f t="shared" si="1485"/>
        <v>0.51853234604774656</v>
      </c>
      <c r="V1495" s="220">
        <f t="shared" si="1456"/>
        <v>0.51853234604774656</v>
      </c>
      <c r="W1495" s="14" t="s">
        <v>433</v>
      </c>
      <c r="X1495">
        <f t="shared" si="1384"/>
        <v>0.51853234604774656</v>
      </c>
      <c r="Y1495" s="220" t="s">
        <v>1666</v>
      </c>
      <c r="Z1495" s="220" t="s">
        <v>1666</v>
      </c>
      <c r="AA1495" s="792" t="str">
        <f t="shared" si="1528"/>
        <v>*</v>
      </c>
      <c r="AB1495" s="497" t="str">
        <f t="shared" ref="AB1495:AH1495" si="1532">AA1495</f>
        <v>*</v>
      </c>
      <c r="AC1495" s="497" t="str">
        <f t="shared" si="1532"/>
        <v>*</v>
      </c>
      <c r="AD1495" s="497" t="str">
        <f t="shared" si="1532"/>
        <v>*</v>
      </c>
      <c r="AE1495" s="483" t="str">
        <f t="shared" si="1532"/>
        <v>*</v>
      </c>
      <c r="AF1495" s="483" t="str">
        <f t="shared" si="1532"/>
        <v>*</v>
      </c>
      <c r="AG1495" s="483" t="str">
        <f t="shared" si="1532"/>
        <v>*</v>
      </c>
      <c r="AH1495" s="483" t="str">
        <f t="shared" si="1532"/>
        <v>*</v>
      </c>
    </row>
    <row r="1496" spans="1:34" ht="14.25">
      <c r="A1496" s="14" t="s">
        <v>4781</v>
      </c>
      <c r="B1496" s="24" t="s">
        <v>2768</v>
      </c>
      <c r="C1496" s="14" t="s">
        <v>2832</v>
      </c>
      <c r="D1496" s="14" t="s">
        <v>2911</v>
      </c>
      <c r="E1496" s="14" t="s">
        <v>4782</v>
      </c>
      <c r="F1496" s="13">
        <v>50</v>
      </c>
      <c r="G1496" s="14" t="s">
        <v>3704</v>
      </c>
      <c r="H1496" s="567" t="s">
        <v>2934</v>
      </c>
      <c r="I1496" s="14" t="s">
        <v>4782</v>
      </c>
      <c r="J1496" s="14" t="s">
        <v>4783</v>
      </c>
      <c r="K1496" s="478">
        <v>1</v>
      </c>
      <c r="L1496" s="220">
        <v>50</v>
      </c>
      <c r="M1496" s="568" t="s">
        <v>4784</v>
      </c>
      <c r="N1496" s="479" t="s">
        <v>2937</v>
      </c>
      <c r="O1496" s="569" t="s">
        <v>4785</v>
      </c>
      <c r="P1496" s="14" t="s">
        <v>3172</v>
      </c>
      <c r="Q1496" s="486" t="s">
        <v>3173</v>
      </c>
      <c r="R1496" s="14">
        <v>1</v>
      </c>
      <c r="S1496" s="14">
        <f t="shared" si="1448"/>
        <v>0.5</v>
      </c>
      <c r="T1496">
        <f t="shared" si="1509"/>
        <v>96.425999999999988</v>
      </c>
      <c r="U1496">
        <f t="shared" si="1485"/>
        <v>1.0370646920954931</v>
      </c>
      <c r="V1496" s="220">
        <f t="shared" si="1456"/>
        <v>1.0370646920954931</v>
      </c>
      <c r="W1496" s="14" t="s">
        <v>3172</v>
      </c>
      <c r="X1496">
        <f t="shared" si="1384"/>
        <v>1.0370646920954931</v>
      </c>
      <c r="Y1496" s="499">
        <f t="shared" ref="Y1496:AA1496" si="1533">X1496</f>
        <v>1.0370646920954931</v>
      </c>
      <c r="Z1496" s="220">
        <f t="shared" si="1533"/>
        <v>1.0370646920954931</v>
      </c>
      <c r="AA1496" s="792">
        <f t="shared" si="1533"/>
        <v>1.0370646920954931</v>
      </c>
      <c r="AB1496" s="809" t="s">
        <v>2838</v>
      </c>
      <c r="AC1496" s="511" t="s">
        <v>3174</v>
      </c>
      <c r="AD1496" s="511" t="s">
        <v>3174</v>
      </c>
      <c r="AE1496" s="461">
        <v>2.2073766211046637E-2</v>
      </c>
      <c r="AF1496" s="461">
        <v>8.7246004352723297E-2</v>
      </c>
      <c r="AG1496" s="461">
        <v>5.8202330775582959E-4</v>
      </c>
      <c r="AH1496" s="461">
        <v>2.670351142205461E-3</v>
      </c>
    </row>
    <row r="1497" spans="1:34" ht="14.25">
      <c r="A1497" s="14" t="s">
        <v>4781</v>
      </c>
      <c r="B1497" s="24" t="s">
        <v>2768</v>
      </c>
      <c r="C1497" s="14" t="s">
        <v>2832</v>
      </c>
      <c r="D1497" s="14" t="s">
        <v>2911</v>
      </c>
      <c r="E1497" s="14" t="s">
        <v>4782</v>
      </c>
      <c r="F1497" s="13">
        <v>50</v>
      </c>
      <c r="G1497" s="14" t="s">
        <v>3704</v>
      </c>
      <c r="H1497" s="567" t="s">
        <v>2934</v>
      </c>
      <c r="I1497" s="14" t="s">
        <v>4782</v>
      </c>
      <c r="J1497" s="14" t="s">
        <v>4783</v>
      </c>
      <c r="K1497" s="478">
        <v>1</v>
      </c>
      <c r="L1497" s="220">
        <v>50</v>
      </c>
      <c r="M1497" s="568" t="s">
        <v>4784</v>
      </c>
      <c r="N1497" s="479" t="s">
        <v>2937</v>
      </c>
      <c r="O1497" s="569" t="s">
        <v>4785</v>
      </c>
      <c r="P1497" s="14" t="s">
        <v>4071</v>
      </c>
      <c r="Q1497" s="435" t="s">
        <v>4072</v>
      </c>
      <c r="R1497" s="14">
        <v>1</v>
      </c>
      <c r="S1497" s="14">
        <f t="shared" si="1448"/>
        <v>0.5</v>
      </c>
      <c r="T1497">
        <f t="shared" si="1509"/>
        <v>96.425999999999988</v>
      </c>
      <c r="U1497">
        <f t="shared" si="1485"/>
        <v>1.0370646920954931</v>
      </c>
      <c r="V1497" s="220">
        <f t="shared" si="1456"/>
        <v>1.0370646920954931</v>
      </c>
      <c r="W1497" s="14" t="s">
        <v>1166</v>
      </c>
      <c r="X1497">
        <f t="shared" si="1384"/>
        <v>1.0370646920954931</v>
      </c>
      <c r="Y1497" s="220" t="s">
        <v>1624</v>
      </c>
      <c r="Z1497" s="220">
        <f>X1497</f>
        <v>1.0370646920954931</v>
      </c>
      <c r="AA1497" s="792">
        <f t="shared" ref="AA1497:AA1506" si="1534">Z1497</f>
        <v>1.0370646920954931</v>
      </c>
      <c r="AB1497" s="458" t="s">
        <v>1166</v>
      </c>
      <c r="AC1497" s="14" t="s">
        <v>4073</v>
      </c>
      <c r="AD1497" s="14" t="s">
        <v>4074</v>
      </c>
      <c r="AE1497" s="12">
        <v>2.5425965018094099E-4</v>
      </c>
      <c r="AF1497" s="12">
        <v>2.999770886532045E-3</v>
      </c>
      <c r="AG1497" s="12">
        <v>1.7349999999999998E-5</v>
      </c>
      <c r="AH1497" s="12">
        <v>1.4881214836240498E-5</v>
      </c>
    </row>
    <row r="1498" spans="1:34" ht="14.25">
      <c r="A1498" s="14" t="s">
        <v>4781</v>
      </c>
      <c r="B1498" s="24" t="s">
        <v>2768</v>
      </c>
      <c r="C1498" s="14" t="s">
        <v>2832</v>
      </c>
      <c r="D1498" s="14" t="s">
        <v>2911</v>
      </c>
      <c r="E1498" s="14" t="s">
        <v>4782</v>
      </c>
      <c r="F1498" s="13">
        <v>50</v>
      </c>
      <c r="G1498" s="14" t="s">
        <v>3704</v>
      </c>
      <c r="H1498" s="567" t="s">
        <v>2934</v>
      </c>
      <c r="I1498" s="14" t="s">
        <v>4782</v>
      </c>
      <c r="J1498" s="14" t="s">
        <v>4783</v>
      </c>
      <c r="K1498" s="478">
        <v>1</v>
      </c>
      <c r="L1498" s="220">
        <v>50</v>
      </c>
      <c r="M1498" s="568" t="s">
        <v>4784</v>
      </c>
      <c r="N1498" s="479" t="s">
        <v>2937</v>
      </c>
      <c r="O1498" s="569" t="s">
        <v>4785</v>
      </c>
      <c r="P1498" s="655" t="s">
        <v>4672</v>
      </c>
      <c r="Q1498" s="14" t="s">
        <v>4804</v>
      </c>
      <c r="R1498" s="14">
        <v>0.5</v>
      </c>
      <c r="S1498" s="14">
        <f t="shared" si="1448"/>
        <v>0.25</v>
      </c>
      <c r="T1498">
        <f t="shared" si="1509"/>
        <v>96.425999999999988</v>
      </c>
      <c r="U1498">
        <f t="shared" si="1485"/>
        <v>0.51853234604774656</v>
      </c>
      <c r="V1498" s="220">
        <f t="shared" si="1456"/>
        <v>0.51853234604774656</v>
      </c>
      <c r="W1498" s="14" t="s">
        <v>4805</v>
      </c>
      <c r="X1498">
        <f t="shared" si="1384"/>
        <v>0.51853234604774656</v>
      </c>
      <c r="Y1498" s="220" t="s">
        <v>1666</v>
      </c>
      <c r="Z1498" s="220" t="s">
        <v>1666</v>
      </c>
      <c r="AA1498" s="792" t="str">
        <f t="shared" si="1534"/>
        <v>*</v>
      </c>
      <c r="AB1498" s="497" t="str">
        <f t="shared" ref="AB1498:AH1498" si="1535">AA1498</f>
        <v>*</v>
      </c>
      <c r="AC1498" s="497" t="str">
        <f t="shared" si="1535"/>
        <v>*</v>
      </c>
      <c r="AD1498" s="497" t="str">
        <f t="shared" si="1535"/>
        <v>*</v>
      </c>
      <c r="AE1498" s="483" t="str">
        <f t="shared" si="1535"/>
        <v>*</v>
      </c>
      <c r="AF1498" s="483" t="str">
        <f t="shared" si="1535"/>
        <v>*</v>
      </c>
      <c r="AG1498" s="483" t="str">
        <f t="shared" si="1535"/>
        <v>*</v>
      </c>
      <c r="AH1498" s="483" t="str">
        <f t="shared" si="1535"/>
        <v>*</v>
      </c>
    </row>
    <row r="1499" spans="1:34" ht="14.25">
      <c r="A1499" s="14" t="s">
        <v>4781</v>
      </c>
      <c r="B1499" s="24" t="s">
        <v>2768</v>
      </c>
      <c r="C1499" s="14" t="s">
        <v>2832</v>
      </c>
      <c r="D1499" s="14" t="s">
        <v>2911</v>
      </c>
      <c r="E1499" s="14" t="s">
        <v>4782</v>
      </c>
      <c r="F1499" s="13">
        <v>50</v>
      </c>
      <c r="G1499" s="14" t="s">
        <v>3704</v>
      </c>
      <c r="H1499" s="567" t="s">
        <v>2934</v>
      </c>
      <c r="I1499" s="14" t="s">
        <v>4782</v>
      </c>
      <c r="J1499" s="14" t="s">
        <v>4783</v>
      </c>
      <c r="K1499" s="478">
        <v>1</v>
      </c>
      <c r="L1499" s="220">
        <v>50</v>
      </c>
      <c r="M1499" s="568" t="s">
        <v>4784</v>
      </c>
      <c r="N1499" s="479" t="s">
        <v>2937</v>
      </c>
      <c r="O1499" s="569" t="s">
        <v>2976</v>
      </c>
      <c r="P1499" s="655" t="s">
        <v>3005</v>
      </c>
      <c r="Q1499" s="14" t="s">
        <v>4806</v>
      </c>
      <c r="R1499" s="14">
        <v>0.5</v>
      </c>
      <c r="S1499" s="14">
        <f t="shared" si="1448"/>
        <v>0.25</v>
      </c>
      <c r="T1499">
        <f t="shared" si="1509"/>
        <v>96.425999999999988</v>
      </c>
      <c r="U1499">
        <f t="shared" si="1485"/>
        <v>0.51853234604774656</v>
      </c>
      <c r="V1499" s="220">
        <f t="shared" si="1456"/>
        <v>0.51853234604774656</v>
      </c>
      <c r="W1499" s="14" t="s">
        <v>4805</v>
      </c>
      <c r="X1499">
        <f t="shared" si="1384"/>
        <v>0.51853234604774656</v>
      </c>
      <c r="Y1499" s="220" t="s">
        <v>1666</v>
      </c>
      <c r="Z1499" s="220" t="s">
        <v>1666</v>
      </c>
      <c r="AA1499" s="792" t="str">
        <f t="shared" si="1534"/>
        <v>*</v>
      </c>
      <c r="AB1499" s="497" t="str">
        <f t="shared" ref="AB1499:AH1499" si="1536">AA1499</f>
        <v>*</v>
      </c>
      <c r="AC1499" s="497" t="str">
        <f t="shared" si="1536"/>
        <v>*</v>
      </c>
      <c r="AD1499" s="497" t="str">
        <f t="shared" si="1536"/>
        <v>*</v>
      </c>
      <c r="AE1499" s="483" t="str">
        <f t="shared" si="1536"/>
        <v>*</v>
      </c>
      <c r="AF1499" s="483" t="str">
        <f t="shared" si="1536"/>
        <v>*</v>
      </c>
      <c r="AG1499" s="483" t="str">
        <f t="shared" si="1536"/>
        <v>*</v>
      </c>
      <c r="AH1499" s="483" t="str">
        <f t="shared" si="1536"/>
        <v>*</v>
      </c>
    </row>
    <row r="1500" spans="1:34" ht="14.25">
      <c r="A1500" s="14" t="s">
        <v>4781</v>
      </c>
      <c r="B1500" s="24" t="s">
        <v>2768</v>
      </c>
      <c r="C1500" s="14" t="s">
        <v>2832</v>
      </c>
      <c r="D1500" s="14" t="s">
        <v>2911</v>
      </c>
      <c r="E1500" s="14" t="s">
        <v>4782</v>
      </c>
      <c r="F1500" s="13">
        <v>50</v>
      </c>
      <c r="G1500" s="14" t="s">
        <v>3704</v>
      </c>
      <c r="H1500" s="567" t="s">
        <v>2934</v>
      </c>
      <c r="I1500" s="14" t="s">
        <v>4782</v>
      </c>
      <c r="J1500" s="14" t="s">
        <v>4783</v>
      </c>
      <c r="K1500" s="478">
        <v>1</v>
      </c>
      <c r="L1500" s="220">
        <v>50</v>
      </c>
      <c r="M1500" s="568" t="s">
        <v>4784</v>
      </c>
      <c r="N1500" s="479" t="s">
        <v>2937</v>
      </c>
      <c r="O1500" s="569" t="s">
        <v>4785</v>
      </c>
      <c r="P1500" s="14" t="s">
        <v>2945</v>
      </c>
      <c r="Q1500" s="14" t="s">
        <v>4807</v>
      </c>
      <c r="R1500" s="14">
        <v>0.25</v>
      </c>
      <c r="S1500" s="14">
        <f t="shared" si="1448"/>
        <v>0.125</v>
      </c>
      <c r="T1500">
        <f t="shared" si="1509"/>
        <v>96.425999999999988</v>
      </c>
      <c r="U1500">
        <f t="shared" si="1485"/>
        <v>0.25926617302387328</v>
      </c>
      <c r="V1500" s="220">
        <f t="shared" si="1456"/>
        <v>0.25926617302387328</v>
      </c>
      <c r="W1500" s="14" t="s">
        <v>433</v>
      </c>
      <c r="X1500">
        <f t="shared" si="1384"/>
        <v>0.25926617302387328</v>
      </c>
      <c r="Y1500" s="220" t="s">
        <v>1666</v>
      </c>
      <c r="Z1500" s="220" t="s">
        <v>1666</v>
      </c>
      <c r="AA1500" s="792" t="str">
        <f t="shared" si="1534"/>
        <v>*</v>
      </c>
      <c r="AB1500" s="497" t="str">
        <f t="shared" ref="AB1500:AH1500" si="1537">AA1500</f>
        <v>*</v>
      </c>
      <c r="AC1500" s="497" t="str">
        <f t="shared" si="1537"/>
        <v>*</v>
      </c>
      <c r="AD1500" s="497" t="str">
        <f t="shared" si="1537"/>
        <v>*</v>
      </c>
      <c r="AE1500" s="483" t="str">
        <f t="shared" si="1537"/>
        <v>*</v>
      </c>
      <c r="AF1500" s="483" t="str">
        <f t="shared" si="1537"/>
        <v>*</v>
      </c>
      <c r="AG1500" s="483" t="str">
        <f t="shared" si="1537"/>
        <v>*</v>
      </c>
      <c r="AH1500" s="483" t="str">
        <f t="shared" si="1537"/>
        <v>*</v>
      </c>
    </row>
    <row r="1501" spans="1:34" ht="14.25">
      <c r="A1501" s="14" t="s">
        <v>4781</v>
      </c>
      <c r="B1501" s="24" t="s">
        <v>2768</v>
      </c>
      <c r="C1501" s="14" t="s">
        <v>2832</v>
      </c>
      <c r="D1501" s="14" t="s">
        <v>2911</v>
      </c>
      <c r="E1501" s="14" t="s">
        <v>4782</v>
      </c>
      <c r="F1501" s="13">
        <v>50</v>
      </c>
      <c r="G1501" s="14" t="s">
        <v>3704</v>
      </c>
      <c r="H1501" s="567" t="s">
        <v>2934</v>
      </c>
      <c r="I1501" s="14" t="s">
        <v>4782</v>
      </c>
      <c r="J1501" s="14" t="s">
        <v>4783</v>
      </c>
      <c r="K1501" s="478">
        <v>1</v>
      </c>
      <c r="L1501" s="220">
        <v>50</v>
      </c>
      <c r="M1501" s="568" t="s">
        <v>4784</v>
      </c>
      <c r="N1501" s="479" t="s">
        <v>2937</v>
      </c>
      <c r="O1501" s="569" t="s">
        <v>4785</v>
      </c>
      <c r="P1501" s="14" t="s">
        <v>3021</v>
      </c>
      <c r="Q1501" s="486" t="s">
        <v>4808</v>
      </c>
      <c r="R1501" s="14">
        <v>0.25</v>
      </c>
      <c r="S1501" s="14">
        <f t="shared" si="1448"/>
        <v>0.125</v>
      </c>
      <c r="T1501">
        <f t="shared" si="1509"/>
        <v>96.425999999999988</v>
      </c>
      <c r="U1501">
        <f t="shared" si="1485"/>
        <v>0.25926617302387328</v>
      </c>
      <c r="V1501" s="220">
        <f t="shared" si="1456"/>
        <v>0.25926617302387328</v>
      </c>
      <c r="W1501" s="14" t="s">
        <v>346</v>
      </c>
      <c r="X1501">
        <f t="shared" si="1384"/>
        <v>0.25926617302387328</v>
      </c>
      <c r="Y1501" s="220" t="s">
        <v>1666</v>
      </c>
      <c r="Z1501" s="220" t="s">
        <v>1666</v>
      </c>
      <c r="AA1501" s="792" t="str">
        <f t="shared" si="1534"/>
        <v>*</v>
      </c>
      <c r="AB1501" s="497" t="str">
        <f t="shared" ref="AB1501:AH1501" si="1538">AA1501</f>
        <v>*</v>
      </c>
      <c r="AC1501" s="497" t="str">
        <f t="shared" si="1538"/>
        <v>*</v>
      </c>
      <c r="AD1501" s="497" t="str">
        <f t="shared" si="1538"/>
        <v>*</v>
      </c>
      <c r="AE1501" s="483" t="str">
        <f t="shared" si="1538"/>
        <v>*</v>
      </c>
      <c r="AF1501" s="483" t="str">
        <f t="shared" si="1538"/>
        <v>*</v>
      </c>
      <c r="AG1501" s="483" t="str">
        <f t="shared" si="1538"/>
        <v>*</v>
      </c>
      <c r="AH1501" s="483" t="str">
        <f t="shared" si="1538"/>
        <v>*</v>
      </c>
    </row>
    <row r="1502" spans="1:34" ht="14.25">
      <c r="A1502" s="14" t="s">
        <v>4781</v>
      </c>
      <c r="B1502" s="24" t="s">
        <v>2768</v>
      </c>
      <c r="C1502" s="14" t="s">
        <v>2832</v>
      </c>
      <c r="D1502" s="14" t="s">
        <v>2911</v>
      </c>
      <c r="E1502" s="14" t="s">
        <v>4782</v>
      </c>
      <c r="F1502" s="13">
        <v>50</v>
      </c>
      <c r="G1502" s="14" t="s">
        <v>3704</v>
      </c>
      <c r="H1502" s="567" t="s">
        <v>2934</v>
      </c>
      <c r="I1502" s="14" t="s">
        <v>4782</v>
      </c>
      <c r="J1502" s="14" t="s">
        <v>4783</v>
      </c>
      <c r="K1502" s="478">
        <v>1</v>
      </c>
      <c r="L1502" s="220">
        <v>50</v>
      </c>
      <c r="M1502" s="568" t="s">
        <v>4784</v>
      </c>
      <c r="N1502" s="479" t="s">
        <v>2937</v>
      </c>
      <c r="O1502" s="569" t="s">
        <v>4785</v>
      </c>
      <c r="P1502" s="14" t="s">
        <v>2962</v>
      </c>
      <c r="Q1502" s="14" t="s">
        <v>4809</v>
      </c>
      <c r="R1502" s="14">
        <v>0.25</v>
      </c>
      <c r="S1502" s="14">
        <f t="shared" si="1448"/>
        <v>0.125</v>
      </c>
      <c r="T1502">
        <f t="shared" si="1509"/>
        <v>96.425999999999988</v>
      </c>
      <c r="U1502">
        <f t="shared" si="1485"/>
        <v>0.25926617302387328</v>
      </c>
      <c r="V1502" s="220">
        <f t="shared" si="1456"/>
        <v>0.25926617302387328</v>
      </c>
      <c r="W1502" s="14" t="s">
        <v>425</v>
      </c>
      <c r="X1502">
        <f t="shared" si="1384"/>
        <v>0.25926617302387328</v>
      </c>
      <c r="Y1502" s="220" t="s">
        <v>1666</v>
      </c>
      <c r="Z1502" s="220" t="s">
        <v>1666</v>
      </c>
      <c r="AA1502" s="792" t="str">
        <f t="shared" si="1534"/>
        <v>*</v>
      </c>
      <c r="AB1502" s="497" t="str">
        <f t="shared" ref="AB1502:AH1502" si="1539">AA1502</f>
        <v>*</v>
      </c>
      <c r="AC1502" s="497" t="str">
        <f t="shared" si="1539"/>
        <v>*</v>
      </c>
      <c r="AD1502" s="497" t="str">
        <f t="shared" si="1539"/>
        <v>*</v>
      </c>
      <c r="AE1502" s="483" t="str">
        <f t="shared" si="1539"/>
        <v>*</v>
      </c>
      <c r="AF1502" s="483" t="str">
        <f t="shared" si="1539"/>
        <v>*</v>
      </c>
      <c r="AG1502" s="483" t="str">
        <f t="shared" si="1539"/>
        <v>*</v>
      </c>
      <c r="AH1502" s="483" t="str">
        <f t="shared" si="1539"/>
        <v>*</v>
      </c>
    </row>
    <row r="1503" spans="1:34" ht="14.25">
      <c r="A1503" s="14" t="s">
        <v>4781</v>
      </c>
      <c r="B1503" s="24" t="s">
        <v>2768</v>
      </c>
      <c r="C1503" s="14" t="s">
        <v>2832</v>
      </c>
      <c r="D1503" s="14" t="s">
        <v>2911</v>
      </c>
      <c r="E1503" s="14" t="s">
        <v>4782</v>
      </c>
      <c r="F1503" s="13">
        <v>50</v>
      </c>
      <c r="G1503" s="14" t="s">
        <v>3704</v>
      </c>
      <c r="H1503" s="567" t="s">
        <v>2934</v>
      </c>
      <c r="I1503" s="14" t="s">
        <v>4782</v>
      </c>
      <c r="J1503" s="14" t="s">
        <v>4783</v>
      </c>
      <c r="K1503" s="478">
        <v>1</v>
      </c>
      <c r="L1503" s="220">
        <v>50</v>
      </c>
      <c r="M1503" s="568" t="s">
        <v>4784</v>
      </c>
      <c r="N1503" s="479" t="s">
        <v>2937</v>
      </c>
      <c r="O1503" s="569" t="s">
        <v>4785</v>
      </c>
      <c r="P1503" s="14" t="s">
        <v>3072</v>
      </c>
      <c r="Q1503" s="14" t="s">
        <v>4810</v>
      </c>
      <c r="R1503" s="14">
        <v>0.25</v>
      </c>
      <c r="S1503" s="14">
        <f t="shared" si="1448"/>
        <v>0.125</v>
      </c>
      <c r="T1503">
        <f t="shared" si="1509"/>
        <v>96.425999999999988</v>
      </c>
      <c r="U1503">
        <f t="shared" si="1485"/>
        <v>0.25926617302387328</v>
      </c>
      <c r="V1503" s="220">
        <f t="shared" si="1456"/>
        <v>0.25926617302387328</v>
      </c>
      <c r="W1503" s="14" t="s">
        <v>343</v>
      </c>
      <c r="X1503">
        <f t="shared" si="1384"/>
        <v>0.25926617302387328</v>
      </c>
      <c r="Y1503" s="220" t="s">
        <v>1666</v>
      </c>
      <c r="Z1503" s="220" t="s">
        <v>1666</v>
      </c>
      <c r="AA1503" s="792" t="str">
        <f t="shared" si="1534"/>
        <v>*</v>
      </c>
      <c r="AB1503" s="497" t="str">
        <f t="shared" ref="AB1503:AH1503" si="1540">AA1503</f>
        <v>*</v>
      </c>
      <c r="AC1503" s="497" t="str">
        <f t="shared" si="1540"/>
        <v>*</v>
      </c>
      <c r="AD1503" s="497" t="str">
        <f t="shared" si="1540"/>
        <v>*</v>
      </c>
      <c r="AE1503" s="483" t="str">
        <f t="shared" si="1540"/>
        <v>*</v>
      </c>
      <c r="AF1503" s="483" t="str">
        <f t="shared" si="1540"/>
        <v>*</v>
      </c>
      <c r="AG1503" s="483" t="str">
        <f t="shared" si="1540"/>
        <v>*</v>
      </c>
      <c r="AH1503" s="483" t="str">
        <f t="shared" si="1540"/>
        <v>*</v>
      </c>
    </row>
    <row r="1504" spans="1:34" ht="14.25">
      <c r="A1504" s="14" t="s">
        <v>4781</v>
      </c>
      <c r="B1504" s="24" t="s">
        <v>2768</v>
      </c>
      <c r="C1504" s="14" t="s">
        <v>2832</v>
      </c>
      <c r="D1504" s="14" t="s">
        <v>2911</v>
      </c>
      <c r="E1504" s="14" t="s">
        <v>4782</v>
      </c>
      <c r="F1504" s="13">
        <v>50</v>
      </c>
      <c r="G1504" s="14" t="s">
        <v>3704</v>
      </c>
      <c r="H1504" s="567" t="s">
        <v>2934</v>
      </c>
      <c r="I1504" s="14" t="s">
        <v>4782</v>
      </c>
      <c r="J1504" s="14" t="s">
        <v>4783</v>
      </c>
      <c r="K1504" s="478">
        <v>1</v>
      </c>
      <c r="L1504" s="220">
        <v>50</v>
      </c>
      <c r="M1504" s="568" t="s">
        <v>4784</v>
      </c>
      <c r="N1504" s="479" t="s">
        <v>2937</v>
      </c>
      <c r="O1504" s="569" t="s">
        <v>2976</v>
      </c>
      <c r="P1504" s="14" t="s">
        <v>3865</v>
      </c>
      <c r="Q1504" s="553" t="s">
        <v>4094</v>
      </c>
      <c r="R1504" s="14">
        <v>0.5</v>
      </c>
      <c r="S1504" s="14">
        <f t="shared" si="1448"/>
        <v>0.25</v>
      </c>
      <c r="T1504">
        <f t="shared" si="1509"/>
        <v>96.425999999999988</v>
      </c>
      <c r="U1504">
        <f t="shared" si="1485"/>
        <v>0.51853234604774656</v>
      </c>
      <c r="V1504" s="220">
        <f t="shared" si="1456"/>
        <v>0.51853234604774656</v>
      </c>
      <c r="W1504" s="14" t="s">
        <v>1165</v>
      </c>
      <c r="X1504">
        <f t="shared" si="1384"/>
        <v>0.51853234604774656</v>
      </c>
      <c r="Y1504" s="220" t="s">
        <v>1624</v>
      </c>
      <c r="Z1504" s="220">
        <f t="shared" ref="Z1504:Z1505" si="1541">X1504</f>
        <v>0.51853234604774656</v>
      </c>
      <c r="AA1504" s="792">
        <f t="shared" si="1534"/>
        <v>0.51853234604774656</v>
      </c>
      <c r="AB1504" s="458" t="s">
        <v>1165</v>
      </c>
      <c r="AC1504" s="13" t="s">
        <v>3867</v>
      </c>
      <c r="AD1504" s="13" t="s">
        <v>3007</v>
      </c>
      <c r="AE1504" s="12">
        <v>3.1660297063617504E-2</v>
      </c>
      <c r="AF1504" s="12">
        <v>0.3735301190055475</v>
      </c>
      <c r="AG1504" s="12">
        <v>2.1604141815772032E-3</v>
      </c>
      <c r="AH1504" s="12">
        <v>1.8530021654934324E-3</v>
      </c>
    </row>
    <row r="1505" spans="1:34" ht="14.25">
      <c r="A1505" s="14" t="s">
        <v>4781</v>
      </c>
      <c r="B1505" s="24" t="s">
        <v>2768</v>
      </c>
      <c r="C1505" s="14" t="s">
        <v>2832</v>
      </c>
      <c r="D1505" s="14" t="s">
        <v>2911</v>
      </c>
      <c r="E1505" s="14" t="s">
        <v>4782</v>
      </c>
      <c r="F1505" s="13">
        <v>50</v>
      </c>
      <c r="G1505" s="14" t="s">
        <v>3704</v>
      </c>
      <c r="H1505" s="567" t="s">
        <v>2934</v>
      </c>
      <c r="I1505" s="14" t="s">
        <v>4782</v>
      </c>
      <c r="J1505" s="14" t="s">
        <v>4783</v>
      </c>
      <c r="K1505" s="478">
        <v>1</v>
      </c>
      <c r="L1505" s="220">
        <v>50</v>
      </c>
      <c r="M1505" s="568" t="s">
        <v>4784</v>
      </c>
      <c r="N1505" s="479" t="s">
        <v>2937</v>
      </c>
      <c r="O1505" s="569" t="s">
        <v>4785</v>
      </c>
      <c r="P1505" s="14" t="s">
        <v>4226</v>
      </c>
      <c r="Q1505" s="486" t="s">
        <v>4780</v>
      </c>
      <c r="R1505" s="14">
        <v>0.2</v>
      </c>
      <c r="S1505" s="14">
        <f t="shared" si="1448"/>
        <v>0.1</v>
      </c>
      <c r="T1505">
        <f t="shared" si="1509"/>
        <v>96.425999999999988</v>
      </c>
      <c r="U1505">
        <f t="shared" si="1485"/>
        <v>0.20741293841909861</v>
      </c>
      <c r="V1505" s="220">
        <f t="shared" si="1456"/>
        <v>0.20741293841909861</v>
      </c>
      <c r="W1505" s="14" t="s">
        <v>423</v>
      </c>
      <c r="X1505">
        <f t="shared" si="1384"/>
        <v>0.20741293841909861</v>
      </c>
      <c r="Y1505" s="220" t="s">
        <v>1666</v>
      </c>
      <c r="Z1505" s="220">
        <f t="shared" si="1541"/>
        <v>0.20741293841909861</v>
      </c>
      <c r="AA1505" s="792">
        <f t="shared" si="1534"/>
        <v>0.20741293841909861</v>
      </c>
      <c r="AB1505" s="18" t="s">
        <v>2775</v>
      </c>
      <c r="AC1505" s="13" t="s">
        <v>2953</v>
      </c>
      <c r="AD1505" s="13" t="s">
        <v>2954</v>
      </c>
      <c r="AE1505" s="12">
        <v>8.22790593034603E-2</v>
      </c>
      <c r="AF1505" s="12">
        <v>0.15758024213268212</v>
      </c>
      <c r="AG1505" s="12">
        <v>9.7596766979824417E-6</v>
      </c>
      <c r="AH1505" s="12">
        <v>3.6045161743415983E-3</v>
      </c>
    </row>
    <row r="1506" spans="1:34" ht="14.25">
      <c r="A1506" s="14" t="s">
        <v>4781</v>
      </c>
      <c r="B1506" s="24" t="s">
        <v>2768</v>
      </c>
      <c r="C1506" s="14" t="s">
        <v>2832</v>
      </c>
      <c r="D1506" s="14" t="s">
        <v>2911</v>
      </c>
      <c r="E1506" s="14" t="s">
        <v>4782</v>
      </c>
      <c r="F1506" s="13">
        <v>50</v>
      </c>
      <c r="G1506" s="14" t="s">
        <v>3704</v>
      </c>
      <c r="H1506" s="567" t="s">
        <v>2934</v>
      </c>
      <c r="I1506" s="14" t="s">
        <v>4782</v>
      </c>
      <c r="J1506" s="14" t="s">
        <v>4783</v>
      </c>
      <c r="K1506" s="478">
        <v>1</v>
      </c>
      <c r="L1506" s="220">
        <v>50</v>
      </c>
      <c r="M1506" s="568" t="s">
        <v>4784</v>
      </c>
      <c r="N1506" s="479" t="s">
        <v>2937</v>
      </c>
      <c r="O1506" s="569" t="s">
        <v>4785</v>
      </c>
      <c r="P1506" s="14" t="s">
        <v>1376</v>
      </c>
      <c r="Q1506" s="527" t="s">
        <v>3114</v>
      </c>
      <c r="R1506" s="14">
        <v>0.15</v>
      </c>
      <c r="S1506" s="14">
        <f t="shared" si="1448"/>
        <v>7.4999999999999997E-2</v>
      </c>
      <c r="T1506">
        <f t="shared" si="1509"/>
        <v>96.425999999999988</v>
      </c>
      <c r="U1506">
        <f t="shared" si="1485"/>
        <v>0.15555970381432396</v>
      </c>
      <c r="V1506" s="220">
        <f t="shared" si="1456"/>
        <v>0.15555970381432396</v>
      </c>
      <c r="W1506" s="14" t="s">
        <v>340</v>
      </c>
      <c r="X1506">
        <f t="shared" si="1384"/>
        <v>0.15555970381432396</v>
      </c>
      <c r="Y1506" s="220" t="s">
        <v>1666</v>
      </c>
      <c r="Z1506" s="220" t="s">
        <v>1666</v>
      </c>
      <c r="AA1506" s="792" t="str">
        <f t="shared" si="1534"/>
        <v>*</v>
      </c>
      <c r="AB1506" s="497" t="str">
        <f t="shared" ref="AB1506:AH1506" si="1542">AA1506</f>
        <v>*</v>
      </c>
      <c r="AC1506" s="497" t="str">
        <f t="shared" si="1542"/>
        <v>*</v>
      </c>
      <c r="AD1506" s="497" t="str">
        <f t="shared" si="1542"/>
        <v>*</v>
      </c>
      <c r="AE1506" s="483" t="str">
        <f t="shared" si="1542"/>
        <v>*</v>
      </c>
      <c r="AF1506" s="483" t="str">
        <f t="shared" si="1542"/>
        <v>*</v>
      </c>
      <c r="AG1506" s="483" t="str">
        <f t="shared" si="1542"/>
        <v>*</v>
      </c>
      <c r="AH1506" s="483" t="str">
        <f t="shared" si="1542"/>
        <v>*</v>
      </c>
    </row>
    <row r="1507" spans="1:34" ht="14.25">
      <c r="A1507" s="14" t="s">
        <v>4781</v>
      </c>
      <c r="B1507" s="24" t="s">
        <v>2768</v>
      </c>
      <c r="C1507" s="14" t="s">
        <v>2832</v>
      </c>
      <c r="D1507" s="14" t="s">
        <v>2911</v>
      </c>
      <c r="E1507" s="14" t="s">
        <v>4782</v>
      </c>
      <c r="F1507" s="13">
        <v>50</v>
      </c>
      <c r="G1507" s="14" t="s">
        <v>3704</v>
      </c>
      <c r="H1507" s="567" t="s">
        <v>2934</v>
      </c>
      <c r="I1507" s="14" t="s">
        <v>4782</v>
      </c>
      <c r="J1507" s="14" t="s">
        <v>4783</v>
      </c>
      <c r="K1507" s="478">
        <v>1</v>
      </c>
      <c r="L1507" s="220">
        <v>50</v>
      </c>
      <c r="M1507" s="568" t="s">
        <v>4784</v>
      </c>
      <c r="N1507" s="479" t="s">
        <v>2937</v>
      </c>
      <c r="O1507" s="569" t="s">
        <v>4785</v>
      </c>
      <c r="P1507" s="14" t="s">
        <v>3129</v>
      </c>
      <c r="Q1507" s="486" t="s">
        <v>4761</v>
      </c>
      <c r="R1507" s="14">
        <v>0.15</v>
      </c>
      <c r="S1507" s="14">
        <f t="shared" si="1448"/>
        <v>7.4999999999999997E-2</v>
      </c>
      <c r="T1507">
        <f t="shared" si="1509"/>
        <v>96.425999999999988</v>
      </c>
      <c r="U1507">
        <f t="shared" si="1485"/>
        <v>0.15555970381432396</v>
      </c>
      <c r="V1507" s="220">
        <f t="shared" si="1456"/>
        <v>0.15555970381432396</v>
      </c>
      <c r="W1507" s="14" t="s">
        <v>350</v>
      </c>
      <c r="X1507">
        <f t="shared" si="1384"/>
        <v>0.15555970381432396</v>
      </c>
      <c r="Y1507" s="499">
        <f t="shared" ref="Y1507:AA1507" si="1543">X1507</f>
        <v>0.15555970381432396</v>
      </c>
      <c r="Z1507" s="220">
        <f t="shared" si="1543"/>
        <v>0.15555970381432396</v>
      </c>
      <c r="AA1507" s="792">
        <f t="shared" si="1543"/>
        <v>0.15555970381432396</v>
      </c>
      <c r="AB1507" s="18" t="s">
        <v>350</v>
      </c>
      <c r="AC1507" s="13" t="s">
        <v>18</v>
      </c>
      <c r="AD1507" s="13" t="s">
        <v>2967</v>
      </c>
      <c r="AE1507" s="12">
        <v>7.6923076923076919E-3</v>
      </c>
      <c r="AF1507" s="12">
        <v>0.183</v>
      </c>
      <c r="AG1507" s="12">
        <v>2.8673068893528183E-4</v>
      </c>
      <c r="AH1507" s="12">
        <v>1.4770983615231311E-3</v>
      </c>
    </row>
    <row r="1508" spans="1:34" ht="14.25">
      <c r="A1508" s="14" t="s">
        <v>4781</v>
      </c>
      <c r="B1508" s="24" t="s">
        <v>2768</v>
      </c>
      <c r="C1508" s="14" t="s">
        <v>2832</v>
      </c>
      <c r="D1508" s="14" t="s">
        <v>2911</v>
      </c>
      <c r="E1508" s="14" t="s">
        <v>4782</v>
      </c>
      <c r="F1508" s="13">
        <v>50</v>
      </c>
      <c r="G1508" s="14" t="s">
        <v>3704</v>
      </c>
      <c r="H1508" s="567" t="s">
        <v>2934</v>
      </c>
      <c r="I1508" s="14" t="s">
        <v>4782</v>
      </c>
      <c r="J1508" s="14" t="s">
        <v>4783</v>
      </c>
      <c r="K1508" s="478">
        <v>1</v>
      </c>
      <c r="L1508" s="220">
        <v>50</v>
      </c>
      <c r="M1508" s="568" t="s">
        <v>4784</v>
      </c>
      <c r="N1508" s="479" t="s">
        <v>2937</v>
      </c>
      <c r="O1508" s="569" t="s">
        <v>4785</v>
      </c>
      <c r="P1508" s="14" t="s">
        <v>4811</v>
      </c>
      <c r="Q1508" s="486" t="s">
        <v>4812</v>
      </c>
      <c r="R1508" s="14">
        <v>0.15</v>
      </c>
      <c r="S1508" s="14">
        <f t="shared" si="1448"/>
        <v>7.4999999999999997E-2</v>
      </c>
      <c r="T1508">
        <f t="shared" si="1509"/>
        <v>96.425999999999988</v>
      </c>
      <c r="U1508">
        <f t="shared" si="1485"/>
        <v>0.15555970381432396</v>
      </c>
      <c r="V1508" s="220">
        <f t="shared" si="1456"/>
        <v>0.15555970381432396</v>
      </c>
      <c r="W1508" s="14" t="s">
        <v>338</v>
      </c>
      <c r="X1508">
        <f t="shared" si="1384"/>
        <v>0.15555970381432396</v>
      </c>
      <c r="Y1508" s="220" t="s">
        <v>1666</v>
      </c>
      <c r="Z1508" s="220">
        <f>X1508</f>
        <v>0.15555970381432396</v>
      </c>
      <c r="AA1508" s="792">
        <f t="shared" ref="AA1508:AA1509" si="1544">Z1508</f>
        <v>0.15555970381432396</v>
      </c>
      <c r="AB1508" s="458" t="s">
        <v>2839</v>
      </c>
      <c r="AC1508" s="13" t="s">
        <v>4579</v>
      </c>
      <c r="AD1508" s="13" t="s">
        <v>18</v>
      </c>
      <c r="AE1508" s="12">
        <v>7.8041307047035744E-3</v>
      </c>
      <c r="AF1508" s="12">
        <v>3.1555215464803207E-2</v>
      </c>
      <c r="AG1508" s="12">
        <v>4.3460601137286752E-4</v>
      </c>
      <c r="AH1508" s="12">
        <v>1.280508903681073E-3</v>
      </c>
    </row>
    <row r="1509" spans="1:34" ht="14.25">
      <c r="A1509" s="14" t="s">
        <v>4781</v>
      </c>
      <c r="B1509" s="24" t="s">
        <v>2768</v>
      </c>
      <c r="C1509" s="14" t="s">
        <v>2832</v>
      </c>
      <c r="D1509" s="14" t="s">
        <v>2911</v>
      </c>
      <c r="E1509" s="14" t="s">
        <v>4782</v>
      </c>
      <c r="F1509" s="13">
        <v>50</v>
      </c>
      <c r="G1509" s="14" t="s">
        <v>3704</v>
      </c>
      <c r="H1509" s="567" t="s">
        <v>2934</v>
      </c>
      <c r="I1509" s="14" t="s">
        <v>4782</v>
      </c>
      <c r="J1509" s="14" t="s">
        <v>4783</v>
      </c>
      <c r="K1509" s="478">
        <v>1</v>
      </c>
      <c r="L1509" s="220">
        <v>50</v>
      </c>
      <c r="M1509" s="568" t="s">
        <v>4784</v>
      </c>
      <c r="N1509" s="479" t="s">
        <v>2937</v>
      </c>
      <c r="O1509" s="569" t="s">
        <v>2976</v>
      </c>
      <c r="P1509" s="655" t="s">
        <v>2985</v>
      </c>
      <c r="Q1509" s="486" t="s">
        <v>2968</v>
      </c>
      <c r="R1509" s="14">
        <v>0.1</v>
      </c>
      <c r="S1509" s="14">
        <f t="shared" si="1448"/>
        <v>0.05</v>
      </c>
      <c r="T1509">
        <f t="shared" si="1509"/>
        <v>96.425999999999988</v>
      </c>
      <c r="U1509">
        <f t="shared" si="1485"/>
        <v>0.1037064692095493</v>
      </c>
      <c r="V1509" s="220">
        <f t="shared" si="1456"/>
        <v>0.1037064692095493</v>
      </c>
      <c r="W1509" s="14" t="s">
        <v>2522</v>
      </c>
      <c r="X1509">
        <f t="shared" si="1384"/>
        <v>0.1037064692095493</v>
      </c>
      <c r="Y1509" s="220" t="s">
        <v>1666</v>
      </c>
      <c r="Z1509" s="220" t="s">
        <v>1666</v>
      </c>
      <c r="AA1509" s="792" t="str">
        <f t="shared" si="1544"/>
        <v>*</v>
      </c>
      <c r="AB1509" s="497" t="str">
        <f t="shared" ref="AB1509:AH1509" si="1545">AA1509</f>
        <v>*</v>
      </c>
      <c r="AC1509" s="497" t="str">
        <f t="shared" si="1545"/>
        <v>*</v>
      </c>
      <c r="AD1509" s="497" t="str">
        <f t="shared" si="1545"/>
        <v>*</v>
      </c>
      <c r="AE1509" s="483" t="str">
        <f t="shared" si="1545"/>
        <v>*</v>
      </c>
      <c r="AF1509" s="483" t="str">
        <f t="shared" si="1545"/>
        <v>*</v>
      </c>
      <c r="AG1509" s="483" t="str">
        <f t="shared" si="1545"/>
        <v>*</v>
      </c>
      <c r="AH1509" s="483" t="str">
        <f t="shared" si="1545"/>
        <v>*</v>
      </c>
    </row>
    <row r="1510" spans="1:34" ht="14.25">
      <c r="A1510" s="617" t="s">
        <v>4781</v>
      </c>
      <c r="B1510" s="794" t="s">
        <v>2768</v>
      </c>
      <c r="C1510" s="617" t="s">
        <v>2832</v>
      </c>
      <c r="D1510" s="617" t="s">
        <v>2911</v>
      </c>
      <c r="E1510" s="617" t="s">
        <v>4782</v>
      </c>
      <c r="F1510" s="799">
        <v>50</v>
      </c>
      <c r="G1510" s="617" t="s">
        <v>3704</v>
      </c>
      <c r="H1510" s="910" t="s">
        <v>2934</v>
      </c>
      <c r="I1510" s="617" t="s">
        <v>4782</v>
      </c>
      <c r="J1510" s="617" t="s">
        <v>4783</v>
      </c>
      <c r="K1510" s="838">
        <v>1</v>
      </c>
      <c r="L1510" s="725">
        <v>50</v>
      </c>
      <c r="M1510" s="911" t="s">
        <v>4784</v>
      </c>
      <c r="N1510" s="841" t="s">
        <v>2937</v>
      </c>
      <c r="O1510" s="912" t="s">
        <v>4785</v>
      </c>
      <c r="P1510" s="849" t="s">
        <v>4813</v>
      </c>
      <c r="Q1510" s="856" t="s">
        <v>4814</v>
      </c>
      <c r="R1510" s="617">
        <v>0.1</v>
      </c>
      <c r="S1510" s="617">
        <f t="shared" si="1448"/>
        <v>0.05</v>
      </c>
      <c r="T1510" s="933">
        <f>SUM(R1465:R1510)</f>
        <v>96.425999999999988</v>
      </c>
      <c r="U1510" s="617">
        <f t="shared" si="1485"/>
        <v>0.1037064692095493</v>
      </c>
      <c r="V1510" s="725">
        <f t="shared" si="1456"/>
        <v>0.1037064692095493</v>
      </c>
      <c r="W1510" s="617" t="s">
        <v>311</v>
      </c>
      <c r="X1510" s="617">
        <f t="shared" si="1384"/>
        <v>0.1037064692095493</v>
      </c>
      <c r="Y1510" s="862">
        <f t="shared" ref="Y1510:AA1510" si="1546">X1510</f>
        <v>0.1037064692095493</v>
      </c>
      <c r="Z1510" s="725">
        <f t="shared" si="1546"/>
        <v>0.1037064692095493</v>
      </c>
      <c r="AA1510" s="455">
        <f t="shared" si="1546"/>
        <v>0.1037064692095493</v>
      </c>
      <c r="AB1510" s="821" t="s">
        <v>311</v>
      </c>
      <c r="AC1510" s="799" t="s">
        <v>18</v>
      </c>
      <c r="AD1510" s="799" t="s">
        <v>3144</v>
      </c>
      <c r="AE1510" s="635">
        <v>5.5052259063149899E-3</v>
      </c>
      <c r="AF1510" s="635">
        <v>8.2856018088169489E-2</v>
      </c>
      <c r="AG1510" s="635">
        <v>3.8159999999999999E-3</v>
      </c>
      <c r="AH1510" s="635">
        <v>1.8959770013580487E-3</v>
      </c>
    </row>
    <row r="1511" spans="1:34" ht="14.25">
      <c r="A1511" s="14" t="s">
        <v>4815</v>
      </c>
      <c r="B1511" s="24" t="s">
        <v>2768</v>
      </c>
      <c r="C1511" s="14" t="s">
        <v>2840</v>
      </c>
      <c r="D1511" s="14" t="s">
        <v>2911</v>
      </c>
      <c r="E1511" s="14" t="s">
        <v>4816</v>
      </c>
      <c r="F1511" s="13">
        <v>325</v>
      </c>
      <c r="G1511" s="14" t="s">
        <v>4817</v>
      </c>
      <c r="H1511" s="567" t="s">
        <v>2934</v>
      </c>
      <c r="I1511" s="14" t="s">
        <v>4816</v>
      </c>
      <c r="J1511" s="14" t="s">
        <v>4818</v>
      </c>
      <c r="K1511" s="478">
        <v>1</v>
      </c>
      <c r="L1511" s="220">
        <v>325</v>
      </c>
      <c r="M1511" s="568" t="s">
        <v>4819</v>
      </c>
      <c r="N1511" s="479" t="s">
        <v>2937</v>
      </c>
      <c r="O1511" s="569" t="s">
        <v>2976</v>
      </c>
      <c r="P1511" s="14" t="s">
        <v>2912</v>
      </c>
      <c r="Q1511" s="435" t="s">
        <v>2915</v>
      </c>
      <c r="R1511" s="14">
        <v>70</v>
      </c>
      <c r="S1511" s="14">
        <f t="shared" si="1448"/>
        <v>227.50000000000003</v>
      </c>
      <c r="T1511">
        <f t="shared" ref="T1511:T1524" si="1547">SUM(R$1511:R$1525)</f>
        <v>99.989999999999952</v>
      </c>
      <c r="U1511">
        <f t="shared" si="1485"/>
        <v>70.007000700070037</v>
      </c>
      <c r="V1511" s="220">
        <f>U1511*100/SUM(U1511,U1513:U1525)</f>
        <v>91.635030763188865</v>
      </c>
      <c r="W1511" s="14" t="s">
        <v>124</v>
      </c>
      <c r="X1511">
        <f t="shared" si="1384"/>
        <v>91.635030763188865</v>
      </c>
      <c r="Y1511" s="220">
        <f>SUM(X1511,X1517)</f>
        <v>93.075009818038978</v>
      </c>
      <c r="Z1511" s="220">
        <f>X1511</f>
        <v>91.635030763188865</v>
      </c>
      <c r="AA1511" s="792">
        <f>Z1511</f>
        <v>91.635030763188865</v>
      </c>
      <c r="AB1511" s="18" t="s">
        <v>124</v>
      </c>
      <c r="AC1511" s="13" t="s">
        <v>877</v>
      </c>
      <c r="AD1511" s="14" t="s">
        <v>2916</v>
      </c>
      <c r="AE1511" s="12">
        <v>3.9416473933649287E-3</v>
      </c>
      <c r="AF1511" s="12">
        <v>1.1589150710900475E-2</v>
      </c>
      <c r="AG1511" s="12">
        <v>7.7264934597156404E-5</v>
      </c>
      <c r="AH1511" s="12">
        <v>7.2702369668246447E-4</v>
      </c>
    </row>
    <row r="1512" spans="1:34" ht="14.25">
      <c r="A1512" s="14" t="s">
        <v>4815</v>
      </c>
      <c r="B1512" s="24" t="s">
        <v>2768</v>
      </c>
      <c r="C1512" s="14" t="s">
        <v>2840</v>
      </c>
      <c r="D1512" s="14" t="s">
        <v>2911</v>
      </c>
      <c r="E1512" s="14" t="s">
        <v>4816</v>
      </c>
      <c r="F1512" s="13">
        <v>325</v>
      </c>
      <c r="G1512" s="14" t="s">
        <v>4817</v>
      </c>
      <c r="H1512" s="567" t="s">
        <v>2934</v>
      </c>
      <c r="I1512" s="14" t="s">
        <v>4816</v>
      </c>
      <c r="J1512" s="14" t="s">
        <v>4818</v>
      </c>
      <c r="K1512" s="478">
        <v>1</v>
      </c>
      <c r="L1512" s="220">
        <v>325</v>
      </c>
      <c r="M1512" s="568" t="s">
        <v>4819</v>
      </c>
      <c r="N1512" s="479" t="s">
        <v>2937</v>
      </c>
      <c r="O1512" s="569" t="s">
        <v>2976</v>
      </c>
      <c r="P1512" s="14" t="s">
        <v>2938</v>
      </c>
      <c r="Q1512" s="435" t="s">
        <v>2939</v>
      </c>
      <c r="R1512" s="14">
        <v>23.6</v>
      </c>
      <c r="S1512" s="14">
        <f t="shared" si="1448"/>
        <v>76.7</v>
      </c>
      <c r="T1512">
        <f t="shared" si="1547"/>
        <v>99.989999999999952</v>
      </c>
      <c r="U1512">
        <f t="shared" si="1485"/>
        <v>23.602360236023614</v>
      </c>
      <c r="V1512" s="481">
        <f>U1512</f>
        <v>23.602360236023614</v>
      </c>
      <c r="W1512" s="482" t="s">
        <v>72</v>
      </c>
      <c r="X1512" s="482">
        <f t="shared" si="1384"/>
        <v>23.602360236023614</v>
      </c>
      <c r="Y1512" s="481">
        <f t="shared" ref="Y1512:AA1512" si="1548">X1512</f>
        <v>23.602360236023614</v>
      </c>
      <c r="Z1512" s="481">
        <f t="shared" si="1548"/>
        <v>23.602360236023614</v>
      </c>
      <c r="AA1512" s="810">
        <f t="shared" si="1548"/>
        <v>23.602360236023614</v>
      </c>
      <c r="AB1512" s="456" t="s">
        <v>72</v>
      </c>
      <c r="AC1512" s="469" t="s">
        <v>2938</v>
      </c>
      <c r="AD1512" s="469" t="s">
        <v>2940</v>
      </c>
      <c r="AE1512" s="457">
        <v>0</v>
      </c>
      <c r="AF1512" s="457">
        <v>0</v>
      </c>
      <c r="AG1512" s="457">
        <v>0</v>
      </c>
      <c r="AH1512" s="457">
        <v>0</v>
      </c>
    </row>
    <row r="1513" spans="1:34" ht="14.25">
      <c r="A1513" s="14" t="s">
        <v>4815</v>
      </c>
      <c r="B1513" s="24" t="s">
        <v>2768</v>
      </c>
      <c r="C1513" s="14" t="s">
        <v>2840</v>
      </c>
      <c r="D1513" s="14" t="s">
        <v>2911</v>
      </c>
      <c r="E1513" s="14" t="s">
        <v>4816</v>
      </c>
      <c r="F1513" s="13">
        <v>325</v>
      </c>
      <c r="G1513" s="14" t="s">
        <v>4817</v>
      </c>
      <c r="H1513" s="567" t="s">
        <v>2934</v>
      </c>
      <c r="I1513" s="14" t="s">
        <v>4816</v>
      </c>
      <c r="J1513" s="14" t="s">
        <v>4818</v>
      </c>
      <c r="K1513" s="478">
        <v>1</v>
      </c>
      <c r="L1513" s="220">
        <v>325</v>
      </c>
      <c r="M1513" s="568" t="s">
        <v>4819</v>
      </c>
      <c r="N1513" s="479" t="s">
        <v>2937</v>
      </c>
      <c r="O1513" s="569" t="s">
        <v>2976</v>
      </c>
      <c r="P1513" s="14" t="s">
        <v>2945</v>
      </c>
      <c r="Q1513" s="14" t="s">
        <v>2946</v>
      </c>
      <c r="R1513" s="14">
        <v>1</v>
      </c>
      <c r="S1513" s="14">
        <f t="shared" si="1448"/>
        <v>3.25</v>
      </c>
      <c r="T1513">
        <f t="shared" si="1547"/>
        <v>99.989999999999952</v>
      </c>
      <c r="U1513">
        <f t="shared" si="1485"/>
        <v>1.0001000100010007</v>
      </c>
      <c r="V1513" s="220">
        <f t="shared" ref="V1513:V1525" si="1549">U1513*100/SUM(U$1511,U$1513:U$1525)</f>
        <v>1.3090718680455553</v>
      </c>
      <c r="W1513" s="14" t="s">
        <v>433</v>
      </c>
      <c r="X1513">
        <f t="shared" si="1384"/>
        <v>1.3090718680455553</v>
      </c>
      <c r="Y1513" s="499">
        <f t="shared" ref="Y1513:AA1513" si="1550">X1513</f>
        <v>1.3090718680455553</v>
      </c>
      <c r="Z1513" s="220">
        <f t="shared" si="1550"/>
        <v>1.3090718680455553</v>
      </c>
      <c r="AA1513" s="792">
        <f t="shared" si="1550"/>
        <v>1.3090718680455553</v>
      </c>
      <c r="AB1513" s="18" t="s">
        <v>433</v>
      </c>
      <c r="AC1513" s="13" t="s">
        <v>433</v>
      </c>
      <c r="AD1513" s="13" t="s">
        <v>2947</v>
      </c>
      <c r="AE1513" s="12">
        <v>3.0104466724907065E-4</v>
      </c>
      <c r="AF1513" s="12">
        <v>1.2500000000000001E-2</v>
      </c>
      <c r="AG1513" s="12">
        <v>5.1818181818181835E-4</v>
      </c>
      <c r="AH1513" s="12">
        <v>4.0084080366977777E-4</v>
      </c>
    </row>
    <row r="1514" spans="1:34" ht="14.25">
      <c r="A1514" s="14" t="s">
        <v>4815</v>
      </c>
      <c r="B1514" s="24" t="s">
        <v>2768</v>
      </c>
      <c r="C1514" s="14" t="s">
        <v>2840</v>
      </c>
      <c r="D1514" s="14" t="s">
        <v>2911</v>
      </c>
      <c r="E1514" s="14" t="s">
        <v>4816</v>
      </c>
      <c r="F1514" s="13">
        <v>325</v>
      </c>
      <c r="G1514" s="14" t="s">
        <v>4817</v>
      </c>
      <c r="H1514" s="567" t="s">
        <v>2934</v>
      </c>
      <c r="I1514" s="14" t="s">
        <v>4816</v>
      </c>
      <c r="J1514" s="14" t="s">
        <v>4818</v>
      </c>
      <c r="K1514" s="478">
        <v>1</v>
      </c>
      <c r="L1514" s="220">
        <v>325</v>
      </c>
      <c r="M1514" s="568" t="s">
        <v>4819</v>
      </c>
      <c r="N1514" s="479" t="s">
        <v>2937</v>
      </c>
      <c r="O1514" s="569" t="s">
        <v>2976</v>
      </c>
      <c r="P1514" s="14" t="s">
        <v>1376</v>
      </c>
      <c r="Q1514" s="527" t="s">
        <v>3114</v>
      </c>
      <c r="R1514" s="14">
        <v>1.1000000000000001</v>
      </c>
      <c r="S1514" s="14">
        <f t="shared" si="1448"/>
        <v>3.5750000000000002</v>
      </c>
      <c r="T1514">
        <f t="shared" si="1547"/>
        <v>99.989999999999952</v>
      </c>
      <c r="U1514">
        <f t="shared" si="1485"/>
        <v>1.1001100110011008</v>
      </c>
      <c r="V1514" s="220">
        <f t="shared" si="1549"/>
        <v>1.439979054850111</v>
      </c>
      <c r="W1514" s="14" t="s">
        <v>340</v>
      </c>
      <c r="X1514">
        <f t="shared" si="1384"/>
        <v>1.439979054850111</v>
      </c>
      <c r="Y1514" s="220">
        <f t="shared" ref="Y1514:Y1516" si="1551">X1514</f>
        <v>1.439979054850111</v>
      </c>
      <c r="Z1514" s="220">
        <f t="shared" ref="Z1514:Z1515" si="1552">X1514</f>
        <v>1.439979054850111</v>
      </c>
      <c r="AA1514" s="792">
        <f t="shared" ref="AA1514:AA1515" si="1553">Z1514</f>
        <v>1.439979054850111</v>
      </c>
      <c r="AB1514" s="18" t="s">
        <v>340</v>
      </c>
      <c r="AC1514" s="13" t="s">
        <v>3115</v>
      </c>
      <c r="AD1514" s="13" t="s">
        <v>3116</v>
      </c>
      <c r="AE1514" s="12">
        <v>2.1708241661196198E-2</v>
      </c>
      <c r="AF1514" s="12">
        <v>0.36572952458380198</v>
      </c>
      <c r="AG1514" s="12">
        <v>4.6350652173913045E-4</v>
      </c>
      <c r="AH1514" s="12">
        <v>1.6975608035415088E-3</v>
      </c>
    </row>
    <row r="1515" spans="1:34" ht="14.25">
      <c r="A1515" s="14" t="s">
        <v>4815</v>
      </c>
      <c r="B1515" s="24" t="s">
        <v>2768</v>
      </c>
      <c r="C1515" s="14" t="s">
        <v>2840</v>
      </c>
      <c r="D1515" s="14" t="s">
        <v>2911</v>
      </c>
      <c r="E1515" s="14" t="s">
        <v>4816</v>
      </c>
      <c r="F1515" s="13">
        <v>325</v>
      </c>
      <c r="G1515" s="14" t="s">
        <v>4817</v>
      </c>
      <c r="H1515" s="567" t="s">
        <v>2934</v>
      </c>
      <c r="I1515" s="14" t="s">
        <v>4816</v>
      </c>
      <c r="J1515" s="14" t="s">
        <v>4818</v>
      </c>
      <c r="K1515" s="478">
        <v>1</v>
      </c>
      <c r="L1515" s="220">
        <v>325</v>
      </c>
      <c r="M1515" s="568" t="s">
        <v>4819</v>
      </c>
      <c r="N1515" s="479" t="s">
        <v>2937</v>
      </c>
      <c r="O1515" s="569" t="s">
        <v>2976</v>
      </c>
      <c r="P1515" s="14" t="s">
        <v>3041</v>
      </c>
      <c r="Q1515" s="486" t="s">
        <v>4820</v>
      </c>
      <c r="R1515" s="14">
        <v>1.1000000000000001</v>
      </c>
      <c r="S1515" s="14">
        <f t="shared" si="1448"/>
        <v>3.5750000000000002</v>
      </c>
      <c r="T1515">
        <f t="shared" si="1547"/>
        <v>99.989999999999952</v>
      </c>
      <c r="U1515">
        <f t="shared" si="1485"/>
        <v>1.1001100110011008</v>
      </c>
      <c r="V1515" s="220">
        <f t="shared" si="1549"/>
        <v>1.439979054850111</v>
      </c>
      <c r="W1515" s="14" t="s">
        <v>81</v>
      </c>
      <c r="X1515">
        <f t="shared" si="1384"/>
        <v>1.439979054850111</v>
      </c>
      <c r="Y1515" s="220">
        <f t="shared" si="1551"/>
        <v>1.439979054850111</v>
      </c>
      <c r="Z1515" s="220">
        <f t="shared" si="1552"/>
        <v>1.439979054850111</v>
      </c>
      <c r="AA1515" s="792">
        <f t="shared" si="1553"/>
        <v>1.439979054850111</v>
      </c>
      <c r="AB1515" s="18" t="s">
        <v>81</v>
      </c>
      <c r="AC1515" s="14" t="s">
        <v>18</v>
      </c>
      <c r="AD1515" s="14" t="s">
        <v>18</v>
      </c>
      <c r="AE1515" s="12">
        <v>1.9912385503783353E-2</v>
      </c>
      <c r="AF1515" s="12">
        <v>5.6949422540820388E-2</v>
      </c>
      <c r="AG1515" s="12">
        <v>3.8829151732377542E-3</v>
      </c>
      <c r="AH1515" s="12">
        <v>5.6321186778176026E-3</v>
      </c>
    </row>
    <row r="1516" spans="1:34" ht="14.25">
      <c r="A1516" s="14" t="s">
        <v>4815</v>
      </c>
      <c r="B1516" s="24" t="s">
        <v>2768</v>
      </c>
      <c r="C1516" s="14" t="s">
        <v>2840</v>
      </c>
      <c r="D1516" s="14" t="s">
        <v>2911</v>
      </c>
      <c r="E1516" s="14" t="s">
        <v>4816</v>
      </c>
      <c r="F1516" s="13">
        <v>325</v>
      </c>
      <c r="G1516" s="14" t="s">
        <v>4817</v>
      </c>
      <c r="H1516" s="567" t="s">
        <v>2934</v>
      </c>
      <c r="I1516" s="14" t="s">
        <v>4816</v>
      </c>
      <c r="J1516" s="14" t="s">
        <v>4818</v>
      </c>
      <c r="K1516" s="478">
        <v>1</v>
      </c>
      <c r="L1516" s="220">
        <v>325</v>
      </c>
      <c r="M1516" s="568" t="s">
        <v>4819</v>
      </c>
      <c r="N1516" s="479" t="s">
        <v>2937</v>
      </c>
      <c r="O1516" s="569" t="s">
        <v>2976</v>
      </c>
      <c r="P1516" s="14" t="s">
        <v>421</v>
      </c>
      <c r="Q1516" s="14" t="s">
        <v>2952</v>
      </c>
      <c r="R1516" s="14">
        <v>1</v>
      </c>
      <c r="S1516" s="14">
        <f t="shared" si="1448"/>
        <v>3.25</v>
      </c>
      <c r="T1516">
        <f t="shared" si="1547"/>
        <v>99.989999999999952</v>
      </c>
      <c r="U1516">
        <f t="shared" si="1485"/>
        <v>1.0001000100010007</v>
      </c>
      <c r="V1516" s="220">
        <f t="shared" si="1549"/>
        <v>1.3090718680455553</v>
      </c>
      <c r="W1516" s="14" t="s">
        <v>424</v>
      </c>
      <c r="X1516">
        <f t="shared" si="1384"/>
        <v>1.3090718680455553</v>
      </c>
      <c r="Y1516" s="499">
        <f t="shared" si="1551"/>
        <v>1.3090718680455553</v>
      </c>
      <c r="Z1516" s="220">
        <f t="shared" ref="Z1516:AA1516" si="1554">Y1516</f>
        <v>1.3090718680455553</v>
      </c>
      <c r="AA1516" s="792">
        <f t="shared" si="1554"/>
        <v>1.3090718680455553</v>
      </c>
      <c r="AB1516" s="18" t="s">
        <v>424</v>
      </c>
      <c r="AC1516" s="14" t="s">
        <v>2953</v>
      </c>
      <c r="AD1516" s="14" t="s">
        <v>2954</v>
      </c>
      <c r="AE1516" s="12">
        <v>0.2509573149461517</v>
      </c>
      <c r="AF1516" s="12">
        <v>0.48063158219067315</v>
      </c>
      <c r="AG1516" s="12">
        <v>2.9767747463359634E-5</v>
      </c>
      <c r="AH1516" s="12">
        <v>1.0994045246148063E-2</v>
      </c>
    </row>
    <row r="1517" spans="1:34" ht="14.25">
      <c r="A1517" s="14" t="s">
        <v>4815</v>
      </c>
      <c r="B1517" s="24" t="s">
        <v>2768</v>
      </c>
      <c r="C1517" s="14" t="s">
        <v>2840</v>
      </c>
      <c r="D1517" s="14" t="s">
        <v>2911</v>
      </c>
      <c r="E1517" s="14" t="s">
        <v>4816</v>
      </c>
      <c r="F1517" s="13">
        <v>325</v>
      </c>
      <c r="G1517" s="14" t="s">
        <v>4817</v>
      </c>
      <c r="H1517" s="567" t="s">
        <v>2934</v>
      </c>
      <c r="I1517" s="14" t="s">
        <v>4816</v>
      </c>
      <c r="J1517" s="14" t="s">
        <v>4818</v>
      </c>
      <c r="K1517" s="478">
        <v>1</v>
      </c>
      <c r="L1517" s="220">
        <v>325</v>
      </c>
      <c r="M1517" s="568" t="s">
        <v>4819</v>
      </c>
      <c r="N1517" s="479" t="s">
        <v>2937</v>
      </c>
      <c r="O1517" s="569" t="s">
        <v>2976</v>
      </c>
      <c r="P1517" s="14" t="s">
        <v>3048</v>
      </c>
      <c r="Q1517" s="14" t="s">
        <v>4821</v>
      </c>
      <c r="R1517" s="14">
        <v>1.1000000000000001</v>
      </c>
      <c r="S1517" s="14">
        <f t="shared" si="1448"/>
        <v>3.5750000000000002</v>
      </c>
      <c r="T1517">
        <f t="shared" si="1547"/>
        <v>99.989999999999952</v>
      </c>
      <c r="U1517">
        <f t="shared" si="1485"/>
        <v>1.1001100110011008</v>
      </c>
      <c r="V1517" s="220">
        <f t="shared" si="1549"/>
        <v>1.439979054850111</v>
      </c>
      <c r="W1517" s="14" t="s">
        <v>2712</v>
      </c>
      <c r="X1517">
        <f t="shared" si="1384"/>
        <v>1.439979054850111</v>
      </c>
      <c r="Y1517" s="220" t="s">
        <v>1666</v>
      </c>
      <c r="Z1517" s="220">
        <f>X1517</f>
        <v>1.439979054850111</v>
      </c>
      <c r="AA1517" s="792">
        <f t="shared" ref="AA1517:AA1519" si="1555">Z1517</f>
        <v>1.439979054850111</v>
      </c>
      <c r="AB1517" s="18" t="s">
        <v>2532</v>
      </c>
      <c r="AC1517" s="13" t="s">
        <v>878</v>
      </c>
      <c r="AD1517" s="13" t="s">
        <v>3050</v>
      </c>
      <c r="AE1517" s="12">
        <v>4.0401172748815169E-2</v>
      </c>
      <c r="AF1517" s="12">
        <v>0.11878669834123222</v>
      </c>
      <c r="AG1517" s="12">
        <v>7.919516026066351E-4</v>
      </c>
      <c r="AH1517" s="12">
        <v>7.4518613744075819E-3</v>
      </c>
    </row>
    <row r="1518" spans="1:34" ht="14.25">
      <c r="A1518" s="14" t="s">
        <v>4815</v>
      </c>
      <c r="B1518" s="24" t="s">
        <v>2768</v>
      </c>
      <c r="C1518" s="14" t="s">
        <v>2840</v>
      </c>
      <c r="D1518" s="14" t="s">
        <v>2911</v>
      </c>
      <c r="E1518" s="14" t="s">
        <v>4816</v>
      </c>
      <c r="F1518" s="13">
        <v>325</v>
      </c>
      <c r="G1518" s="14" t="s">
        <v>4817</v>
      </c>
      <c r="H1518" s="567" t="s">
        <v>2934</v>
      </c>
      <c r="I1518" s="14" t="s">
        <v>4816</v>
      </c>
      <c r="J1518" s="14" t="s">
        <v>4818</v>
      </c>
      <c r="K1518" s="478">
        <v>1</v>
      </c>
      <c r="L1518" s="220">
        <v>325</v>
      </c>
      <c r="M1518" s="568" t="s">
        <v>4819</v>
      </c>
      <c r="N1518" s="479" t="s">
        <v>2937</v>
      </c>
      <c r="O1518" s="569" t="s">
        <v>2976</v>
      </c>
      <c r="P1518" s="14" t="s">
        <v>3139</v>
      </c>
      <c r="Q1518" s="435" t="s">
        <v>3140</v>
      </c>
      <c r="R1518" s="14">
        <v>0.34</v>
      </c>
      <c r="S1518" s="14">
        <f t="shared" si="1448"/>
        <v>1.105</v>
      </c>
      <c r="T1518">
        <f t="shared" si="1547"/>
        <v>99.989999999999952</v>
      </c>
      <c r="U1518">
        <f t="shared" si="1485"/>
        <v>0.34003400340034018</v>
      </c>
      <c r="V1518" s="220">
        <f t="shared" si="1549"/>
        <v>0.44508443513548879</v>
      </c>
      <c r="W1518" s="14" t="s">
        <v>4321</v>
      </c>
      <c r="X1518">
        <f t="shared" si="1384"/>
        <v>0.44508443513548879</v>
      </c>
      <c r="Y1518" s="499">
        <f>SUM(X1518,X1520,X1522)</f>
        <v>0.70689880874459976</v>
      </c>
      <c r="Z1518" s="220">
        <f>SUM(X1518,X1520)</f>
        <v>0.57599162194004427</v>
      </c>
      <c r="AA1518" s="792">
        <f t="shared" si="1555"/>
        <v>0.57599162194004427</v>
      </c>
      <c r="AB1518" s="18" t="s">
        <v>2683</v>
      </c>
      <c r="AC1518" s="13" t="s">
        <v>2982</v>
      </c>
      <c r="AD1518" s="13" t="s">
        <v>2983</v>
      </c>
      <c r="AE1518" s="12">
        <v>2.9691872042618299E-2</v>
      </c>
      <c r="AF1518" s="12">
        <v>7.5368545517799299E-2</v>
      </c>
      <c r="AG1518" s="12">
        <v>2.9014018691588786E-4</v>
      </c>
      <c r="AH1518" s="12">
        <v>1.4770983615231311E-3</v>
      </c>
    </row>
    <row r="1519" spans="1:34" ht="14.25">
      <c r="A1519" s="14" t="s">
        <v>4815</v>
      </c>
      <c r="B1519" s="24" t="s">
        <v>2768</v>
      </c>
      <c r="C1519" s="14" t="s">
        <v>2840</v>
      </c>
      <c r="D1519" s="14" t="s">
        <v>2911</v>
      </c>
      <c r="E1519" s="14" t="s">
        <v>4816</v>
      </c>
      <c r="F1519" s="13">
        <v>325</v>
      </c>
      <c r="G1519" s="14" t="s">
        <v>4817</v>
      </c>
      <c r="H1519" s="567" t="s">
        <v>2934</v>
      </c>
      <c r="I1519" s="14" t="s">
        <v>4816</v>
      </c>
      <c r="J1519" s="14" t="s">
        <v>4818</v>
      </c>
      <c r="K1519" s="478">
        <v>1</v>
      </c>
      <c r="L1519" s="220">
        <v>325</v>
      </c>
      <c r="M1519" s="568" t="s">
        <v>4819</v>
      </c>
      <c r="N1519" s="479" t="s">
        <v>2937</v>
      </c>
      <c r="O1519" s="569" t="s">
        <v>2976</v>
      </c>
      <c r="P1519" s="14" t="s">
        <v>2962</v>
      </c>
      <c r="Q1519" s="88" t="s">
        <v>2963</v>
      </c>
      <c r="R1519" s="14">
        <v>0.15</v>
      </c>
      <c r="S1519" s="14">
        <f t="shared" si="1448"/>
        <v>0.48749999999999999</v>
      </c>
      <c r="T1519">
        <f t="shared" si="1547"/>
        <v>99.989999999999952</v>
      </c>
      <c r="U1519">
        <f t="shared" si="1485"/>
        <v>0.1500150015001501</v>
      </c>
      <c r="V1519" s="220">
        <f t="shared" si="1549"/>
        <v>0.19636078020683331</v>
      </c>
      <c r="W1519" s="14" t="s">
        <v>425</v>
      </c>
      <c r="X1519">
        <f t="shared" si="1384"/>
        <v>0.19636078020683331</v>
      </c>
      <c r="Y1519" s="499">
        <f>SUM(X1519,X1523)</f>
        <v>0.32726796701138883</v>
      </c>
      <c r="Z1519" s="220">
        <f>X1519</f>
        <v>0.19636078020683331</v>
      </c>
      <c r="AA1519" s="792">
        <f t="shared" si="1555"/>
        <v>0.19636078020683331</v>
      </c>
      <c r="AB1519" s="18" t="s">
        <v>425</v>
      </c>
      <c r="AC1519" s="13" t="s">
        <v>2964</v>
      </c>
      <c r="AD1519" s="13" t="s">
        <v>2965</v>
      </c>
      <c r="AE1519" s="12">
        <v>3.8102374934982654E-3</v>
      </c>
      <c r="AF1519" s="12">
        <v>0.20470422547079484</v>
      </c>
      <c r="AG1519" s="12">
        <v>1.210810810810811E-4</v>
      </c>
      <c r="AH1519" s="12">
        <v>1.0002400855855065E-3</v>
      </c>
    </row>
    <row r="1520" spans="1:34" ht="14.25">
      <c r="A1520" s="14" t="s">
        <v>4815</v>
      </c>
      <c r="B1520" s="24" t="s">
        <v>2768</v>
      </c>
      <c r="C1520" s="14" t="s">
        <v>2840</v>
      </c>
      <c r="D1520" s="14" t="s">
        <v>2911</v>
      </c>
      <c r="E1520" s="14" t="s">
        <v>4816</v>
      </c>
      <c r="F1520" s="13">
        <v>325</v>
      </c>
      <c r="G1520" s="14" t="s">
        <v>4817</v>
      </c>
      <c r="H1520" s="567" t="s">
        <v>2934</v>
      </c>
      <c r="I1520" s="14" t="s">
        <v>4816</v>
      </c>
      <c r="J1520" s="14" t="s">
        <v>4818</v>
      </c>
      <c r="K1520" s="478">
        <v>1</v>
      </c>
      <c r="L1520" s="220">
        <v>325</v>
      </c>
      <c r="M1520" s="568" t="s">
        <v>4819</v>
      </c>
      <c r="N1520" s="479" t="s">
        <v>2937</v>
      </c>
      <c r="O1520" s="569" t="s">
        <v>2976</v>
      </c>
      <c r="P1520" s="14" t="s">
        <v>3072</v>
      </c>
      <c r="Q1520" s="14" t="s">
        <v>3073</v>
      </c>
      <c r="R1520" s="14">
        <v>0.1</v>
      </c>
      <c r="S1520" s="14">
        <f t="shared" si="1448"/>
        <v>0.32500000000000001</v>
      </c>
      <c r="T1520">
        <f t="shared" si="1547"/>
        <v>99.989999999999952</v>
      </c>
      <c r="U1520">
        <f t="shared" si="1485"/>
        <v>0.10001000100010006</v>
      </c>
      <c r="V1520" s="220">
        <f t="shared" si="1549"/>
        <v>0.13090718680455554</v>
      </c>
      <c r="W1520" s="14" t="s">
        <v>343</v>
      </c>
      <c r="X1520">
        <f t="shared" si="1384"/>
        <v>0.13090718680455554</v>
      </c>
      <c r="Y1520" s="220" t="s">
        <v>1624</v>
      </c>
      <c r="Z1520" s="220" t="s">
        <v>1666</v>
      </c>
      <c r="AA1520" s="779" t="s">
        <v>1666</v>
      </c>
      <c r="AB1520" s="13" t="str">
        <f t="shared" ref="AB1520:AH1520" si="1556">AA1520</f>
        <v>*</v>
      </c>
      <c r="AC1520" s="13" t="str">
        <f t="shared" si="1556"/>
        <v>*</v>
      </c>
      <c r="AD1520" s="13" t="str">
        <f t="shared" si="1556"/>
        <v>*</v>
      </c>
      <c r="AE1520" s="220" t="str">
        <f t="shared" si="1556"/>
        <v>*</v>
      </c>
      <c r="AF1520" s="220" t="str">
        <f t="shared" si="1556"/>
        <v>*</v>
      </c>
      <c r="AG1520" s="220" t="str">
        <f t="shared" si="1556"/>
        <v>*</v>
      </c>
      <c r="AH1520" s="220" t="str">
        <f t="shared" si="1556"/>
        <v>*</v>
      </c>
    </row>
    <row r="1521" spans="1:34" ht="14.25">
      <c r="A1521" s="14" t="s">
        <v>4815</v>
      </c>
      <c r="B1521" s="24" t="s">
        <v>2768</v>
      </c>
      <c r="C1521" s="14" t="s">
        <v>2840</v>
      </c>
      <c r="D1521" s="14" t="s">
        <v>2911</v>
      </c>
      <c r="E1521" s="14" t="s">
        <v>4816</v>
      </c>
      <c r="F1521" s="13">
        <v>325</v>
      </c>
      <c r="G1521" s="14" t="s">
        <v>4817</v>
      </c>
      <c r="H1521" s="567" t="s">
        <v>2934</v>
      </c>
      <c r="I1521" s="14" t="s">
        <v>4816</v>
      </c>
      <c r="J1521" s="14" t="s">
        <v>4818</v>
      </c>
      <c r="K1521" s="478">
        <v>1</v>
      </c>
      <c r="L1521" s="220">
        <v>325</v>
      </c>
      <c r="M1521" s="568" t="s">
        <v>4819</v>
      </c>
      <c r="N1521" s="479" t="s">
        <v>2937</v>
      </c>
      <c r="O1521" s="569" t="s">
        <v>2976</v>
      </c>
      <c r="P1521" s="14" t="s">
        <v>4237</v>
      </c>
      <c r="Q1521" s="486" t="s">
        <v>4822</v>
      </c>
      <c r="R1521" s="14">
        <v>0.1</v>
      </c>
      <c r="S1521" s="14">
        <f t="shared" si="1448"/>
        <v>0.32500000000000001</v>
      </c>
      <c r="T1521">
        <f t="shared" si="1547"/>
        <v>99.989999999999952</v>
      </c>
      <c r="U1521">
        <f t="shared" si="1485"/>
        <v>0.10001000100010006</v>
      </c>
      <c r="V1521" s="220">
        <f t="shared" si="1549"/>
        <v>0.13090718680455554</v>
      </c>
      <c r="W1521" s="14" t="s">
        <v>4823</v>
      </c>
      <c r="X1521">
        <f t="shared" si="1384"/>
        <v>0.13090718680455554</v>
      </c>
      <c r="Y1521" s="499">
        <f t="shared" ref="Y1521:AA1521" si="1557">X1521</f>
        <v>0.13090718680455554</v>
      </c>
      <c r="Z1521" s="220">
        <f t="shared" si="1557"/>
        <v>0.13090718680455554</v>
      </c>
      <c r="AA1521" s="792">
        <f t="shared" si="1557"/>
        <v>0.13090718680455554</v>
      </c>
      <c r="AB1521" s="809" t="s">
        <v>2841</v>
      </c>
      <c r="AC1521" s="511" t="s">
        <v>3174</v>
      </c>
      <c r="AD1521" s="511" t="s">
        <v>3174</v>
      </c>
      <c r="AE1521" s="461">
        <v>2.2073766211046637E-2</v>
      </c>
      <c r="AF1521" s="461">
        <v>8.7246004352723297E-2</v>
      </c>
      <c r="AG1521" s="461">
        <v>5.8202330775582959E-4</v>
      </c>
      <c r="AH1521" s="461">
        <v>2.670351142205461E-3</v>
      </c>
    </row>
    <row r="1522" spans="1:34" ht="14.25">
      <c r="A1522" s="14" t="s">
        <v>4815</v>
      </c>
      <c r="B1522" s="24" t="s">
        <v>2768</v>
      </c>
      <c r="C1522" s="14" t="s">
        <v>2840</v>
      </c>
      <c r="D1522" s="14" t="s">
        <v>2911</v>
      </c>
      <c r="E1522" s="14" t="s">
        <v>4816</v>
      </c>
      <c r="F1522" s="13">
        <v>325</v>
      </c>
      <c r="G1522" s="14" t="s">
        <v>4817</v>
      </c>
      <c r="H1522" s="567" t="s">
        <v>2934</v>
      </c>
      <c r="I1522" s="14" t="s">
        <v>4816</v>
      </c>
      <c r="J1522" s="14" t="s">
        <v>4818</v>
      </c>
      <c r="K1522" s="478">
        <v>1</v>
      </c>
      <c r="L1522" s="220">
        <v>325</v>
      </c>
      <c r="M1522" s="568" t="s">
        <v>4819</v>
      </c>
      <c r="N1522" s="479" t="s">
        <v>2937</v>
      </c>
      <c r="O1522" s="569" t="s">
        <v>2976</v>
      </c>
      <c r="P1522" s="14" t="s">
        <v>3483</v>
      </c>
      <c r="Q1522" s="14" t="s">
        <v>4824</v>
      </c>
      <c r="R1522" s="14">
        <v>0.1</v>
      </c>
      <c r="S1522" s="14">
        <f t="shared" si="1448"/>
        <v>0.32500000000000001</v>
      </c>
      <c r="T1522">
        <f t="shared" si="1547"/>
        <v>99.989999999999952</v>
      </c>
      <c r="U1522">
        <f t="shared" si="1485"/>
        <v>0.10001000100010006</v>
      </c>
      <c r="V1522" s="220">
        <f t="shared" si="1549"/>
        <v>0.13090718680455554</v>
      </c>
      <c r="W1522" s="14" t="s">
        <v>301</v>
      </c>
      <c r="X1522">
        <f t="shared" si="1384"/>
        <v>0.13090718680455554</v>
      </c>
      <c r="Y1522" s="220" t="s">
        <v>1624</v>
      </c>
      <c r="Z1522" s="220">
        <f t="shared" ref="Z1522:Z1523" si="1558">X1522</f>
        <v>0.13090718680455554</v>
      </c>
      <c r="AA1522" s="792">
        <f t="shared" ref="AA1522:AA1523" si="1559">Z1522</f>
        <v>0.13090718680455554</v>
      </c>
      <c r="AB1522" s="18" t="s">
        <v>301</v>
      </c>
      <c r="AC1522" s="13" t="s">
        <v>3485</v>
      </c>
      <c r="AD1522" s="13" t="s">
        <v>2944</v>
      </c>
      <c r="AE1522" s="12">
        <v>4.7062756261925113E-3</v>
      </c>
      <c r="AF1522" s="12">
        <v>3.8210906557435767E-2</v>
      </c>
      <c r="AG1522" s="12">
        <v>7.6086956521739124E-5</v>
      </c>
      <c r="AH1522" s="12">
        <v>5.9908272287602653E-4</v>
      </c>
    </row>
    <row r="1523" spans="1:34" ht="14.25">
      <c r="A1523" s="14" t="s">
        <v>4815</v>
      </c>
      <c r="B1523" s="24" t="s">
        <v>2768</v>
      </c>
      <c r="C1523" s="14" t="s">
        <v>2840</v>
      </c>
      <c r="D1523" s="14" t="s">
        <v>2911</v>
      </c>
      <c r="E1523" s="14" t="s">
        <v>4816</v>
      </c>
      <c r="F1523" s="13">
        <v>325</v>
      </c>
      <c r="G1523" s="14" t="s">
        <v>4817</v>
      </c>
      <c r="H1523" s="567" t="s">
        <v>2934</v>
      </c>
      <c r="I1523" s="14" t="s">
        <v>4816</v>
      </c>
      <c r="J1523" s="14" t="s">
        <v>4818</v>
      </c>
      <c r="K1523" s="478">
        <v>1</v>
      </c>
      <c r="L1523" s="220">
        <v>325</v>
      </c>
      <c r="M1523" s="568" t="s">
        <v>4819</v>
      </c>
      <c r="N1523" s="479" t="s">
        <v>2937</v>
      </c>
      <c r="O1523" s="569" t="s">
        <v>2976</v>
      </c>
      <c r="P1523" s="655" t="s">
        <v>2977</v>
      </c>
      <c r="Q1523" s="486" t="s">
        <v>4825</v>
      </c>
      <c r="R1523" s="14">
        <v>0.1</v>
      </c>
      <c r="S1523" s="14">
        <f t="shared" si="1448"/>
        <v>0.32500000000000001</v>
      </c>
      <c r="T1523">
        <f t="shared" si="1547"/>
        <v>99.989999999999952</v>
      </c>
      <c r="U1523">
        <f t="shared" si="1485"/>
        <v>0.10001000100010006</v>
      </c>
      <c r="V1523" s="220">
        <f t="shared" si="1549"/>
        <v>0.13090718680455554</v>
      </c>
      <c r="W1523" s="14" t="s">
        <v>227</v>
      </c>
      <c r="X1523">
        <f t="shared" si="1384"/>
        <v>0.13090718680455554</v>
      </c>
      <c r="Y1523" s="220" t="s">
        <v>1624</v>
      </c>
      <c r="Z1523" s="220">
        <f t="shared" si="1558"/>
        <v>0.13090718680455554</v>
      </c>
      <c r="AA1523" s="792">
        <f t="shared" si="1559"/>
        <v>0.13090718680455554</v>
      </c>
      <c r="AB1523" s="18" t="s">
        <v>227</v>
      </c>
      <c r="AC1523" s="13" t="s">
        <v>55</v>
      </c>
      <c r="AD1523" s="13" t="s">
        <v>2979</v>
      </c>
      <c r="AE1523" s="12">
        <v>2.5055367220000002E-3</v>
      </c>
      <c r="AF1523" s="12">
        <v>3.8459841414181101E-2</v>
      </c>
      <c r="AG1523" s="12">
        <v>1.1035422343324251E-4</v>
      </c>
      <c r="AH1523" s="12">
        <v>8.109653861711444E-4</v>
      </c>
    </row>
    <row r="1524" spans="1:34" ht="14.25">
      <c r="A1524" s="14" t="s">
        <v>4815</v>
      </c>
      <c r="B1524" s="24" t="s">
        <v>2768</v>
      </c>
      <c r="C1524" s="14" t="s">
        <v>2840</v>
      </c>
      <c r="D1524" s="14" t="s">
        <v>2911</v>
      </c>
      <c r="E1524" s="14" t="s">
        <v>4816</v>
      </c>
      <c r="F1524" s="13">
        <v>325</v>
      </c>
      <c r="G1524" s="14" t="s">
        <v>4817</v>
      </c>
      <c r="H1524" s="567" t="s">
        <v>2934</v>
      </c>
      <c r="I1524" s="14" t="s">
        <v>4816</v>
      </c>
      <c r="J1524" s="14" t="s">
        <v>4818</v>
      </c>
      <c r="K1524" s="478">
        <v>1</v>
      </c>
      <c r="L1524" s="220">
        <v>325</v>
      </c>
      <c r="M1524" s="568" t="s">
        <v>4819</v>
      </c>
      <c r="N1524" s="479" t="s">
        <v>2937</v>
      </c>
      <c r="O1524" s="569" t="s">
        <v>2976</v>
      </c>
      <c r="P1524" s="655" t="s">
        <v>3005</v>
      </c>
      <c r="Q1524" s="486" t="s">
        <v>4826</v>
      </c>
      <c r="R1524" s="14">
        <v>0.1</v>
      </c>
      <c r="S1524" s="14">
        <f t="shared" si="1448"/>
        <v>0.32500000000000001</v>
      </c>
      <c r="T1524">
        <f t="shared" si="1547"/>
        <v>99.989999999999952</v>
      </c>
      <c r="U1524">
        <f t="shared" si="1485"/>
        <v>0.10001000100010006</v>
      </c>
      <c r="V1524" s="220">
        <f t="shared" si="1549"/>
        <v>0.13090718680455554</v>
      </c>
      <c r="W1524" s="14" t="s">
        <v>2526</v>
      </c>
      <c r="X1524">
        <f t="shared" si="1384"/>
        <v>0.13090718680455554</v>
      </c>
      <c r="Y1524" s="499">
        <f t="shared" ref="Y1524:AA1524" si="1560">X1524</f>
        <v>0.13090718680455554</v>
      </c>
      <c r="Z1524" s="220">
        <f t="shared" si="1560"/>
        <v>0.13090718680455554</v>
      </c>
      <c r="AA1524" s="792">
        <f t="shared" si="1560"/>
        <v>0.13090718680455554</v>
      </c>
      <c r="AB1524" s="18" t="s">
        <v>2658</v>
      </c>
      <c r="AC1524" s="13" t="s">
        <v>215</v>
      </c>
      <c r="AD1524" s="13" t="s">
        <v>3007</v>
      </c>
      <c r="AE1524" s="12">
        <v>5.0851930036188197E-3</v>
      </c>
      <c r="AF1524" s="12">
        <v>5.9995417730640897E-2</v>
      </c>
      <c r="AG1524" s="12">
        <v>3.4699999999999998E-4</v>
      </c>
      <c r="AH1524" s="12">
        <v>2.9762429672480995E-4</v>
      </c>
    </row>
    <row r="1525" spans="1:34" ht="14.25">
      <c r="A1525" s="617" t="s">
        <v>4815</v>
      </c>
      <c r="B1525" s="794" t="s">
        <v>2768</v>
      </c>
      <c r="C1525" s="617" t="s">
        <v>2840</v>
      </c>
      <c r="D1525" s="617" t="s">
        <v>2911</v>
      </c>
      <c r="E1525" s="617" t="s">
        <v>4816</v>
      </c>
      <c r="F1525" s="799">
        <v>325</v>
      </c>
      <c r="G1525" s="617" t="s">
        <v>4817</v>
      </c>
      <c r="H1525" s="910" t="s">
        <v>2934</v>
      </c>
      <c r="I1525" s="617" t="s">
        <v>4816</v>
      </c>
      <c r="J1525" s="617" t="s">
        <v>4818</v>
      </c>
      <c r="K1525" s="838">
        <v>1</v>
      </c>
      <c r="L1525" s="725">
        <v>325</v>
      </c>
      <c r="M1525" s="911" t="s">
        <v>4819</v>
      </c>
      <c r="N1525" s="841" t="s">
        <v>2937</v>
      </c>
      <c r="O1525" s="912" t="s">
        <v>2976</v>
      </c>
      <c r="P1525" s="617" t="s">
        <v>438</v>
      </c>
      <c r="Q1525" s="617" t="s">
        <v>4206</v>
      </c>
      <c r="R1525" s="617">
        <v>0.1</v>
      </c>
      <c r="S1525" s="617">
        <f t="shared" si="1448"/>
        <v>0.32500000000000001</v>
      </c>
      <c r="T1525" s="617">
        <f>SUM(R1511:R1525)</f>
        <v>99.989999999999952</v>
      </c>
      <c r="U1525" s="617">
        <f t="shared" si="1485"/>
        <v>0.10001000100010006</v>
      </c>
      <c r="V1525" s="725">
        <f t="shared" si="1549"/>
        <v>0.13090718680455554</v>
      </c>
      <c r="W1525" s="617" t="s">
        <v>438</v>
      </c>
      <c r="X1525" s="617">
        <f t="shared" si="1384"/>
        <v>0.13090718680455554</v>
      </c>
      <c r="Y1525" s="862">
        <f t="shared" ref="Y1525:AA1525" si="1561">X1525</f>
        <v>0.13090718680455554</v>
      </c>
      <c r="Z1525" s="725">
        <f t="shared" si="1561"/>
        <v>0.13090718680455554</v>
      </c>
      <c r="AA1525" s="455">
        <f t="shared" si="1561"/>
        <v>0.13090718680455554</v>
      </c>
      <c r="AB1525" s="793" t="s">
        <v>438</v>
      </c>
      <c r="AC1525" s="799" t="s">
        <v>3056</v>
      </c>
      <c r="AD1525" s="799" t="s">
        <v>3057</v>
      </c>
      <c r="AE1525" s="635">
        <v>0</v>
      </c>
      <c r="AF1525" s="635">
        <v>0</v>
      </c>
      <c r="AG1525" s="635">
        <v>0</v>
      </c>
      <c r="AH1525" s="635">
        <v>0</v>
      </c>
    </row>
    <row r="1526" spans="1:34" ht="14.25">
      <c r="A1526" s="14" t="s">
        <v>4827</v>
      </c>
      <c r="B1526" s="24" t="s">
        <v>2768</v>
      </c>
      <c r="C1526" s="14" t="s">
        <v>2842</v>
      </c>
      <c r="D1526" s="14" t="s">
        <v>2911</v>
      </c>
      <c r="E1526" s="14" t="s">
        <v>4828</v>
      </c>
      <c r="F1526" s="13">
        <v>253</v>
      </c>
      <c r="G1526" s="14" t="s">
        <v>2913</v>
      </c>
      <c r="H1526" s="567" t="s">
        <v>2934</v>
      </c>
      <c r="I1526" s="14" t="s">
        <v>4828</v>
      </c>
      <c r="J1526" s="14" t="s">
        <v>4829</v>
      </c>
      <c r="K1526" s="478">
        <v>1</v>
      </c>
      <c r="L1526" s="220">
        <v>253</v>
      </c>
      <c r="M1526" s="568" t="s">
        <v>4830</v>
      </c>
      <c r="N1526" s="479" t="s">
        <v>2937</v>
      </c>
      <c r="O1526" s="569" t="s">
        <v>2976</v>
      </c>
      <c r="P1526" s="14" t="s">
        <v>2938</v>
      </c>
      <c r="Q1526" s="435" t="s">
        <v>2939</v>
      </c>
      <c r="R1526" s="14">
        <v>70</v>
      </c>
      <c r="S1526" s="14">
        <f t="shared" si="1448"/>
        <v>177.10000000000002</v>
      </c>
      <c r="T1526">
        <f t="shared" ref="T1526:T1534" si="1562">SUM(R$1526:R$1535)</f>
        <v>93.05</v>
      </c>
      <c r="U1526">
        <f t="shared" si="1485"/>
        <v>75.228371843095118</v>
      </c>
      <c r="V1526" s="481">
        <f>U1526</f>
        <v>75.228371843095118</v>
      </c>
      <c r="W1526" s="482" t="s">
        <v>72</v>
      </c>
      <c r="X1526" s="482">
        <f t="shared" si="1384"/>
        <v>75.228371843095118</v>
      </c>
      <c r="Y1526" s="481">
        <f t="shared" ref="Y1526:AA1526" si="1563">X1526</f>
        <v>75.228371843095118</v>
      </c>
      <c r="Z1526" s="481">
        <f t="shared" si="1563"/>
        <v>75.228371843095118</v>
      </c>
      <c r="AA1526" s="796">
        <f t="shared" si="1563"/>
        <v>75.228371843095118</v>
      </c>
      <c r="AB1526" s="456" t="s">
        <v>72</v>
      </c>
      <c r="AC1526" s="469" t="s">
        <v>2938</v>
      </c>
      <c r="AD1526" s="469" t="s">
        <v>2940</v>
      </c>
      <c r="AE1526" s="457">
        <v>0</v>
      </c>
      <c r="AF1526" s="457">
        <v>0</v>
      </c>
      <c r="AG1526" s="457">
        <v>0</v>
      </c>
      <c r="AH1526" s="457">
        <v>0</v>
      </c>
    </row>
    <row r="1527" spans="1:34" ht="14.25">
      <c r="A1527" s="14" t="s">
        <v>4827</v>
      </c>
      <c r="B1527" s="24" t="s">
        <v>2768</v>
      </c>
      <c r="C1527" s="14" t="s">
        <v>2842</v>
      </c>
      <c r="D1527" s="14" t="s">
        <v>2911</v>
      </c>
      <c r="E1527" s="14" t="s">
        <v>4828</v>
      </c>
      <c r="F1527" s="13">
        <v>253</v>
      </c>
      <c r="G1527" s="14" t="s">
        <v>2913</v>
      </c>
      <c r="H1527" s="567" t="s">
        <v>2934</v>
      </c>
      <c r="I1527" s="14" t="s">
        <v>4828</v>
      </c>
      <c r="J1527" s="14" t="s">
        <v>4829</v>
      </c>
      <c r="K1527" s="478">
        <v>1</v>
      </c>
      <c r="L1527" s="220">
        <v>253</v>
      </c>
      <c r="M1527" s="568" t="s">
        <v>4830</v>
      </c>
      <c r="N1527" s="479" t="s">
        <v>2937</v>
      </c>
      <c r="O1527" s="569" t="s">
        <v>2976</v>
      </c>
      <c r="P1527" s="14" t="s">
        <v>2945</v>
      </c>
      <c r="Q1527" s="14" t="s">
        <v>2946</v>
      </c>
      <c r="R1527" s="14">
        <v>4</v>
      </c>
      <c r="S1527" s="14">
        <f t="shared" si="1448"/>
        <v>10.120000000000001</v>
      </c>
      <c r="T1527">
        <f t="shared" si="1562"/>
        <v>93.05</v>
      </c>
      <c r="U1527">
        <f t="shared" si="1485"/>
        <v>4.2987641053197203</v>
      </c>
      <c r="V1527" s="220">
        <f t="shared" ref="V1527:V1535" si="1564">U1527*100/SUM(U$1527:U$1535)</f>
        <v>17.35357917570499</v>
      </c>
      <c r="W1527" s="14" t="s">
        <v>433</v>
      </c>
      <c r="X1527">
        <f t="shared" si="1384"/>
        <v>17.35357917570499</v>
      </c>
      <c r="Y1527" s="220">
        <f t="shared" ref="Y1527:AA1527" si="1565">X1527</f>
        <v>17.35357917570499</v>
      </c>
      <c r="Z1527" s="220">
        <f t="shared" si="1565"/>
        <v>17.35357917570499</v>
      </c>
      <c r="AA1527" s="792">
        <f t="shared" si="1565"/>
        <v>17.35357917570499</v>
      </c>
      <c r="AB1527" s="18" t="s">
        <v>433</v>
      </c>
      <c r="AC1527" s="13" t="s">
        <v>433</v>
      </c>
      <c r="AD1527" s="13" t="s">
        <v>2947</v>
      </c>
      <c r="AE1527" s="12">
        <v>3.0104466724907065E-4</v>
      </c>
      <c r="AF1527" s="12">
        <v>1.2500000000000001E-2</v>
      </c>
      <c r="AG1527" s="12">
        <v>5.1818181818181835E-4</v>
      </c>
      <c r="AH1527" s="12">
        <v>4.0084080366977777E-4</v>
      </c>
    </row>
    <row r="1528" spans="1:34" ht="14.25">
      <c r="A1528" s="14" t="s">
        <v>4827</v>
      </c>
      <c r="B1528" s="24" t="s">
        <v>2768</v>
      </c>
      <c r="C1528" s="14" t="s">
        <v>2842</v>
      </c>
      <c r="D1528" s="14" t="s">
        <v>2911</v>
      </c>
      <c r="E1528" s="14" t="s">
        <v>4828</v>
      </c>
      <c r="F1528" s="13">
        <v>253</v>
      </c>
      <c r="G1528" s="14" t="s">
        <v>2913</v>
      </c>
      <c r="H1528" s="567" t="s">
        <v>2934</v>
      </c>
      <c r="I1528" s="14" t="s">
        <v>4828</v>
      </c>
      <c r="J1528" s="14" t="s">
        <v>4829</v>
      </c>
      <c r="K1528" s="478">
        <v>1</v>
      </c>
      <c r="L1528" s="220">
        <v>253</v>
      </c>
      <c r="M1528" s="568" t="s">
        <v>4830</v>
      </c>
      <c r="N1528" s="479" t="s">
        <v>2937</v>
      </c>
      <c r="O1528" s="569" t="s">
        <v>2976</v>
      </c>
      <c r="P1528" s="14" t="s">
        <v>2962</v>
      </c>
      <c r="Q1528" s="88" t="s">
        <v>2963</v>
      </c>
      <c r="R1528" s="14">
        <v>3.75</v>
      </c>
      <c r="S1528" s="14">
        <f t="shared" si="1448"/>
        <v>9.4874999999999989</v>
      </c>
      <c r="T1528">
        <f t="shared" si="1562"/>
        <v>93.05</v>
      </c>
      <c r="U1528">
        <f t="shared" si="1485"/>
        <v>4.0300913487372378</v>
      </c>
      <c r="V1528" s="220">
        <f t="shared" si="1564"/>
        <v>16.268980477223426</v>
      </c>
      <c r="W1528" s="14" t="s">
        <v>425</v>
      </c>
      <c r="X1528">
        <f t="shared" si="1384"/>
        <v>16.268980477223426</v>
      </c>
      <c r="Y1528" s="220">
        <f>SUM(X1528,X1529,X1535)</f>
        <v>39.045553145336235</v>
      </c>
      <c r="Z1528" s="220">
        <f t="shared" ref="Z1528:Z1529" si="1566">X1528</f>
        <v>16.268980477223426</v>
      </c>
      <c r="AA1528" s="792">
        <f t="shared" ref="AA1528:AA1529" si="1567">Z1528</f>
        <v>16.268980477223426</v>
      </c>
      <c r="AB1528" s="18" t="s">
        <v>2525</v>
      </c>
      <c r="AC1528" s="13" t="s">
        <v>2964</v>
      </c>
      <c r="AD1528" s="13" t="s">
        <v>2965</v>
      </c>
      <c r="AE1528" s="12">
        <v>3.8102374934982654E-3</v>
      </c>
      <c r="AF1528" s="12">
        <v>0.20470422547079484</v>
      </c>
      <c r="AG1528" s="12">
        <v>1.210810810810811E-4</v>
      </c>
      <c r="AH1528" s="12">
        <v>1.0002400855855065E-3</v>
      </c>
    </row>
    <row r="1529" spans="1:34" ht="14.25">
      <c r="A1529" s="14" t="s">
        <v>4827</v>
      </c>
      <c r="B1529" s="24" t="s">
        <v>2768</v>
      </c>
      <c r="C1529" s="14" t="s">
        <v>2842</v>
      </c>
      <c r="D1529" s="14" t="s">
        <v>2911</v>
      </c>
      <c r="E1529" s="14" t="s">
        <v>4828</v>
      </c>
      <c r="F1529" s="13">
        <v>253</v>
      </c>
      <c r="G1529" s="14" t="s">
        <v>2913</v>
      </c>
      <c r="H1529" s="567" t="s">
        <v>2934</v>
      </c>
      <c r="I1529" s="14" t="s">
        <v>4828</v>
      </c>
      <c r="J1529" s="14" t="s">
        <v>4829</v>
      </c>
      <c r="K1529" s="478">
        <v>1</v>
      </c>
      <c r="L1529" s="220">
        <v>253</v>
      </c>
      <c r="M1529" s="568" t="s">
        <v>4830</v>
      </c>
      <c r="N1529" s="479" t="s">
        <v>2937</v>
      </c>
      <c r="O1529" s="569" t="s">
        <v>2976</v>
      </c>
      <c r="P1529" s="655" t="s">
        <v>2977</v>
      </c>
      <c r="Q1529" s="527" t="s">
        <v>2978</v>
      </c>
      <c r="R1529" s="14">
        <v>5</v>
      </c>
      <c r="S1529" s="14">
        <f t="shared" si="1448"/>
        <v>12.65</v>
      </c>
      <c r="T1529">
        <f t="shared" si="1562"/>
        <v>93.05</v>
      </c>
      <c r="U1529">
        <f t="shared" si="1485"/>
        <v>5.3734551316496511</v>
      </c>
      <c r="V1529" s="220">
        <f t="shared" si="1564"/>
        <v>21.691973969631242</v>
      </c>
      <c r="W1529" s="14" t="s">
        <v>227</v>
      </c>
      <c r="X1529">
        <f t="shared" si="1384"/>
        <v>21.691973969631242</v>
      </c>
      <c r="Y1529" s="220" t="s">
        <v>1666</v>
      </c>
      <c r="Z1529" s="220">
        <f t="shared" si="1566"/>
        <v>21.691973969631242</v>
      </c>
      <c r="AA1529" s="792">
        <f t="shared" si="1567"/>
        <v>21.691973969631242</v>
      </c>
      <c r="AB1529" s="18" t="s">
        <v>2530</v>
      </c>
      <c r="AC1529" s="13" t="s">
        <v>55</v>
      </c>
      <c r="AD1529" s="13" t="s">
        <v>2979</v>
      </c>
      <c r="AE1529" s="12">
        <v>2.5055367220000002E-3</v>
      </c>
      <c r="AF1529" s="12">
        <v>3.8459841414181101E-2</v>
      </c>
      <c r="AG1529" s="12">
        <v>1.1035422343324251E-4</v>
      </c>
      <c r="AH1529" s="12">
        <v>8.109653861711444E-4</v>
      </c>
    </row>
    <row r="1530" spans="1:34" ht="14.25">
      <c r="A1530" s="14" t="s">
        <v>4827</v>
      </c>
      <c r="B1530" s="24" t="s">
        <v>2768</v>
      </c>
      <c r="C1530" s="14" t="s">
        <v>2842</v>
      </c>
      <c r="D1530" s="14" t="s">
        <v>2911</v>
      </c>
      <c r="E1530" s="14" t="s">
        <v>4828</v>
      </c>
      <c r="F1530" s="13">
        <v>253</v>
      </c>
      <c r="G1530" s="14" t="s">
        <v>2913</v>
      </c>
      <c r="H1530" s="567" t="s">
        <v>2934</v>
      </c>
      <c r="I1530" s="14" t="s">
        <v>4828</v>
      </c>
      <c r="J1530" s="14" t="s">
        <v>4829</v>
      </c>
      <c r="K1530" s="478">
        <v>1</v>
      </c>
      <c r="L1530" s="220">
        <v>253</v>
      </c>
      <c r="M1530" s="568" t="s">
        <v>4830</v>
      </c>
      <c r="N1530" s="479" t="s">
        <v>2937</v>
      </c>
      <c r="O1530" s="569" t="s">
        <v>2976</v>
      </c>
      <c r="P1530" s="14" t="s">
        <v>2994</v>
      </c>
      <c r="Q1530" s="88" t="s">
        <v>2995</v>
      </c>
      <c r="R1530" s="14">
        <v>4.2</v>
      </c>
      <c r="S1530" s="14">
        <f t="shared" si="1448"/>
        <v>10.626000000000001</v>
      </c>
      <c r="T1530">
        <f t="shared" si="1562"/>
        <v>93.05</v>
      </c>
      <c r="U1530">
        <f t="shared" si="1485"/>
        <v>4.5137023105857068</v>
      </c>
      <c r="V1530" s="220">
        <f t="shared" si="1564"/>
        <v>18.221258134490238</v>
      </c>
      <c r="W1530" s="14" t="s">
        <v>121</v>
      </c>
      <c r="X1530">
        <f t="shared" si="1384"/>
        <v>18.221258134490238</v>
      </c>
      <c r="Y1530" s="220">
        <f t="shared" ref="Y1530:AA1530" si="1568">X1530</f>
        <v>18.221258134490238</v>
      </c>
      <c r="Z1530" s="220">
        <f t="shared" si="1568"/>
        <v>18.221258134490238</v>
      </c>
      <c r="AA1530" s="792">
        <f t="shared" si="1568"/>
        <v>18.221258134490238</v>
      </c>
      <c r="AB1530" s="18" t="s">
        <v>121</v>
      </c>
      <c r="AC1530" s="14" t="s">
        <v>121</v>
      </c>
      <c r="AD1530" s="14" t="s">
        <v>3016</v>
      </c>
      <c r="AE1530" s="12">
        <v>4.1127278199052132E-2</v>
      </c>
      <c r="AF1530" s="12">
        <v>0.12092157867298578</v>
      </c>
      <c r="AG1530" s="12">
        <v>8.0618486208530824E-4</v>
      </c>
      <c r="AH1530" s="12">
        <v>7.5857890995260661E-3</v>
      </c>
    </row>
    <row r="1531" spans="1:34" ht="14.25">
      <c r="A1531" s="14" t="s">
        <v>4827</v>
      </c>
      <c r="B1531" s="24" t="s">
        <v>2768</v>
      </c>
      <c r="C1531" s="14" t="s">
        <v>2842</v>
      </c>
      <c r="D1531" s="14" t="s">
        <v>2911</v>
      </c>
      <c r="E1531" s="14" t="s">
        <v>4828</v>
      </c>
      <c r="F1531" s="13">
        <v>253</v>
      </c>
      <c r="G1531" s="14" t="s">
        <v>2913</v>
      </c>
      <c r="H1531" s="567" t="s">
        <v>2934</v>
      </c>
      <c r="I1531" s="14" t="s">
        <v>4828</v>
      </c>
      <c r="J1531" s="14" t="s">
        <v>4829</v>
      </c>
      <c r="K1531" s="478">
        <v>1</v>
      </c>
      <c r="L1531" s="220">
        <v>253</v>
      </c>
      <c r="M1531" s="568" t="s">
        <v>4830</v>
      </c>
      <c r="N1531" s="479" t="s">
        <v>2937</v>
      </c>
      <c r="O1531" s="569" t="s">
        <v>2976</v>
      </c>
      <c r="P1531" s="14" t="s">
        <v>3021</v>
      </c>
      <c r="Q1531" s="486" t="s">
        <v>3022</v>
      </c>
      <c r="R1531" s="14">
        <v>1.25</v>
      </c>
      <c r="S1531" s="14">
        <f t="shared" si="1448"/>
        <v>3.1625000000000001</v>
      </c>
      <c r="T1531">
        <f t="shared" si="1562"/>
        <v>93.05</v>
      </c>
      <c r="U1531">
        <f t="shared" si="1485"/>
        <v>1.3433637829124128</v>
      </c>
      <c r="V1531" s="220">
        <f t="shared" si="1564"/>
        <v>5.4229934924078105</v>
      </c>
      <c r="W1531" s="14" t="s">
        <v>346</v>
      </c>
      <c r="X1531">
        <f t="shared" si="1384"/>
        <v>5.4229934924078105</v>
      </c>
      <c r="Y1531" s="220">
        <f>SUM(X1531,X1532)</f>
        <v>14.53362255965293</v>
      </c>
      <c r="Z1531" s="220">
        <f t="shared" ref="Z1531:Z1532" si="1569">X1531</f>
        <v>5.4229934924078105</v>
      </c>
      <c r="AA1531" s="792">
        <f t="shared" ref="AA1531:AA1532" si="1570">Z1531</f>
        <v>5.4229934924078105</v>
      </c>
      <c r="AB1531" s="18" t="s">
        <v>346</v>
      </c>
      <c r="AC1531" s="13" t="s">
        <v>2982</v>
      </c>
      <c r="AD1531" s="13" t="s">
        <v>2983</v>
      </c>
      <c r="AE1531" s="12">
        <v>2.9691872042618299E-2</v>
      </c>
      <c r="AF1531" s="12">
        <v>7.5368545517799299E-2</v>
      </c>
      <c r="AG1531" s="12">
        <v>2.9014018691588786E-4</v>
      </c>
      <c r="AH1531" s="12">
        <v>1.4770983615231311E-3</v>
      </c>
    </row>
    <row r="1532" spans="1:34" ht="14.25">
      <c r="A1532" s="14" t="s">
        <v>4827</v>
      </c>
      <c r="B1532" s="24" t="s">
        <v>2768</v>
      </c>
      <c r="C1532" s="14" t="s">
        <v>2842</v>
      </c>
      <c r="D1532" s="14" t="s">
        <v>2911</v>
      </c>
      <c r="E1532" s="14" t="s">
        <v>4828</v>
      </c>
      <c r="F1532" s="13">
        <v>253</v>
      </c>
      <c r="G1532" s="14" t="s">
        <v>2913</v>
      </c>
      <c r="H1532" s="567" t="s">
        <v>2934</v>
      </c>
      <c r="I1532" s="14" t="s">
        <v>4828</v>
      </c>
      <c r="J1532" s="14" t="s">
        <v>4829</v>
      </c>
      <c r="K1532" s="478">
        <v>1</v>
      </c>
      <c r="L1532" s="220">
        <v>253</v>
      </c>
      <c r="M1532" s="568" t="s">
        <v>4830</v>
      </c>
      <c r="N1532" s="479" t="s">
        <v>2937</v>
      </c>
      <c r="O1532" s="569" t="s">
        <v>2976</v>
      </c>
      <c r="P1532" s="14" t="s">
        <v>3483</v>
      </c>
      <c r="Q1532" s="88" t="s">
        <v>3442</v>
      </c>
      <c r="R1532" s="14">
        <v>2.1</v>
      </c>
      <c r="S1532" s="14">
        <f t="shared" si="1448"/>
        <v>5.3130000000000006</v>
      </c>
      <c r="T1532">
        <f t="shared" si="1562"/>
        <v>93.05</v>
      </c>
      <c r="U1532">
        <f t="shared" si="1485"/>
        <v>2.2568511552928534</v>
      </c>
      <c r="V1532" s="220">
        <f t="shared" si="1564"/>
        <v>9.1106290672451191</v>
      </c>
      <c r="W1532" s="14" t="s">
        <v>301</v>
      </c>
      <c r="X1532">
        <f t="shared" si="1384"/>
        <v>9.1106290672451191</v>
      </c>
      <c r="Y1532" s="220" t="s">
        <v>1666</v>
      </c>
      <c r="Z1532" s="220">
        <f t="shared" si="1569"/>
        <v>9.1106290672451191</v>
      </c>
      <c r="AA1532" s="792">
        <f t="shared" si="1570"/>
        <v>9.1106290672451191</v>
      </c>
      <c r="AB1532" s="18" t="s">
        <v>301</v>
      </c>
      <c r="AC1532" s="13" t="s">
        <v>3485</v>
      </c>
      <c r="AD1532" s="13" t="s">
        <v>2944</v>
      </c>
      <c r="AE1532" s="12">
        <v>4.7062756261925113E-3</v>
      </c>
      <c r="AF1532" s="12">
        <v>3.8210906557435767E-2</v>
      </c>
      <c r="AG1532" s="12">
        <v>7.6086956521739124E-5</v>
      </c>
      <c r="AH1532" s="12">
        <v>5.9908272287602653E-4</v>
      </c>
    </row>
    <row r="1533" spans="1:34" ht="14.25">
      <c r="A1533" s="14" t="s">
        <v>4827</v>
      </c>
      <c r="B1533" s="24" t="s">
        <v>2768</v>
      </c>
      <c r="C1533" s="14" t="s">
        <v>2842</v>
      </c>
      <c r="D1533" s="14" t="s">
        <v>2911</v>
      </c>
      <c r="E1533" s="14" t="s">
        <v>4828</v>
      </c>
      <c r="F1533" s="13">
        <v>253</v>
      </c>
      <c r="G1533" s="14" t="s">
        <v>2913</v>
      </c>
      <c r="H1533" s="567" t="s">
        <v>2934</v>
      </c>
      <c r="I1533" s="14" t="s">
        <v>4828</v>
      </c>
      <c r="J1533" s="14" t="s">
        <v>4829</v>
      </c>
      <c r="K1533" s="478">
        <v>1</v>
      </c>
      <c r="L1533" s="220">
        <v>253</v>
      </c>
      <c r="M1533" s="568" t="s">
        <v>4830</v>
      </c>
      <c r="N1533" s="479" t="s">
        <v>2937</v>
      </c>
      <c r="O1533" s="569" t="s">
        <v>2976</v>
      </c>
      <c r="P1533" s="14" t="s">
        <v>421</v>
      </c>
      <c r="Q1533" s="14" t="s">
        <v>2952</v>
      </c>
      <c r="R1533" s="14">
        <v>2.1</v>
      </c>
      <c r="S1533" s="14">
        <f t="shared" si="1448"/>
        <v>5.3130000000000006</v>
      </c>
      <c r="T1533">
        <f t="shared" si="1562"/>
        <v>93.05</v>
      </c>
      <c r="U1533">
        <f t="shared" si="1485"/>
        <v>2.2568511552928534</v>
      </c>
      <c r="V1533" s="220">
        <f t="shared" si="1564"/>
        <v>9.1106290672451191</v>
      </c>
      <c r="W1533" s="14" t="s">
        <v>424</v>
      </c>
      <c r="X1533">
        <f t="shared" si="1384"/>
        <v>9.1106290672451191</v>
      </c>
      <c r="Y1533" s="220">
        <f t="shared" ref="Y1533:AA1533" si="1571">X1533</f>
        <v>9.1106290672451191</v>
      </c>
      <c r="Z1533" s="220">
        <f t="shared" si="1571"/>
        <v>9.1106290672451191</v>
      </c>
      <c r="AA1533" s="792">
        <f t="shared" si="1571"/>
        <v>9.1106290672451191</v>
      </c>
      <c r="AB1533" s="18" t="s">
        <v>424</v>
      </c>
      <c r="AC1533" s="13" t="s">
        <v>2953</v>
      </c>
      <c r="AD1533" s="13" t="s">
        <v>2954</v>
      </c>
      <c r="AE1533" s="12">
        <v>0.2509573149461517</v>
      </c>
      <c r="AF1533" s="12">
        <v>0.48063158219067315</v>
      </c>
      <c r="AG1533" s="12">
        <v>2.9767747463359634E-5</v>
      </c>
      <c r="AH1533" s="12">
        <v>1.0994045246148063E-2</v>
      </c>
    </row>
    <row r="1534" spans="1:34" ht="14.25">
      <c r="A1534" s="14" t="s">
        <v>4827</v>
      </c>
      <c r="B1534" s="24" t="s">
        <v>2768</v>
      </c>
      <c r="C1534" s="14" t="s">
        <v>2842</v>
      </c>
      <c r="D1534" s="14" t="s">
        <v>2911</v>
      </c>
      <c r="E1534" s="14" t="s">
        <v>4828</v>
      </c>
      <c r="F1534" s="13">
        <v>253</v>
      </c>
      <c r="G1534" s="14" t="s">
        <v>2913</v>
      </c>
      <c r="H1534" s="567" t="s">
        <v>2934</v>
      </c>
      <c r="I1534" s="14" t="s">
        <v>4828</v>
      </c>
      <c r="J1534" s="14" t="s">
        <v>4829</v>
      </c>
      <c r="K1534" s="478">
        <v>1</v>
      </c>
      <c r="L1534" s="220">
        <v>253</v>
      </c>
      <c r="M1534" s="568" t="s">
        <v>4830</v>
      </c>
      <c r="N1534" s="479" t="s">
        <v>2937</v>
      </c>
      <c r="O1534" s="569" t="s">
        <v>2976</v>
      </c>
      <c r="P1534" s="14" t="s">
        <v>1376</v>
      </c>
      <c r="Q1534" s="527" t="s">
        <v>3114</v>
      </c>
      <c r="R1534" s="14">
        <v>0.4</v>
      </c>
      <c r="S1534" s="14">
        <f t="shared" si="1448"/>
        <v>1.012</v>
      </c>
      <c r="T1534">
        <f t="shared" si="1562"/>
        <v>93.05</v>
      </c>
      <c r="U1534">
        <f t="shared" si="1485"/>
        <v>0.42987641053197206</v>
      </c>
      <c r="V1534" s="220">
        <f t="shared" si="1564"/>
        <v>1.7353579175704992</v>
      </c>
      <c r="W1534" s="14" t="s">
        <v>340</v>
      </c>
      <c r="X1534">
        <f t="shared" si="1384"/>
        <v>1.7353579175704992</v>
      </c>
      <c r="Y1534" s="220">
        <f t="shared" ref="Y1534:AA1534" si="1572">X1534</f>
        <v>1.7353579175704992</v>
      </c>
      <c r="Z1534" s="220">
        <f t="shared" si="1572"/>
        <v>1.7353579175704992</v>
      </c>
      <c r="AA1534" s="792">
        <f t="shared" si="1572"/>
        <v>1.7353579175704992</v>
      </c>
      <c r="AB1534" s="18" t="s">
        <v>340</v>
      </c>
      <c r="AC1534" s="13" t="s">
        <v>3115</v>
      </c>
      <c r="AD1534" s="13" t="s">
        <v>3116</v>
      </c>
      <c r="AE1534" s="12">
        <v>2.1708241661196198E-2</v>
      </c>
      <c r="AF1534" s="12">
        <v>0.36572952458380198</v>
      </c>
      <c r="AG1534" s="12">
        <v>4.6350652173913045E-4</v>
      </c>
      <c r="AH1534" s="12">
        <v>1.6975608035415088E-3</v>
      </c>
    </row>
    <row r="1535" spans="1:34" ht="14.25">
      <c r="A1535" s="617" t="s">
        <v>4827</v>
      </c>
      <c r="B1535" s="794" t="s">
        <v>2768</v>
      </c>
      <c r="C1535" s="617" t="s">
        <v>2842</v>
      </c>
      <c r="D1535" s="617" t="s">
        <v>2911</v>
      </c>
      <c r="E1535" s="617" t="s">
        <v>4828</v>
      </c>
      <c r="F1535" s="799">
        <v>253</v>
      </c>
      <c r="G1535" s="617" t="s">
        <v>2913</v>
      </c>
      <c r="H1535" s="910" t="s">
        <v>2934</v>
      </c>
      <c r="I1535" s="617" t="s">
        <v>4828</v>
      </c>
      <c r="J1535" s="617" t="s">
        <v>4829</v>
      </c>
      <c r="K1535" s="838">
        <v>1</v>
      </c>
      <c r="L1535" s="725">
        <v>253</v>
      </c>
      <c r="M1535" s="911" t="s">
        <v>4830</v>
      </c>
      <c r="N1535" s="841" t="s">
        <v>2937</v>
      </c>
      <c r="O1535" s="912" t="s">
        <v>2976</v>
      </c>
      <c r="P1535" s="617" t="s">
        <v>3508</v>
      </c>
      <c r="Q1535" s="856" t="s">
        <v>3509</v>
      </c>
      <c r="R1535" s="617">
        <v>0.25</v>
      </c>
      <c r="S1535" s="617">
        <f t="shared" si="1448"/>
        <v>0.63250000000000006</v>
      </c>
      <c r="T1535" s="852">
        <f>SUM(R1526:R1535)</f>
        <v>93.05</v>
      </c>
      <c r="U1535" s="617">
        <f t="shared" si="1485"/>
        <v>0.26867275658248252</v>
      </c>
      <c r="V1535" s="725">
        <f t="shared" si="1564"/>
        <v>1.0845986984815619</v>
      </c>
      <c r="W1535" s="617" t="s">
        <v>321</v>
      </c>
      <c r="X1535" s="617">
        <f t="shared" si="1384"/>
        <v>1.0845986984815619</v>
      </c>
      <c r="Y1535" s="725" t="s">
        <v>1666</v>
      </c>
      <c r="Z1535" s="725">
        <f>X1535</f>
        <v>1.0845986984815619</v>
      </c>
      <c r="AA1535" s="455">
        <f>Z1535</f>
        <v>1.0845986984815619</v>
      </c>
      <c r="AB1535" s="793" t="s">
        <v>2689</v>
      </c>
      <c r="AC1535" s="799" t="s">
        <v>3510</v>
      </c>
      <c r="AD1535" s="799" t="s">
        <v>18</v>
      </c>
      <c r="AE1535" s="635">
        <v>5.2419900086202897E-2</v>
      </c>
      <c r="AF1535" s="635">
        <v>2.8162483479607547</v>
      </c>
      <c r="AG1535" s="635">
        <v>1.6256511627906977E-3</v>
      </c>
      <c r="AH1535" s="635">
        <v>1.194650084062842E-2</v>
      </c>
    </row>
    <row r="1536" spans="1:34" ht="12.75">
      <c r="A1536" s="14" t="s">
        <v>4831</v>
      </c>
      <c r="B1536" s="24" t="s">
        <v>2768</v>
      </c>
      <c r="C1536" s="14" t="s">
        <v>2843</v>
      </c>
      <c r="D1536" s="14" t="s">
        <v>2911</v>
      </c>
      <c r="E1536" s="14" t="s">
        <v>4832</v>
      </c>
      <c r="F1536" s="13">
        <v>43</v>
      </c>
      <c r="G1536" s="14" t="s">
        <v>4833</v>
      </c>
      <c r="H1536" s="567">
        <v>19047</v>
      </c>
      <c r="I1536" s="14" t="s">
        <v>4834</v>
      </c>
      <c r="J1536" s="14" t="s">
        <v>4835</v>
      </c>
      <c r="K1536" s="478">
        <v>1</v>
      </c>
      <c r="L1536" s="220">
        <v>43</v>
      </c>
      <c r="M1536" s="568" t="s">
        <v>4836</v>
      </c>
      <c r="N1536" s="568" t="s">
        <v>4837</v>
      </c>
      <c r="O1536" s="569"/>
      <c r="P1536" s="655" t="s">
        <v>3005</v>
      </c>
      <c r="Q1536" s="486" t="s">
        <v>3006</v>
      </c>
      <c r="R1536" s="14">
        <v>87</v>
      </c>
      <c r="S1536" s="14">
        <f t="shared" si="1448"/>
        <v>37.409999999999997</v>
      </c>
      <c r="T1536">
        <f t="shared" ref="T1536:T1541" si="1573">SUM(R$1536:R$1542)</f>
        <v>100.89999999999999</v>
      </c>
      <c r="U1536">
        <f t="shared" si="1485"/>
        <v>86.223984142715565</v>
      </c>
      <c r="V1536" s="220">
        <f t="shared" ref="V1536:V1542" si="1574">U1536</f>
        <v>86.223984142715565</v>
      </c>
      <c r="W1536" s="14" t="s">
        <v>2526</v>
      </c>
      <c r="X1536">
        <f t="shared" si="1384"/>
        <v>86.223984142715565</v>
      </c>
      <c r="Y1536" s="220">
        <f t="shared" ref="Y1536:AA1536" si="1575">X1536</f>
        <v>86.223984142715565</v>
      </c>
      <c r="Z1536" s="220">
        <f t="shared" si="1575"/>
        <v>86.223984142715565</v>
      </c>
      <c r="AA1536" s="792">
        <f t="shared" si="1575"/>
        <v>86.223984142715565</v>
      </c>
      <c r="AB1536" s="18" t="s">
        <v>2844</v>
      </c>
      <c r="AC1536" s="13" t="s">
        <v>215</v>
      </c>
      <c r="AD1536" s="13" t="s">
        <v>3007</v>
      </c>
      <c r="AE1536" s="12">
        <v>5.0851930036188197E-3</v>
      </c>
      <c r="AF1536" s="12">
        <v>5.9995417730640897E-2</v>
      </c>
      <c r="AG1536" s="12">
        <v>3.4699999999999998E-4</v>
      </c>
      <c r="AH1536" s="12">
        <v>2.9762429672480995E-4</v>
      </c>
    </row>
    <row r="1537" spans="1:34" ht="12.75">
      <c r="A1537" s="14" t="s">
        <v>4831</v>
      </c>
      <c r="B1537" s="24" t="s">
        <v>2768</v>
      </c>
      <c r="C1537" s="14" t="s">
        <v>2843</v>
      </c>
      <c r="D1537" s="14" t="s">
        <v>2911</v>
      </c>
      <c r="E1537" s="14" t="s">
        <v>4832</v>
      </c>
      <c r="F1537" s="13">
        <v>43</v>
      </c>
      <c r="G1537" s="14" t="s">
        <v>4833</v>
      </c>
      <c r="H1537" s="567">
        <v>19047</v>
      </c>
      <c r="I1537" s="14" t="s">
        <v>4834</v>
      </c>
      <c r="J1537" s="14" t="s">
        <v>4835</v>
      </c>
      <c r="K1537" s="478">
        <v>1</v>
      </c>
      <c r="L1537" s="220">
        <v>43</v>
      </c>
      <c r="M1537" s="568" t="s">
        <v>4836</v>
      </c>
      <c r="N1537" s="568" t="s">
        <v>4837</v>
      </c>
      <c r="O1537" s="569"/>
      <c r="P1537" s="14" t="s">
        <v>2962</v>
      </c>
      <c r="Q1537" s="88" t="s">
        <v>2963</v>
      </c>
      <c r="R1537" s="14">
        <v>5</v>
      </c>
      <c r="S1537" s="14">
        <f t="shared" si="1448"/>
        <v>2.15</v>
      </c>
      <c r="T1537">
        <f t="shared" si="1573"/>
        <v>100.89999999999999</v>
      </c>
      <c r="U1537">
        <f t="shared" si="1485"/>
        <v>4.9554013875123886</v>
      </c>
      <c r="V1537" s="220">
        <f t="shared" si="1574"/>
        <v>4.9554013875123886</v>
      </c>
      <c r="W1537" s="14" t="s">
        <v>425</v>
      </c>
      <c r="X1537">
        <f t="shared" si="1384"/>
        <v>4.9554013875123886</v>
      </c>
      <c r="Y1537" s="220">
        <f>SUM(X1537,X1540)</f>
        <v>6.2438057482656095</v>
      </c>
      <c r="Z1537" s="220">
        <f t="shared" ref="Z1537:Z1538" si="1576">X1537</f>
        <v>4.9554013875123886</v>
      </c>
      <c r="AA1537" s="792">
        <f t="shared" ref="AA1537:AA1538" si="1577">Z1537</f>
        <v>4.9554013875123886</v>
      </c>
      <c r="AB1537" s="18" t="s">
        <v>425</v>
      </c>
      <c r="AC1537" s="13" t="s">
        <v>2964</v>
      </c>
      <c r="AD1537" s="13" t="s">
        <v>2965</v>
      </c>
      <c r="AE1537" s="12">
        <v>3.8102374934982654E-3</v>
      </c>
      <c r="AF1537" s="12">
        <v>0.20470422547079484</v>
      </c>
      <c r="AG1537" s="12">
        <v>1.210810810810811E-4</v>
      </c>
      <c r="AH1537" s="12">
        <v>1.0002400855855065E-3</v>
      </c>
    </row>
    <row r="1538" spans="1:34" ht="12.75">
      <c r="A1538" s="14" t="s">
        <v>4831</v>
      </c>
      <c r="B1538" s="24" t="s">
        <v>2768</v>
      </c>
      <c r="C1538" s="14" t="s">
        <v>2843</v>
      </c>
      <c r="D1538" s="14" t="s">
        <v>2911</v>
      </c>
      <c r="E1538" s="14" t="s">
        <v>4832</v>
      </c>
      <c r="F1538" s="13">
        <v>43</v>
      </c>
      <c r="G1538" s="14" t="s">
        <v>4833</v>
      </c>
      <c r="H1538" s="567">
        <v>19047</v>
      </c>
      <c r="I1538" s="14" t="s">
        <v>4834</v>
      </c>
      <c r="J1538" s="14" t="s">
        <v>4835</v>
      </c>
      <c r="K1538" s="478">
        <v>1</v>
      </c>
      <c r="L1538" s="220">
        <v>43</v>
      </c>
      <c r="M1538" s="568" t="s">
        <v>4836</v>
      </c>
      <c r="N1538" s="568" t="s">
        <v>4837</v>
      </c>
      <c r="O1538" s="569"/>
      <c r="P1538" s="14" t="s">
        <v>83</v>
      </c>
      <c r="Q1538" s="527" t="s">
        <v>3430</v>
      </c>
      <c r="R1538" s="14">
        <v>4</v>
      </c>
      <c r="S1538" s="14">
        <f t="shared" si="1448"/>
        <v>1.72</v>
      </c>
      <c r="T1538">
        <f t="shared" si="1573"/>
        <v>100.89999999999999</v>
      </c>
      <c r="U1538">
        <f t="shared" si="1485"/>
        <v>3.9643211100099109</v>
      </c>
      <c r="V1538" s="220">
        <f t="shared" si="1574"/>
        <v>3.9643211100099109</v>
      </c>
      <c r="W1538" s="14" t="s">
        <v>83</v>
      </c>
      <c r="X1538">
        <f t="shared" si="1384"/>
        <v>3.9643211100099109</v>
      </c>
      <c r="Y1538" s="220">
        <f t="shared" ref="Y1538:Y1539" si="1578">X1538</f>
        <v>3.9643211100099109</v>
      </c>
      <c r="Z1538" s="220">
        <f t="shared" si="1576"/>
        <v>3.9643211100099109</v>
      </c>
      <c r="AA1538" s="792">
        <f t="shared" si="1577"/>
        <v>3.9643211100099109</v>
      </c>
      <c r="AB1538" s="18" t="s">
        <v>83</v>
      </c>
      <c r="AC1538" s="13" t="s">
        <v>83</v>
      </c>
      <c r="AD1538" s="13" t="s">
        <v>2951</v>
      </c>
      <c r="AE1538" s="12">
        <v>0</v>
      </c>
      <c r="AF1538" s="12">
        <v>0</v>
      </c>
      <c r="AG1538" s="12">
        <v>0</v>
      </c>
      <c r="AH1538" s="12">
        <v>0</v>
      </c>
    </row>
    <row r="1539" spans="1:34" ht="12.75">
      <c r="A1539" s="14" t="s">
        <v>4831</v>
      </c>
      <c r="B1539" s="24" t="s">
        <v>2768</v>
      </c>
      <c r="C1539" s="14" t="s">
        <v>2843</v>
      </c>
      <c r="D1539" s="14" t="s">
        <v>2911</v>
      </c>
      <c r="E1539" s="14" t="s">
        <v>4832</v>
      </c>
      <c r="F1539" s="13">
        <v>43</v>
      </c>
      <c r="G1539" s="14" t="s">
        <v>4833</v>
      </c>
      <c r="H1539" s="567">
        <v>19047</v>
      </c>
      <c r="I1539" s="14" t="s">
        <v>4834</v>
      </c>
      <c r="J1539" s="14" t="s">
        <v>4835</v>
      </c>
      <c r="K1539" s="478">
        <v>1</v>
      </c>
      <c r="L1539" s="220">
        <v>43</v>
      </c>
      <c r="M1539" s="568" t="s">
        <v>4836</v>
      </c>
      <c r="N1539" s="568" t="s">
        <v>4837</v>
      </c>
      <c r="O1539" s="569"/>
      <c r="P1539" s="14" t="s">
        <v>1376</v>
      </c>
      <c r="Q1539" s="527" t="s">
        <v>3114</v>
      </c>
      <c r="R1539" s="14">
        <v>1.3</v>
      </c>
      <c r="S1539" s="14">
        <f t="shared" si="1448"/>
        <v>0.55900000000000005</v>
      </c>
      <c r="T1539">
        <f t="shared" si="1573"/>
        <v>100.89999999999999</v>
      </c>
      <c r="U1539">
        <f t="shared" si="1485"/>
        <v>1.2884043607532212</v>
      </c>
      <c r="V1539" s="220">
        <f t="shared" si="1574"/>
        <v>1.2884043607532212</v>
      </c>
      <c r="W1539" s="14" t="s">
        <v>340</v>
      </c>
      <c r="X1539">
        <f t="shared" si="1384"/>
        <v>1.2884043607532212</v>
      </c>
      <c r="Y1539" s="499">
        <f t="shared" si="1578"/>
        <v>1.2884043607532212</v>
      </c>
      <c r="Z1539" s="220">
        <f t="shared" ref="Z1539:AA1539" si="1579">Y1539</f>
        <v>1.2884043607532212</v>
      </c>
      <c r="AA1539" s="792">
        <f t="shared" si="1579"/>
        <v>1.2884043607532212</v>
      </c>
      <c r="AB1539" s="18" t="s">
        <v>340</v>
      </c>
      <c r="AC1539" s="13" t="s">
        <v>3115</v>
      </c>
      <c r="AD1539" s="13" t="s">
        <v>3116</v>
      </c>
      <c r="AE1539" s="12">
        <v>2.1708241661196198E-2</v>
      </c>
      <c r="AF1539" s="12">
        <v>0.36572952458380198</v>
      </c>
      <c r="AG1539" s="12">
        <v>4.6350652173913045E-4</v>
      </c>
      <c r="AH1539" s="12">
        <v>1.6975608035415088E-3</v>
      </c>
    </row>
    <row r="1540" spans="1:34" ht="12.75">
      <c r="A1540" s="14" t="s">
        <v>4831</v>
      </c>
      <c r="B1540" s="24" t="s">
        <v>2768</v>
      </c>
      <c r="C1540" s="14" t="s">
        <v>2843</v>
      </c>
      <c r="D1540" s="14" t="s">
        <v>2911</v>
      </c>
      <c r="E1540" s="14" t="s">
        <v>4832</v>
      </c>
      <c r="F1540" s="13">
        <v>43</v>
      </c>
      <c r="G1540" s="14" t="s">
        <v>4833</v>
      </c>
      <c r="H1540" s="567">
        <v>19047</v>
      </c>
      <c r="I1540" s="14" t="s">
        <v>4834</v>
      </c>
      <c r="J1540" s="14" t="s">
        <v>4835</v>
      </c>
      <c r="K1540" s="478">
        <v>1</v>
      </c>
      <c r="L1540" s="220">
        <v>43</v>
      </c>
      <c r="M1540" s="568" t="s">
        <v>4836</v>
      </c>
      <c r="N1540" s="568" t="s">
        <v>4837</v>
      </c>
      <c r="O1540" s="569"/>
      <c r="P1540" s="14" t="s">
        <v>3508</v>
      </c>
      <c r="Q1540" s="486" t="s">
        <v>3509</v>
      </c>
      <c r="R1540" s="14">
        <v>1.3</v>
      </c>
      <c r="S1540" s="14">
        <f t="shared" si="1448"/>
        <v>0.55900000000000005</v>
      </c>
      <c r="T1540">
        <f t="shared" si="1573"/>
        <v>100.89999999999999</v>
      </c>
      <c r="U1540">
        <f t="shared" si="1485"/>
        <v>1.2884043607532212</v>
      </c>
      <c r="V1540" s="220">
        <f t="shared" si="1574"/>
        <v>1.2884043607532212</v>
      </c>
      <c r="W1540" s="14" t="s">
        <v>321</v>
      </c>
      <c r="X1540">
        <f t="shared" si="1384"/>
        <v>1.2884043607532212</v>
      </c>
      <c r="Y1540" s="220" t="s">
        <v>1666</v>
      </c>
      <c r="Z1540" s="220">
        <f>X1540</f>
        <v>1.2884043607532212</v>
      </c>
      <c r="AA1540" s="792">
        <f>Z1540</f>
        <v>1.2884043607532212</v>
      </c>
      <c r="AB1540" s="18" t="s">
        <v>2689</v>
      </c>
      <c r="AC1540" s="13" t="s">
        <v>3510</v>
      </c>
      <c r="AD1540" s="13" t="s">
        <v>18</v>
      </c>
      <c r="AE1540" s="12">
        <v>5.2419900086202897E-2</v>
      </c>
      <c r="AF1540" s="12">
        <v>2.8162483479607547</v>
      </c>
      <c r="AG1540" s="12">
        <v>1.6256511627906977E-3</v>
      </c>
      <c r="AH1540" s="12">
        <v>1.194650084062842E-2</v>
      </c>
    </row>
    <row r="1541" spans="1:34" ht="12.75">
      <c r="A1541" s="14" t="s">
        <v>4831</v>
      </c>
      <c r="B1541" s="24" t="s">
        <v>2768</v>
      </c>
      <c r="C1541" s="14" t="s">
        <v>2843</v>
      </c>
      <c r="D1541" s="14" t="s">
        <v>2911</v>
      </c>
      <c r="E1541" s="14" t="s">
        <v>4832</v>
      </c>
      <c r="F1541" s="13">
        <v>43</v>
      </c>
      <c r="G1541" s="14" t="s">
        <v>4833</v>
      </c>
      <c r="H1541" s="567">
        <v>19047</v>
      </c>
      <c r="I1541" s="14" t="s">
        <v>4834</v>
      </c>
      <c r="J1541" s="14" t="s">
        <v>4835</v>
      </c>
      <c r="K1541" s="478">
        <v>1</v>
      </c>
      <c r="L1541" s="220">
        <v>43</v>
      </c>
      <c r="M1541" s="568" t="s">
        <v>4836</v>
      </c>
      <c r="N1541" s="568" t="s">
        <v>4837</v>
      </c>
      <c r="O1541" s="569"/>
      <c r="P1541" s="14" t="s">
        <v>86</v>
      </c>
      <c r="Q1541" s="14" t="s">
        <v>3442</v>
      </c>
      <c r="R1541" s="14">
        <v>1.3</v>
      </c>
      <c r="S1541" s="14">
        <f t="shared" si="1448"/>
        <v>0.55900000000000005</v>
      </c>
      <c r="T1541">
        <f t="shared" si="1573"/>
        <v>100.89999999999999</v>
      </c>
      <c r="U1541">
        <f t="shared" si="1485"/>
        <v>1.2884043607532212</v>
      </c>
      <c r="V1541" s="220">
        <f t="shared" si="1574"/>
        <v>1.2884043607532212</v>
      </c>
      <c r="W1541" s="14" t="s">
        <v>86</v>
      </c>
      <c r="X1541">
        <f t="shared" si="1384"/>
        <v>1.2884043607532212</v>
      </c>
      <c r="Y1541" s="499">
        <f t="shared" ref="Y1541:AA1541" si="1580">X1541</f>
        <v>1.2884043607532212</v>
      </c>
      <c r="Z1541" s="220">
        <f t="shared" si="1580"/>
        <v>1.2884043607532212</v>
      </c>
      <c r="AA1541" s="792">
        <f t="shared" si="1580"/>
        <v>1.2884043607532212</v>
      </c>
      <c r="AB1541" s="18" t="s">
        <v>86</v>
      </c>
      <c r="AC1541" s="13" t="s">
        <v>18</v>
      </c>
      <c r="AD1541" s="13" t="s">
        <v>18</v>
      </c>
      <c r="AE1541" s="12">
        <v>0</v>
      </c>
      <c r="AF1541" s="12">
        <v>0</v>
      </c>
      <c r="AG1541" s="12">
        <v>0</v>
      </c>
      <c r="AH1541" s="12">
        <v>0</v>
      </c>
    </row>
    <row r="1542" spans="1:34" ht="12.75">
      <c r="A1542" s="617" t="s">
        <v>4831</v>
      </c>
      <c r="B1542" s="794" t="s">
        <v>2768</v>
      </c>
      <c r="C1542" s="617" t="s">
        <v>2843</v>
      </c>
      <c r="D1542" s="617" t="s">
        <v>2911</v>
      </c>
      <c r="E1542" s="617" t="s">
        <v>4832</v>
      </c>
      <c r="F1542" s="799">
        <v>43</v>
      </c>
      <c r="G1542" s="617" t="s">
        <v>4833</v>
      </c>
      <c r="H1542" s="910">
        <v>19047</v>
      </c>
      <c r="I1542" s="617" t="s">
        <v>4834</v>
      </c>
      <c r="J1542" s="617" t="s">
        <v>4835</v>
      </c>
      <c r="K1542" s="838">
        <v>1</v>
      </c>
      <c r="L1542" s="725">
        <v>43</v>
      </c>
      <c r="M1542" s="911" t="s">
        <v>4836</v>
      </c>
      <c r="N1542" s="911" t="s">
        <v>4837</v>
      </c>
      <c r="O1542" s="912"/>
      <c r="P1542" s="617" t="s">
        <v>3862</v>
      </c>
      <c r="Q1542" s="856" t="s">
        <v>3863</v>
      </c>
      <c r="R1542" s="617">
        <v>1</v>
      </c>
      <c r="S1542" s="617">
        <f t="shared" si="1448"/>
        <v>0.43</v>
      </c>
      <c r="T1542" s="934">
        <f>SUM(R1536:R1542)</f>
        <v>100.89999999999999</v>
      </c>
      <c r="U1542" s="617">
        <f t="shared" si="1485"/>
        <v>0.99108027750247774</v>
      </c>
      <c r="V1542" s="725">
        <f t="shared" si="1574"/>
        <v>0.99108027750247774</v>
      </c>
      <c r="W1542" s="617" t="s">
        <v>4161</v>
      </c>
      <c r="X1542" s="617">
        <f t="shared" si="1384"/>
        <v>0.99108027750247774</v>
      </c>
      <c r="Y1542" s="862">
        <f t="shared" ref="Y1542:AA1542" si="1581">X1542</f>
        <v>0.99108027750247774</v>
      </c>
      <c r="Z1542" s="725">
        <f t="shared" si="1581"/>
        <v>0.99108027750247774</v>
      </c>
      <c r="AA1542" s="455">
        <f t="shared" si="1581"/>
        <v>0.99108027750247774</v>
      </c>
      <c r="AB1542" s="793" t="s">
        <v>2662</v>
      </c>
      <c r="AC1542" s="799" t="s">
        <v>208</v>
      </c>
      <c r="AD1542" s="799" t="s">
        <v>3864</v>
      </c>
      <c r="AE1542" s="635">
        <v>6.399192301960112E-3</v>
      </c>
      <c r="AF1542" s="635">
        <v>0.12411340117772937</v>
      </c>
      <c r="AG1542" s="635">
        <v>9.8749999999999988E-5</v>
      </c>
      <c r="AH1542" s="635">
        <v>3.8580927353216109E-4</v>
      </c>
    </row>
    <row r="1543" spans="1:34" ht="12.75">
      <c r="A1543" s="617" t="s">
        <v>4838</v>
      </c>
      <c r="B1543" s="799" t="s">
        <v>2768</v>
      </c>
      <c r="C1543" s="617" t="s">
        <v>2845</v>
      </c>
      <c r="D1543" s="617" t="s">
        <v>2911</v>
      </c>
      <c r="E1543" s="617" t="s">
        <v>4521</v>
      </c>
      <c r="F1543" s="799">
        <v>28</v>
      </c>
      <c r="G1543" s="617" t="s">
        <v>3204</v>
      </c>
      <c r="H1543" s="910">
        <v>16089</v>
      </c>
      <c r="I1543" s="617" t="s">
        <v>4521</v>
      </c>
      <c r="J1543" s="617" t="s">
        <v>4839</v>
      </c>
      <c r="K1543" s="838">
        <v>1</v>
      </c>
      <c r="L1543" s="725">
        <v>28</v>
      </c>
      <c r="M1543" s="911" t="s">
        <v>4840</v>
      </c>
      <c r="N1543" s="911"/>
      <c r="O1543" s="912"/>
      <c r="P1543" s="617" t="s">
        <v>4521</v>
      </c>
      <c r="Q1543" s="617" t="s">
        <v>4841</v>
      </c>
      <c r="R1543" s="617">
        <v>100</v>
      </c>
      <c r="S1543" s="617">
        <f t="shared" si="1448"/>
        <v>28</v>
      </c>
      <c r="T1543" s="617">
        <v>100</v>
      </c>
      <c r="U1543" s="617">
        <v>100</v>
      </c>
      <c r="V1543" s="725">
        <v>100</v>
      </c>
      <c r="W1543" s="617" t="s">
        <v>4523</v>
      </c>
      <c r="X1543" s="617">
        <v>100</v>
      </c>
      <c r="Y1543" s="725">
        <v>100</v>
      </c>
      <c r="Z1543" s="725">
        <v>100</v>
      </c>
      <c r="AA1543" s="455">
        <v>100</v>
      </c>
      <c r="AB1543" s="793" t="s">
        <v>2846</v>
      </c>
      <c r="AC1543" s="799" t="s">
        <v>312</v>
      </c>
      <c r="AD1543" s="799" t="s">
        <v>4675</v>
      </c>
      <c r="AE1543" s="12">
        <v>3.8427539589960401E-3</v>
      </c>
      <c r="AF1543" s="12">
        <v>1.5537788094869101E-2</v>
      </c>
      <c r="AG1543" s="12">
        <v>2.14E-4</v>
      </c>
      <c r="AH1543" s="12">
        <v>5.7320234924778215E-4</v>
      </c>
    </row>
    <row r="1544" spans="1:34" ht="12.75">
      <c r="A1544" s="753" t="s">
        <v>4842</v>
      </c>
      <c r="B1544" s="805" t="s">
        <v>2768</v>
      </c>
      <c r="C1544" s="753" t="s">
        <v>2847</v>
      </c>
      <c r="D1544" s="753" t="s">
        <v>2911</v>
      </c>
      <c r="E1544" s="753" t="s">
        <v>2688</v>
      </c>
      <c r="F1544" s="805">
        <v>28</v>
      </c>
      <c r="G1544" s="753" t="s">
        <v>3204</v>
      </c>
      <c r="H1544" s="921">
        <v>12155</v>
      </c>
      <c r="I1544" s="753" t="s">
        <v>2688</v>
      </c>
      <c r="J1544" s="753" t="s">
        <v>1321</v>
      </c>
      <c r="K1544" s="864">
        <v>1</v>
      </c>
      <c r="L1544" s="865">
        <v>28</v>
      </c>
      <c r="M1544" s="922" t="s">
        <v>4843</v>
      </c>
      <c r="N1544" s="922"/>
      <c r="O1544" s="923"/>
      <c r="P1544" s="753" t="s">
        <v>2688</v>
      </c>
      <c r="Q1544" s="753" t="s">
        <v>4114</v>
      </c>
      <c r="R1544" s="753">
        <v>100</v>
      </c>
      <c r="S1544" s="753">
        <f t="shared" si="1448"/>
        <v>28</v>
      </c>
      <c r="T1544" s="753">
        <v>100</v>
      </c>
      <c r="U1544" s="753">
        <v>100</v>
      </c>
      <c r="V1544" s="865">
        <v>100</v>
      </c>
      <c r="W1544" s="753" t="s">
        <v>2688</v>
      </c>
      <c r="X1544" s="753">
        <v>100</v>
      </c>
      <c r="Y1544" s="865">
        <v>100</v>
      </c>
      <c r="Z1544" s="865">
        <v>100</v>
      </c>
      <c r="AA1544" s="807">
        <f>Z1544</f>
        <v>100</v>
      </c>
      <c r="AB1544" s="806" t="s">
        <v>2688</v>
      </c>
      <c r="AC1544" s="805" t="s">
        <v>4115</v>
      </c>
      <c r="AD1544" s="805" t="s">
        <v>4116</v>
      </c>
      <c r="AE1544" s="804">
        <v>3.2210986719999998E-3</v>
      </c>
      <c r="AF1544" s="804">
        <v>3.9434345900000001E-2</v>
      </c>
      <c r="AG1544" s="804">
        <v>2.4510000000000001E-3</v>
      </c>
      <c r="AH1544" s="804">
        <v>9.0389601229999995E-4</v>
      </c>
    </row>
    <row r="1545" spans="1:34" ht="12.75">
      <c r="A1545" s="14" t="s">
        <v>4844</v>
      </c>
      <c r="B1545" s="13" t="s">
        <v>2768</v>
      </c>
      <c r="C1545" s="14" t="s">
        <v>2848</v>
      </c>
      <c r="D1545" s="14" t="s">
        <v>2911</v>
      </c>
      <c r="E1545" s="14" t="s">
        <v>4845</v>
      </c>
      <c r="F1545" s="13">
        <v>28</v>
      </c>
      <c r="G1545" s="14" t="s">
        <v>3204</v>
      </c>
      <c r="H1545" s="13">
        <v>12137</v>
      </c>
      <c r="I1545" s="135" t="s">
        <v>2849</v>
      </c>
      <c r="J1545" s="135" t="s">
        <v>4846</v>
      </c>
      <c r="K1545" s="475">
        <v>0.26</v>
      </c>
      <c r="L1545" s="476">
        <v>7.28</v>
      </c>
      <c r="M1545" s="492" t="s">
        <v>4847</v>
      </c>
      <c r="N1545" s="492"/>
      <c r="O1545" s="494"/>
      <c r="P1545" s="135" t="s">
        <v>2849</v>
      </c>
      <c r="Q1545" s="135" t="s">
        <v>4724</v>
      </c>
      <c r="R1545" s="135">
        <v>100</v>
      </c>
      <c r="S1545" s="135">
        <f t="shared" si="1448"/>
        <v>7.28</v>
      </c>
      <c r="T1545" s="135">
        <f t="shared" ref="T1545:T1548" si="1582">R1545</f>
        <v>100</v>
      </c>
      <c r="U1545">
        <f t="shared" ref="U1545:V1545" si="1583">T1545</f>
        <v>100</v>
      </c>
      <c r="V1545" s="220">
        <f t="shared" si="1583"/>
        <v>100</v>
      </c>
      <c r="W1545" s="14" t="s">
        <v>2849</v>
      </c>
      <c r="X1545">
        <f t="shared" ref="X1545:X1605" si="1584">V1545*K1545</f>
        <v>26</v>
      </c>
      <c r="Y1545" s="220">
        <f t="shared" ref="Y1545:AA1545" si="1585">X1545</f>
        <v>26</v>
      </c>
      <c r="Z1545" s="220">
        <f t="shared" si="1585"/>
        <v>26</v>
      </c>
      <c r="AA1545" s="792">
        <f t="shared" si="1585"/>
        <v>26</v>
      </c>
      <c r="AB1545" s="18" t="s">
        <v>2849</v>
      </c>
      <c r="AC1545" s="13" t="s">
        <v>18</v>
      </c>
      <c r="AD1545" s="13" t="s">
        <v>18</v>
      </c>
      <c r="AE1545" s="12">
        <v>1.5308726E-2</v>
      </c>
      <c r="AF1545" s="12">
        <v>0.61255519650000001</v>
      </c>
      <c r="AG1545" s="12">
        <v>9.2100000000000005E-4</v>
      </c>
      <c r="AH1545" s="12">
        <v>4.999E-3</v>
      </c>
    </row>
    <row r="1546" spans="1:34" ht="12.75">
      <c r="A1546" s="14" t="s">
        <v>4844</v>
      </c>
      <c r="B1546" s="13" t="s">
        <v>2768</v>
      </c>
      <c r="C1546" s="14" t="s">
        <v>2848</v>
      </c>
      <c r="D1546" s="14" t="s">
        <v>2911</v>
      </c>
      <c r="E1546" s="14" t="s">
        <v>4845</v>
      </c>
      <c r="F1546" s="13">
        <v>28</v>
      </c>
      <c r="G1546" s="14" t="s">
        <v>3204</v>
      </c>
      <c r="H1546" s="13">
        <v>12137</v>
      </c>
      <c r="I1546" s="135" t="s">
        <v>317</v>
      </c>
      <c r="J1546" s="135" t="s">
        <v>4848</v>
      </c>
      <c r="K1546" s="475">
        <v>0.14000000000000001</v>
      </c>
      <c r="L1546" s="476">
        <v>3.92</v>
      </c>
      <c r="M1546" s="492" t="s">
        <v>4849</v>
      </c>
      <c r="N1546" s="492"/>
      <c r="O1546" s="494"/>
      <c r="P1546" s="135" t="s">
        <v>317</v>
      </c>
      <c r="Q1546" s="135" t="s">
        <v>4850</v>
      </c>
      <c r="R1546" s="135">
        <v>100</v>
      </c>
      <c r="S1546" s="135">
        <f t="shared" si="1448"/>
        <v>3.92</v>
      </c>
      <c r="T1546" s="135">
        <f t="shared" si="1582"/>
        <v>100</v>
      </c>
      <c r="U1546">
        <f t="shared" ref="U1546:V1546" si="1586">T1546</f>
        <v>100</v>
      </c>
      <c r="V1546" s="220">
        <f t="shared" si="1586"/>
        <v>100</v>
      </c>
      <c r="W1546" s="14" t="s">
        <v>317</v>
      </c>
      <c r="X1546">
        <f t="shared" si="1584"/>
        <v>14.000000000000002</v>
      </c>
      <c r="Y1546" s="220">
        <f t="shared" ref="Y1546:AA1546" si="1587">X1546</f>
        <v>14.000000000000002</v>
      </c>
      <c r="Z1546" s="220">
        <f t="shared" si="1587"/>
        <v>14.000000000000002</v>
      </c>
      <c r="AA1546" s="792">
        <f t="shared" si="1587"/>
        <v>14.000000000000002</v>
      </c>
      <c r="AB1546" s="18" t="s">
        <v>317</v>
      </c>
      <c r="AC1546" s="13" t="s">
        <v>18</v>
      </c>
      <c r="AD1546" s="13" t="s">
        <v>18</v>
      </c>
      <c r="AE1546" s="12">
        <v>7.2492237880000003E-3</v>
      </c>
      <c r="AF1546" s="12">
        <v>9.5262392249999994E-2</v>
      </c>
      <c r="AG1546" s="12">
        <v>1.4343396226415095E-2</v>
      </c>
      <c r="AH1546" s="12">
        <v>2.1214310458372199E-3</v>
      </c>
    </row>
    <row r="1547" spans="1:34" ht="12.75">
      <c r="A1547" s="14" t="s">
        <v>4844</v>
      </c>
      <c r="B1547" s="13" t="s">
        <v>2768</v>
      </c>
      <c r="C1547" s="14" t="s">
        <v>2848</v>
      </c>
      <c r="D1547" s="14" t="s">
        <v>2911</v>
      </c>
      <c r="E1547" s="14" t="s">
        <v>4845</v>
      </c>
      <c r="F1547" s="13">
        <v>28</v>
      </c>
      <c r="G1547" s="14" t="s">
        <v>3204</v>
      </c>
      <c r="H1547" s="13">
        <v>12137</v>
      </c>
      <c r="I1547" s="135" t="s">
        <v>314</v>
      </c>
      <c r="J1547" s="135" t="s">
        <v>4851</v>
      </c>
      <c r="K1547" s="475">
        <v>0.37</v>
      </c>
      <c r="L1547" s="476">
        <v>10.36</v>
      </c>
      <c r="M1547" s="492" t="s">
        <v>4852</v>
      </c>
      <c r="N1547" s="492"/>
      <c r="O1547" s="494"/>
      <c r="P1547" s="135" t="s">
        <v>314</v>
      </c>
      <c r="Q1547" s="135" t="s">
        <v>4600</v>
      </c>
      <c r="R1547" s="135">
        <v>100</v>
      </c>
      <c r="S1547" s="135">
        <f t="shared" si="1448"/>
        <v>10.36</v>
      </c>
      <c r="T1547" s="135">
        <f t="shared" si="1582"/>
        <v>100</v>
      </c>
      <c r="U1547">
        <f t="shared" ref="U1547:V1547" si="1588">T1547</f>
        <v>100</v>
      </c>
      <c r="V1547" s="220">
        <f t="shared" si="1588"/>
        <v>100</v>
      </c>
      <c r="W1547" s="14" t="s">
        <v>314</v>
      </c>
      <c r="X1547">
        <f t="shared" si="1584"/>
        <v>37</v>
      </c>
      <c r="Y1547" s="220">
        <f t="shared" ref="Y1547:AA1547" si="1589">X1547</f>
        <v>37</v>
      </c>
      <c r="Z1547" s="220">
        <f t="shared" si="1589"/>
        <v>37</v>
      </c>
      <c r="AA1547" s="792">
        <f t="shared" si="1589"/>
        <v>37</v>
      </c>
      <c r="AB1547" s="18" t="s">
        <v>314</v>
      </c>
      <c r="AC1547" s="13" t="s">
        <v>18</v>
      </c>
      <c r="AD1547" s="13" t="s">
        <v>18</v>
      </c>
      <c r="AE1547" s="12">
        <v>5.5052259063149899E-3</v>
      </c>
      <c r="AF1547" s="12">
        <v>8.2856018088169489E-2</v>
      </c>
      <c r="AG1547" s="12">
        <v>3.8159999999999999E-3</v>
      </c>
      <c r="AH1547" s="12">
        <v>1.8959770013580487E-3</v>
      </c>
    </row>
    <row r="1548" spans="1:34" ht="12.75">
      <c r="A1548" s="617" t="s">
        <v>4844</v>
      </c>
      <c r="B1548" s="799" t="s">
        <v>2768</v>
      </c>
      <c r="C1548" s="617" t="s">
        <v>2848</v>
      </c>
      <c r="D1548" s="617" t="s">
        <v>2911</v>
      </c>
      <c r="E1548" s="617" t="s">
        <v>4845</v>
      </c>
      <c r="F1548" s="799">
        <v>28</v>
      </c>
      <c r="G1548" s="617" t="s">
        <v>3204</v>
      </c>
      <c r="H1548" s="799">
        <v>12137</v>
      </c>
      <c r="I1548" s="617" t="s">
        <v>316</v>
      </c>
      <c r="J1548" s="617" t="s">
        <v>4853</v>
      </c>
      <c r="K1548" s="838">
        <v>0.23</v>
      </c>
      <c r="L1548" s="725">
        <v>6.44</v>
      </c>
      <c r="M1548" s="850" t="s">
        <v>4854</v>
      </c>
      <c r="N1548" s="850"/>
      <c r="O1548" s="842"/>
      <c r="P1548" s="617" t="s">
        <v>316</v>
      </c>
      <c r="Q1548" s="617" t="s">
        <v>4725</v>
      </c>
      <c r="R1548" s="617">
        <v>100</v>
      </c>
      <c r="S1548" s="617">
        <f t="shared" si="1448"/>
        <v>6.44</v>
      </c>
      <c r="T1548" s="617">
        <f t="shared" si="1582"/>
        <v>100</v>
      </c>
      <c r="U1548" s="617">
        <f t="shared" ref="U1548:V1548" si="1590">T1548</f>
        <v>100</v>
      </c>
      <c r="V1548" s="725">
        <f t="shared" si="1590"/>
        <v>100</v>
      </c>
      <c r="W1548" s="617" t="s">
        <v>316</v>
      </c>
      <c r="X1548" s="617">
        <f t="shared" si="1584"/>
        <v>23</v>
      </c>
      <c r="Y1548" s="725">
        <f t="shared" ref="Y1548:AA1548" si="1591">X1548</f>
        <v>23</v>
      </c>
      <c r="Z1548" s="725">
        <f t="shared" si="1591"/>
        <v>23</v>
      </c>
      <c r="AA1548" s="455">
        <f t="shared" si="1591"/>
        <v>23</v>
      </c>
      <c r="AB1548" s="793" t="s">
        <v>316</v>
      </c>
      <c r="AC1548" s="799" t="s">
        <v>18</v>
      </c>
      <c r="AD1548" s="799" t="s">
        <v>18</v>
      </c>
      <c r="AE1548" s="635">
        <f>0.003937783028</f>
        <v>3.9377830280000001E-3</v>
      </c>
      <c r="AF1548" s="635">
        <v>0.1260090569</v>
      </c>
      <c r="AG1548" s="635">
        <v>4.8543689319999998E-5</v>
      </c>
      <c r="AH1548" s="635">
        <f>0.73/453.592</f>
        <v>1.6093758267341576E-3</v>
      </c>
    </row>
    <row r="1549" spans="1:34" ht="12.75">
      <c r="A1549" s="14" t="s">
        <v>4855</v>
      </c>
      <c r="B1549" s="24" t="s">
        <v>2768</v>
      </c>
      <c r="C1549" s="14" t="s">
        <v>2850</v>
      </c>
      <c r="D1549" s="14" t="s">
        <v>2911</v>
      </c>
      <c r="E1549" s="14" t="s">
        <v>4856</v>
      </c>
      <c r="F1549" s="13">
        <v>34</v>
      </c>
      <c r="G1549" s="14" t="s">
        <v>3434</v>
      </c>
      <c r="H1549" s="567">
        <v>9188</v>
      </c>
      <c r="I1549" s="14" t="s">
        <v>4857</v>
      </c>
      <c r="J1549" s="14" t="s">
        <v>4858</v>
      </c>
      <c r="K1549" s="478">
        <v>1</v>
      </c>
      <c r="L1549" s="220">
        <v>4.8899999999999997</v>
      </c>
      <c r="M1549" s="568" t="s">
        <v>4859</v>
      </c>
      <c r="N1549" s="568"/>
      <c r="O1549" s="569"/>
      <c r="P1549" s="14" t="s">
        <v>3235</v>
      </c>
      <c r="Q1549" s="10" t="s">
        <v>3238</v>
      </c>
      <c r="R1549" s="14">
        <v>39.049999999999997</v>
      </c>
      <c r="S1549" s="14">
        <f t="shared" si="1448"/>
        <v>1.9095449999999996</v>
      </c>
      <c r="T1549">
        <f>SUM(R1549:R1552)</f>
        <v>100</v>
      </c>
      <c r="U1549">
        <f t="shared" ref="U1549:U1552" si="1592">R1549</f>
        <v>39.049999999999997</v>
      </c>
      <c r="V1549" s="220">
        <f t="shared" ref="V1549:V1554" si="1593">U1549</f>
        <v>39.049999999999997</v>
      </c>
      <c r="W1549" s="14" t="s">
        <v>2851</v>
      </c>
      <c r="X1549">
        <f t="shared" si="1584"/>
        <v>39.049999999999997</v>
      </c>
      <c r="Y1549" s="220">
        <f t="shared" ref="Y1549:Y1555" si="1594">X1549</f>
        <v>39.049999999999997</v>
      </c>
      <c r="Z1549" s="220">
        <f t="shared" ref="Z1549:Z1552" si="1595">X1549</f>
        <v>39.049999999999997</v>
      </c>
      <c r="AA1549" s="792">
        <f t="shared" ref="AA1549:AA1552" si="1596">Z1549</f>
        <v>39.049999999999997</v>
      </c>
      <c r="AB1549" s="18" t="s">
        <v>2851</v>
      </c>
      <c r="AC1549" s="13" t="s">
        <v>3240</v>
      </c>
      <c r="AD1549" s="13" t="s">
        <v>3241</v>
      </c>
      <c r="AE1549" s="12">
        <v>2.6431432150407948E-3</v>
      </c>
      <c r="AF1549" s="12">
        <v>3.578569890523918E-2</v>
      </c>
      <c r="AG1549" s="12">
        <v>1.1539641943734014E-3</v>
      </c>
      <c r="AH1549" s="12">
        <v>5.0706361664226891E-4</v>
      </c>
    </row>
    <row r="1550" spans="1:34" ht="12.75">
      <c r="A1550" s="14" t="s">
        <v>4855</v>
      </c>
      <c r="B1550" s="24" t="s">
        <v>2768</v>
      </c>
      <c r="C1550" s="14" t="s">
        <v>2850</v>
      </c>
      <c r="D1550" s="14" t="s">
        <v>2911</v>
      </c>
      <c r="E1550" s="14" t="s">
        <v>4856</v>
      </c>
      <c r="F1550" s="13">
        <v>34</v>
      </c>
      <c r="G1550" s="14" t="s">
        <v>3434</v>
      </c>
      <c r="H1550" s="567">
        <v>9188</v>
      </c>
      <c r="I1550" s="14" t="s">
        <v>4857</v>
      </c>
      <c r="J1550" s="14" t="s">
        <v>4858</v>
      </c>
      <c r="K1550" s="478">
        <v>1</v>
      </c>
      <c r="L1550" s="220">
        <v>4.8899999999999997</v>
      </c>
      <c r="M1550" s="568" t="s">
        <v>4859</v>
      </c>
      <c r="N1550" s="568"/>
      <c r="O1550" s="569"/>
      <c r="P1550" s="14" t="s">
        <v>4860</v>
      </c>
      <c r="Q1550" s="486" t="s">
        <v>4861</v>
      </c>
      <c r="R1550" s="14">
        <v>24.76</v>
      </c>
      <c r="S1550" s="14">
        <f t="shared" si="1448"/>
        <v>1.210764</v>
      </c>
      <c r="T1550">
        <f>SUM(R1549:R1552)</f>
        <v>100</v>
      </c>
      <c r="U1550">
        <f t="shared" si="1592"/>
        <v>24.76</v>
      </c>
      <c r="V1550" s="220">
        <f t="shared" si="1593"/>
        <v>24.76</v>
      </c>
      <c r="W1550" s="14" t="s">
        <v>151</v>
      </c>
      <c r="X1550">
        <f t="shared" si="1584"/>
        <v>24.76</v>
      </c>
      <c r="Y1550" s="220">
        <f t="shared" si="1594"/>
        <v>24.76</v>
      </c>
      <c r="Z1550" s="220">
        <f t="shared" si="1595"/>
        <v>24.76</v>
      </c>
      <c r="AA1550" s="792">
        <f t="shared" si="1596"/>
        <v>24.76</v>
      </c>
      <c r="AB1550" s="18" t="s">
        <v>151</v>
      </c>
      <c r="AC1550" s="14" t="s">
        <v>4862</v>
      </c>
      <c r="AD1550" s="14" t="s">
        <v>4863</v>
      </c>
      <c r="AE1550" s="12">
        <v>2.5076104797634611E-3</v>
      </c>
      <c r="AF1550" s="12">
        <v>1.3519026779019229E-2</v>
      </c>
      <c r="AG1550" s="12">
        <v>8.1778846153846159E-4</v>
      </c>
      <c r="AH1550" s="12">
        <v>1.2200161793711538E-3</v>
      </c>
    </row>
    <row r="1551" spans="1:34" ht="12.75">
      <c r="A1551" s="14" t="s">
        <v>4855</v>
      </c>
      <c r="B1551" s="24" t="s">
        <v>2768</v>
      </c>
      <c r="C1551" s="14" t="s">
        <v>2850</v>
      </c>
      <c r="D1551" s="14" t="s">
        <v>2911</v>
      </c>
      <c r="E1551" s="14" t="s">
        <v>4856</v>
      </c>
      <c r="F1551" s="13">
        <v>34</v>
      </c>
      <c r="G1551" s="14" t="s">
        <v>3434</v>
      </c>
      <c r="H1551" s="567">
        <v>9188</v>
      </c>
      <c r="I1551" s="14" t="s">
        <v>4857</v>
      </c>
      <c r="J1551" s="14" t="s">
        <v>4858</v>
      </c>
      <c r="K1551" s="478">
        <v>1</v>
      </c>
      <c r="L1551" s="220">
        <v>4.8899999999999997</v>
      </c>
      <c r="M1551" s="568" t="s">
        <v>4859</v>
      </c>
      <c r="N1551" s="568"/>
      <c r="O1551" s="569"/>
      <c r="P1551" s="14" t="s">
        <v>3373</v>
      </c>
      <c r="Q1551" s="14" t="s">
        <v>3375</v>
      </c>
      <c r="R1551" s="14">
        <v>22.86</v>
      </c>
      <c r="S1551" s="14">
        <f t="shared" si="1448"/>
        <v>1.1178539999999999</v>
      </c>
      <c r="T1551">
        <f>SUM(R1549:R1552)</f>
        <v>100</v>
      </c>
      <c r="U1551">
        <f t="shared" si="1592"/>
        <v>22.86</v>
      </c>
      <c r="V1551" s="220">
        <f t="shared" si="1593"/>
        <v>22.86</v>
      </c>
      <c r="W1551" s="14" t="s">
        <v>154</v>
      </c>
      <c r="X1551">
        <f t="shared" si="1584"/>
        <v>22.86</v>
      </c>
      <c r="Y1551" s="220">
        <f t="shared" si="1594"/>
        <v>22.86</v>
      </c>
      <c r="Z1551" s="220">
        <f t="shared" si="1595"/>
        <v>22.86</v>
      </c>
      <c r="AA1551" s="792">
        <f t="shared" si="1596"/>
        <v>22.86</v>
      </c>
      <c r="AB1551" s="18" t="s">
        <v>154</v>
      </c>
      <c r="AC1551" s="14" t="s">
        <v>3376</v>
      </c>
      <c r="AD1551" s="14" t="s">
        <v>4864</v>
      </c>
      <c r="AE1551" s="12">
        <v>7.1773844620122602E-3</v>
      </c>
      <c r="AF1551" s="12">
        <v>6.7715737224996325E-2</v>
      </c>
      <c r="AG1551" s="12">
        <v>2.6813386525249999E-3</v>
      </c>
      <c r="AH1551" s="12">
        <v>1.1775586996833334E-3</v>
      </c>
    </row>
    <row r="1552" spans="1:34" ht="12.75">
      <c r="A1552" s="617" t="s">
        <v>4855</v>
      </c>
      <c r="B1552" s="794" t="s">
        <v>2768</v>
      </c>
      <c r="C1552" s="617" t="s">
        <v>2850</v>
      </c>
      <c r="D1552" s="617" t="s">
        <v>2911</v>
      </c>
      <c r="E1552" s="617" t="s">
        <v>4856</v>
      </c>
      <c r="F1552" s="799">
        <v>34</v>
      </c>
      <c r="G1552" s="617" t="s">
        <v>3434</v>
      </c>
      <c r="H1552" s="910">
        <v>9188</v>
      </c>
      <c r="I1552" s="617" t="s">
        <v>4857</v>
      </c>
      <c r="J1552" s="617" t="s">
        <v>4858</v>
      </c>
      <c r="K1552" s="838">
        <v>1</v>
      </c>
      <c r="L1552" s="725">
        <v>4.8899999999999997</v>
      </c>
      <c r="M1552" s="911" t="s">
        <v>4859</v>
      </c>
      <c r="N1552" s="911"/>
      <c r="O1552" s="912"/>
      <c r="P1552" s="617" t="s">
        <v>4865</v>
      </c>
      <c r="Q1552" s="856" t="s">
        <v>4866</v>
      </c>
      <c r="R1552" s="617">
        <v>13.33</v>
      </c>
      <c r="S1552" s="617">
        <f t="shared" si="1448"/>
        <v>0.651837</v>
      </c>
      <c r="T1552" s="617">
        <f>SUM(R1549:R1552)</f>
        <v>100</v>
      </c>
      <c r="U1552" s="617">
        <f t="shared" si="1592"/>
        <v>13.33</v>
      </c>
      <c r="V1552" s="725">
        <f t="shared" si="1593"/>
        <v>13.33</v>
      </c>
      <c r="W1552" s="617" t="s">
        <v>189</v>
      </c>
      <c r="X1552" s="617">
        <f t="shared" si="1584"/>
        <v>13.33</v>
      </c>
      <c r="Y1552" s="725">
        <f t="shared" si="1594"/>
        <v>13.33</v>
      </c>
      <c r="Z1552" s="725">
        <f t="shared" si="1595"/>
        <v>13.33</v>
      </c>
      <c r="AA1552" s="455">
        <f t="shared" si="1596"/>
        <v>13.33</v>
      </c>
      <c r="AB1552" s="793" t="s">
        <v>189</v>
      </c>
      <c r="AC1552" s="617" t="s">
        <v>4867</v>
      </c>
      <c r="AD1552" s="617" t="s">
        <v>4868</v>
      </c>
      <c r="AE1552" s="635">
        <v>2.4057913847009425E-3</v>
      </c>
      <c r="AF1552" s="635">
        <v>2.2292359013166604E-2</v>
      </c>
      <c r="AG1552" s="635">
        <v>5.5393612235717495E-4</v>
      </c>
      <c r="AH1552" s="635">
        <v>1.9487570785700057E-3</v>
      </c>
    </row>
    <row r="1553" spans="1:34" ht="12.75">
      <c r="A1553" s="14" t="s">
        <v>4869</v>
      </c>
      <c r="B1553" s="13" t="s">
        <v>2768</v>
      </c>
      <c r="C1553" s="14" t="s">
        <v>2852</v>
      </c>
      <c r="D1553" s="14" t="s">
        <v>2911</v>
      </c>
      <c r="E1553" s="14" t="s">
        <v>4870</v>
      </c>
      <c r="F1553" s="13">
        <v>4.8899999999999997</v>
      </c>
      <c r="G1553" s="14" t="s">
        <v>2972</v>
      </c>
      <c r="H1553" s="13" t="s">
        <v>2973</v>
      </c>
      <c r="I1553" s="135" t="s">
        <v>4871</v>
      </c>
      <c r="J1553" s="135" t="s">
        <v>4040</v>
      </c>
      <c r="K1553" s="475">
        <v>0.56999999999999995</v>
      </c>
      <c r="L1553" s="476">
        <v>2.77</v>
      </c>
      <c r="M1553" s="492" t="s">
        <v>4041</v>
      </c>
      <c r="N1553" s="492"/>
      <c r="O1553" s="494"/>
      <c r="P1553" s="135" t="s">
        <v>4039</v>
      </c>
      <c r="Q1553" s="135" t="s">
        <v>4111</v>
      </c>
      <c r="R1553" s="135">
        <v>100</v>
      </c>
      <c r="S1553" s="135">
        <f t="shared" si="1448"/>
        <v>2.77</v>
      </c>
      <c r="T1553" s="135">
        <f t="shared" ref="T1553:T1555" si="1597">R1553</f>
        <v>100</v>
      </c>
      <c r="U1553">
        <f t="shared" ref="U1553:U1554" si="1598">R1553*100/T1553</f>
        <v>100</v>
      </c>
      <c r="V1553" s="220">
        <f t="shared" si="1593"/>
        <v>100</v>
      </c>
      <c r="W1553" s="14" t="s">
        <v>1113</v>
      </c>
      <c r="X1553">
        <f t="shared" si="1584"/>
        <v>56.999999999999993</v>
      </c>
      <c r="Y1553" s="220">
        <f t="shared" si="1594"/>
        <v>56.999999999999993</v>
      </c>
      <c r="Z1553" s="220">
        <f t="shared" ref="Z1553:AA1553" si="1599">Y1553</f>
        <v>56.999999999999993</v>
      </c>
      <c r="AA1553" s="792">
        <f t="shared" si="1599"/>
        <v>56.999999999999993</v>
      </c>
      <c r="AB1553" s="18" t="s">
        <v>1113</v>
      </c>
      <c r="AC1553" s="13" t="s">
        <v>4142</v>
      </c>
      <c r="AD1553" s="13" t="s">
        <v>3529</v>
      </c>
      <c r="AE1553" s="12">
        <v>3.8297066240151499E-4</v>
      </c>
      <c r="AF1553" s="12">
        <v>1.2726079536012401E-2</v>
      </c>
      <c r="AG1553" s="12">
        <v>1.225E-5</v>
      </c>
      <c r="AH1553" s="12">
        <v>1.5432370941286443E-5</v>
      </c>
    </row>
    <row r="1554" spans="1:34" ht="12.75">
      <c r="A1554" s="617" t="s">
        <v>4869</v>
      </c>
      <c r="B1554" s="799" t="s">
        <v>2768</v>
      </c>
      <c r="C1554" s="617" t="s">
        <v>2852</v>
      </c>
      <c r="D1554" s="617" t="s">
        <v>2911</v>
      </c>
      <c r="E1554" s="617" t="s">
        <v>4870</v>
      </c>
      <c r="F1554" s="799">
        <v>4.8899999999999997</v>
      </c>
      <c r="G1554" s="617" t="s">
        <v>2972</v>
      </c>
      <c r="H1554" s="799" t="s">
        <v>2973</v>
      </c>
      <c r="I1554" s="617" t="s">
        <v>214</v>
      </c>
      <c r="J1554" s="617" t="s">
        <v>4872</v>
      </c>
      <c r="K1554" s="838">
        <v>0.43</v>
      </c>
      <c r="L1554" s="725">
        <v>2.12</v>
      </c>
      <c r="M1554" s="850" t="s">
        <v>4873</v>
      </c>
      <c r="N1554" s="850"/>
      <c r="O1554" s="842"/>
      <c r="P1554" s="617" t="s">
        <v>214</v>
      </c>
      <c r="Q1554" s="617" t="s">
        <v>3980</v>
      </c>
      <c r="R1554" s="617">
        <v>100</v>
      </c>
      <c r="S1554" s="617">
        <f t="shared" si="1448"/>
        <v>2.12</v>
      </c>
      <c r="T1554" s="617">
        <f t="shared" si="1597"/>
        <v>100</v>
      </c>
      <c r="U1554" s="617">
        <f t="shared" si="1598"/>
        <v>100</v>
      </c>
      <c r="V1554" s="725">
        <f t="shared" si="1593"/>
        <v>100</v>
      </c>
      <c r="W1554" s="617" t="s">
        <v>2853</v>
      </c>
      <c r="X1554" s="617">
        <f t="shared" si="1584"/>
        <v>43</v>
      </c>
      <c r="Y1554" s="725">
        <f t="shared" si="1594"/>
        <v>43</v>
      </c>
      <c r="Z1554" s="725">
        <f t="shared" ref="Z1554:AA1554" si="1600">Y1554</f>
        <v>43</v>
      </c>
      <c r="AA1554" s="455">
        <f t="shared" si="1600"/>
        <v>43</v>
      </c>
      <c r="AB1554" s="793" t="s">
        <v>2853</v>
      </c>
      <c r="AC1554" s="799" t="s">
        <v>214</v>
      </c>
      <c r="AD1554" s="799" t="s">
        <v>3981</v>
      </c>
      <c r="AE1554" s="635">
        <v>2.5425965018094099E-4</v>
      </c>
      <c r="AF1554" s="635">
        <v>2.999770886532045E-3</v>
      </c>
      <c r="AG1554" s="635">
        <v>1.7349999999999998E-5</v>
      </c>
      <c r="AH1554" s="635">
        <v>1.4881214836240498E-5</v>
      </c>
    </row>
    <row r="1555" spans="1:34" ht="12.75">
      <c r="A1555" s="617" t="s">
        <v>4874</v>
      </c>
      <c r="B1555" s="799" t="s">
        <v>2768</v>
      </c>
      <c r="C1555" s="617" t="s">
        <v>2854</v>
      </c>
      <c r="D1555" s="617" t="s">
        <v>2911</v>
      </c>
      <c r="E1555" s="617" t="s">
        <v>4071</v>
      </c>
      <c r="F1555" s="799">
        <v>7</v>
      </c>
      <c r="G1555" s="617" t="s">
        <v>2972</v>
      </c>
      <c r="H1555" s="910">
        <v>8084</v>
      </c>
      <c r="I1555" s="617" t="s">
        <v>4071</v>
      </c>
      <c r="J1555" s="617" t="s">
        <v>4875</v>
      </c>
      <c r="K1555" s="838">
        <v>1</v>
      </c>
      <c r="L1555" s="725">
        <v>7</v>
      </c>
      <c r="M1555" s="911" t="s">
        <v>4876</v>
      </c>
      <c r="N1555" s="911"/>
      <c r="O1555" s="912"/>
      <c r="P1555" s="617" t="s">
        <v>4071</v>
      </c>
      <c r="Q1555" s="920" t="s">
        <v>4072</v>
      </c>
      <c r="R1555" s="617">
        <v>100</v>
      </c>
      <c r="S1555" s="617">
        <f t="shared" si="1448"/>
        <v>7</v>
      </c>
      <c r="T1555" s="617">
        <f t="shared" si="1597"/>
        <v>100</v>
      </c>
      <c r="U1555" s="617">
        <f>R1555</f>
        <v>100</v>
      </c>
      <c r="V1555" s="725">
        <f>R1555</f>
        <v>100</v>
      </c>
      <c r="W1555" s="617" t="s">
        <v>1166</v>
      </c>
      <c r="X1555" s="617">
        <f t="shared" si="1584"/>
        <v>100</v>
      </c>
      <c r="Y1555" s="725">
        <f t="shared" si="1594"/>
        <v>100</v>
      </c>
      <c r="Z1555" s="725">
        <f t="shared" ref="Z1555:AA1555" si="1601">Y1555</f>
        <v>100</v>
      </c>
      <c r="AA1555" s="455">
        <f t="shared" si="1601"/>
        <v>100</v>
      </c>
      <c r="AB1555" s="793" t="s">
        <v>1166</v>
      </c>
      <c r="AC1555" s="617" t="s">
        <v>4073</v>
      </c>
      <c r="AD1555" s="617" t="s">
        <v>4074</v>
      </c>
      <c r="AE1555" s="635">
        <v>2.5425965018094099E-4</v>
      </c>
      <c r="AF1555" s="635">
        <v>2.999770886532045E-3</v>
      </c>
      <c r="AG1555" s="635">
        <v>1.7349999999999998E-5</v>
      </c>
      <c r="AH1555" s="635">
        <v>1.4881214836240498E-5</v>
      </c>
    </row>
    <row r="1556" spans="1:34" ht="12.75">
      <c r="A1556" s="14" t="s">
        <v>4877</v>
      </c>
      <c r="B1556" s="24" t="s">
        <v>2768</v>
      </c>
      <c r="C1556" s="14" t="s">
        <v>2855</v>
      </c>
      <c r="D1556" s="14" t="s">
        <v>2911</v>
      </c>
      <c r="E1556" s="14" t="s">
        <v>4878</v>
      </c>
      <c r="F1556" s="13">
        <v>252</v>
      </c>
      <c r="G1556" s="14" t="s">
        <v>2999</v>
      </c>
      <c r="H1556" s="567" t="s">
        <v>2973</v>
      </c>
      <c r="I1556" s="14" t="s">
        <v>4879</v>
      </c>
      <c r="J1556" s="14" t="s">
        <v>4880</v>
      </c>
      <c r="K1556" s="478">
        <v>0.53</v>
      </c>
      <c r="L1556" s="220">
        <v>133.56</v>
      </c>
      <c r="M1556" s="568" t="s">
        <v>4881</v>
      </c>
      <c r="N1556" s="568" t="s">
        <v>4882</v>
      </c>
      <c r="O1556" s="569"/>
      <c r="P1556" s="14" t="s">
        <v>2924</v>
      </c>
      <c r="Q1556" s="88" t="s">
        <v>2926</v>
      </c>
      <c r="R1556" s="14">
        <v>50</v>
      </c>
      <c r="S1556" s="14">
        <f t="shared" si="1448"/>
        <v>66.78</v>
      </c>
      <c r="T1556">
        <f t="shared" ref="T1556:T1568" si="1602">SUM(R$1556:R$1569)</f>
        <v>97.05</v>
      </c>
      <c r="U1556">
        <f t="shared" ref="U1556:U1603" si="1603">R1556*100/T1556</f>
        <v>51.519835136527561</v>
      </c>
      <c r="V1556" s="220">
        <f>U1556*100/SUM(U$1556,U$1558:U$1569)</f>
        <v>67.521944632005415</v>
      </c>
      <c r="W1556" s="14" t="s">
        <v>4883</v>
      </c>
      <c r="X1556">
        <f t="shared" si="1584"/>
        <v>35.78663065496287</v>
      </c>
      <c r="Y1556" s="220">
        <f>SUM(X1556,X1567,X1565,X1581,X1582,X1591)</f>
        <v>38.835019490578141</v>
      </c>
      <c r="Z1556" s="220">
        <f>X1556</f>
        <v>35.78663065496287</v>
      </c>
      <c r="AA1556" s="792">
        <f>Z1556</f>
        <v>35.78663065496287</v>
      </c>
      <c r="AB1556" s="18" t="s">
        <v>118</v>
      </c>
      <c r="AC1556" s="14" t="s">
        <v>2930</v>
      </c>
      <c r="AD1556" s="14" t="s">
        <v>2996</v>
      </c>
      <c r="AE1556" s="12">
        <v>5.2598080568720387E-3</v>
      </c>
      <c r="AF1556" s="12">
        <v>1.5464779620853082E-2</v>
      </c>
      <c r="AG1556" s="12">
        <v>1.0310377488151661E-4</v>
      </c>
      <c r="AH1556" s="12">
        <v>9.7015402843601893E-4</v>
      </c>
    </row>
    <row r="1557" spans="1:34" ht="12.75">
      <c r="A1557" s="14" t="s">
        <v>4877</v>
      </c>
      <c r="B1557" s="24" t="s">
        <v>2768</v>
      </c>
      <c r="C1557" s="14" t="s">
        <v>2855</v>
      </c>
      <c r="D1557" s="14" t="s">
        <v>2911</v>
      </c>
      <c r="E1557" s="14" t="s">
        <v>4878</v>
      </c>
      <c r="F1557" s="13">
        <v>252</v>
      </c>
      <c r="G1557" s="14" t="s">
        <v>2999</v>
      </c>
      <c r="H1557" s="567" t="s">
        <v>2973</v>
      </c>
      <c r="I1557" s="14" t="s">
        <v>4879</v>
      </c>
      <c r="J1557" s="14" t="s">
        <v>4880</v>
      </c>
      <c r="K1557" s="478">
        <v>0.53</v>
      </c>
      <c r="L1557" s="220">
        <v>133.56</v>
      </c>
      <c r="M1557" s="568" t="s">
        <v>4881</v>
      </c>
      <c r="N1557" s="590" t="s">
        <v>4882</v>
      </c>
      <c r="O1557" s="569"/>
      <c r="P1557" s="14" t="s">
        <v>2938</v>
      </c>
      <c r="Q1557" s="435" t="s">
        <v>2939</v>
      </c>
      <c r="R1557" s="14">
        <v>23</v>
      </c>
      <c r="S1557" s="14">
        <f t="shared" si="1448"/>
        <v>30.718800000000002</v>
      </c>
      <c r="T1557">
        <f t="shared" si="1602"/>
        <v>97.05</v>
      </c>
      <c r="U1557">
        <f t="shared" si="1603"/>
        <v>23.699124162802679</v>
      </c>
      <c r="V1557" s="481">
        <f>U1557</f>
        <v>23.699124162802679</v>
      </c>
      <c r="W1557" s="482" t="s">
        <v>72</v>
      </c>
      <c r="X1557" s="482">
        <f t="shared" si="1584"/>
        <v>12.56053580628542</v>
      </c>
      <c r="Y1557" s="481">
        <f>SUM(X1557,X1571,X1575,)</f>
        <v>43.981148619655897</v>
      </c>
      <c r="Z1557" s="481">
        <f t="shared" ref="Z1557:AA1557" si="1604">Y1557</f>
        <v>43.981148619655897</v>
      </c>
      <c r="AA1557" s="796">
        <f t="shared" si="1604"/>
        <v>43.981148619655897</v>
      </c>
      <c r="AB1557" s="456" t="s">
        <v>72</v>
      </c>
      <c r="AC1557" s="469" t="s">
        <v>2938</v>
      </c>
      <c r="AD1557" s="469" t="s">
        <v>2940</v>
      </c>
      <c r="AE1557" s="457">
        <v>0</v>
      </c>
      <c r="AF1557" s="457">
        <v>0</v>
      </c>
      <c r="AG1557" s="457">
        <v>0</v>
      </c>
      <c r="AH1557" s="457">
        <v>0</v>
      </c>
    </row>
    <row r="1558" spans="1:34" ht="12.75">
      <c r="A1558" s="14" t="s">
        <v>4877</v>
      </c>
      <c r="B1558" s="24" t="s">
        <v>2768</v>
      </c>
      <c r="C1558" s="14" t="s">
        <v>2855</v>
      </c>
      <c r="D1558" s="14" t="s">
        <v>2911</v>
      </c>
      <c r="E1558" s="14" t="s">
        <v>4878</v>
      </c>
      <c r="F1558" s="13">
        <v>252</v>
      </c>
      <c r="G1558" s="14" t="s">
        <v>2999</v>
      </c>
      <c r="H1558" s="567" t="s">
        <v>2973</v>
      </c>
      <c r="I1558" s="14" t="s">
        <v>4879</v>
      </c>
      <c r="J1558" s="14" t="s">
        <v>4880</v>
      </c>
      <c r="K1558" s="478">
        <v>0.53</v>
      </c>
      <c r="L1558" s="220">
        <v>133.56</v>
      </c>
      <c r="M1558" s="568" t="s">
        <v>4881</v>
      </c>
      <c r="N1558" s="590" t="s">
        <v>4882</v>
      </c>
      <c r="O1558" s="569"/>
      <c r="P1558" s="14" t="s">
        <v>4884</v>
      </c>
      <c r="Q1558" s="14" t="s">
        <v>4885</v>
      </c>
      <c r="R1558" s="14">
        <v>15</v>
      </c>
      <c r="S1558" s="14">
        <f t="shared" si="1448"/>
        <v>20.033999999999999</v>
      </c>
      <c r="T1558">
        <f t="shared" si="1602"/>
        <v>97.05</v>
      </c>
      <c r="U1558">
        <f t="shared" si="1603"/>
        <v>15.45595054095827</v>
      </c>
      <c r="V1558" s="220">
        <f t="shared" ref="V1558:V1569" si="1605">U1558*100/SUM(U$1556,U$1558:U$1569)</f>
        <v>20.256583389601623</v>
      </c>
      <c r="W1558" s="14" t="s">
        <v>479</v>
      </c>
      <c r="X1558">
        <f t="shared" si="1584"/>
        <v>10.735989196488861</v>
      </c>
      <c r="Y1558" s="220">
        <f t="shared" ref="Y1558:AA1558" si="1606">X1558</f>
        <v>10.735989196488861</v>
      </c>
      <c r="Z1558">
        <f t="shared" si="1606"/>
        <v>10.735989196488861</v>
      </c>
      <c r="AA1558" s="792">
        <f t="shared" si="1606"/>
        <v>10.735989196488861</v>
      </c>
      <c r="AB1558" s="18" t="s">
        <v>2856</v>
      </c>
      <c r="AC1558" s="13" t="s">
        <v>4884</v>
      </c>
      <c r="AD1558" s="13" t="s">
        <v>4886</v>
      </c>
      <c r="AE1558" s="12">
        <v>3.7811354536082471E-4</v>
      </c>
      <c r="AF1558" s="12">
        <v>2.268041237113402E-2</v>
      </c>
      <c r="AG1558" s="12">
        <v>4.52688206185567E-6</v>
      </c>
      <c r="AH1558" s="12">
        <v>2.1958762886597938E-3</v>
      </c>
    </row>
    <row r="1559" spans="1:34" ht="12.75">
      <c r="A1559" s="14" t="s">
        <v>4877</v>
      </c>
      <c r="B1559" s="24" t="s">
        <v>2768</v>
      </c>
      <c r="C1559" s="14" t="s">
        <v>2855</v>
      </c>
      <c r="D1559" s="14" t="s">
        <v>2911</v>
      </c>
      <c r="E1559" s="14" t="s">
        <v>4878</v>
      </c>
      <c r="F1559" s="13">
        <v>252</v>
      </c>
      <c r="G1559" s="14" t="s">
        <v>2999</v>
      </c>
      <c r="H1559" s="567" t="s">
        <v>2973</v>
      </c>
      <c r="I1559" s="14" t="s">
        <v>4879</v>
      </c>
      <c r="J1559" s="14" t="s">
        <v>4880</v>
      </c>
      <c r="K1559" s="478">
        <v>0.53</v>
      </c>
      <c r="L1559" s="220">
        <v>133.56</v>
      </c>
      <c r="M1559" s="568" t="s">
        <v>4881</v>
      </c>
      <c r="N1559" s="590" t="s">
        <v>4882</v>
      </c>
      <c r="O1559" s="569"/>
      <c r="P1559" s="14" t="s">
        <v>3508</v>
      </c>
      <c r="Q1559" s="486" t="s">
        <v>3509</v>
      </c>
      <c r="R1559" s="14">
        <v>0.6</v>
      </c>
      <c r="S1559" s="14">
        <f t="shared" si="1448"/>
        <v>0.80136000000000007</v>
      </c>
      <c r="T1559">
        <f t="shared" si="1602"/>
        <v>97.05</v>
      </c>
      <c r="U1559">
        <f t="shared" si="1603"/>
        <v>0.61823802163833075</v>
      </c>
      <c r="V1559" s="220">
        <f t="shared" si="1605"/>
        <v>0.81026333558406494</v>
      </c>
      <c r="W1559" s="14" t="s">
        <v>321</v>
      </c>
      <c r="X1559">
        <f t="shared" si="1584"/>
        <v>0.42943956785955445</v>
      </c>
      <c r="Y1559" s="220">
        <f>SUM(X1559,X1563,X1576,X1590)</f>
        <v>9.3651064747303394</v>
      </c>
      <c r="Z1559" s="220">
        <f>X1559</f>
        <v>0.42943956785955445</v>
      </c>
      <c r="AA1559" s="792">
        <f>Z1559</f>
        <v>0.42943956785955445</v>
      </c>
      <c r="AB1559" s="18" t="s">
        <v>2689</v>
      </c>
      <c r="AC1559" s="13" t="s">
        <v>3510</v>
      </c>
      <c r="AD1559" s="13" t="s">
        <v>18</v>
      </c>
      <c r="AE1559" s="12">
        <v>5.2419900086202897E-2</v>
      </c>
      <c r="AF1559" s="12">
        <v>2.8162483479607547</v>
      </c>
      <c r="AG1559" s="12">
        <v>1.6256511627906977E-3</v>
      </c>
      <c r="AH1559" s="12">
        <v>1.194650084062842E-2</v>
      </c>
    </row>
    <row r="1560" spans="1:34" ht="12.75">
      <c r="A1560" s="14" t="s">
        <v>4877</v>
      </c>
      <c r="B1560" s="24" t="s">
        <v>2768</v>
      </c>
      <c r="C1560" s="14" t="s">
        <v>2855</v>
      </c>
      <c r="D1560" s="14" t="s">
        <v>2911</v>
      </c>
      <c r="E1560" s="14" t="s">
        <v>4878</v>
      </c>
      <c r="F1560" s="13">
        <v>252</v>
      </c>
      <c r="G1560" s="14" t="s">
        <v>2999</v>
      </c>
      <c r="H1560" s="567" t="s">
        <v>2973</v>
      </c>
      <c r="I1560" s="14" t="s">
        <v>4879</v>
      </c>
      <c r="J1560" s="14" t="s">
        <v>4880</v>
      </c>
      <c r="K1560" s="478">
        <v>0.53</v>
      </c>
      <c r="L1560" s="220">
        <v>133.56</v>
      </c>
      <c r="M1560" s="568" t="s">
        <v>4881</v>
      </c>
      <c r="N1560" s="590" t="s">
        <v>4882</v>
      </c>
      <c r="O1560" s="569"/>
      <c r="P1560" s="14" t="s">
        <v>3853</v>
      </c>
      <c r="Q1560" s="486" t="s">
        <v>2991</v>
      </c>
      <c r="R1560" s="14">
        <v>0.7</v>
      </c>
      <c r="S1560" s="14">
        <f t="shared" si="1448"/>
        <v>0.93491999999999997</v>
      </c>
      <c r="T1560">
        <f t="shared" si="1602"/>
        <v>97.05</v>
      </c>
      <c r="U1560">
        <f t="shared" si="1603"/>
        <v>0.72127769191138591</v>
      </c>
      <c r="V1560" s="220">
        <f t="shared" si="1605"/>
        <v>0.94530722484807583</v>
      </c>
      <c r="W1560" s="14" t="s">
        <v>4887</v>
      </c>
      <c r="X1560">
        <f t="shared" si="1584"/>
        <v>0.5010128291694802</v>
      </c>
      <c r="Y1560" s="499">
        <f t="shared" ref="Y1560:AA1560" si="1607">X1560</f>
        <v>0.5010128291694802</v>
      </c>
      <c r="Z1560" s="220">
        <f t="shared" si="1607"/>
        <v>0.5010128291694802</v>
      </c>
      <c r="AA1560" s="792">
        <f t="shared" si="1607"/>
        <v>0.5010128291694802</v>
      </c>
      <c r="AB1560" s="18" t="s">
        <v>324</v>
      </c>
      <c r="AC1560" s="13" t="s">
        <v>18</v>
      </c>
      <c r="AD1560" s="13" t="s">
        <v>3144</v>
      </c>
      <c r="AE1560" s="12">
        <v>1.0652903141570055E-3</v>
      </c>
      <c r="AF1560" s="12">
        <v>1.7273631840796021E-2</v>
      </c>
      <c r="AG1560" s="12">
        <v>1.3582399999999999E-4</v>
      </c>
      <c r="AH1560" s="12">
        <v>2.14E-3</v>
      </c>
    </row>
    <row r="1561" spans="1:34" ht="12.75">
      <c r="A1561" s="14" t="s">
        <v>4877</v>
      </c>
      <c r="B1561" s="24" t="s">
        <v>2768</v>
      </c>
      <c r="C1561" s="14" t="s">
        <v>2855</v>
      </c>
      <c r="D1561" s="14" t="s">
        <v>2911</v>
      </c>
      <c r="E1561" s="14" t="s">
        <v>4878</v>
      </c>
      <c r="F1561" s="13">
        <v>252</v>
      </c>
      <c r="G1561" s="14" t="s">
        <v>2999</v>
      </c>
      <c r="H1561" s="567" t="s">
        <v>2973</v>
      </c>
      <c r="I1561" s="14" t="s">
        <v>4879</v>
      </c>
      <c r="J1561" s="14" t="s">
        <v>4880</v>
      </c>
      <c r="K1561" s="478">
        <v>0.53</v>
      </c>
      <c r="L1561" s="220">
        <v>133.56</v>
      </c>
      <c r="M1561" s="568" t="s">
        <v>4881</v>
      </c>
      <c r="N1561" s="590" t="s">
        <v>4882</v>
      </c>
      <c r="O1561" s="569"/>
      <c r="P1561" s="14" t="s">
        <v>1376</v>
      </c>
      <c r="Q1561" s="527" t="s">
        <v>3114</v>
      </c>
      <c r="R1561" s="14">
        <v>0.7</v>
      </c>
      <c r="S1561" s="14">
        <f t="shared" si="1448"/>
        <v>0.93491999999999997</v>
      </c>
      <c r="T1561">
        <f t="shared" si="1602"/>
        <v>97.05</v>
      </c>
      <c r="U1561">
        <f t="shared" si="1603"/>
        <v>0.72127769191138591</v>
      </c>
      <c r="V1561" s="220">
        <f t="shared" si="1605"/>
        <v>0.94530722484807583</v>
      </c>
      <c r="W1561" s="14" t="s">
        <v>340</v>
      </c>
      <c r="X1561">
        <f t="shared" si="1584"/>
        <v>0.5010128291694802</v>
      </c>
      <c r="Y1561" s="499">
        <f t="shared" ref="Y1561:AA1561" si="1608">X1561</f>
        <v>0.5010128291694802</v>
      </c>
      <c r="Z1561" s="220">
        <f t="shared" si="1608"/>
        <v>0.5010128291694802</v>
      </c>
      <c r="AA1561" s="792">
        <f t="shared" si="1608"/>
        <v>0.5010128291694802</v>
      </c>
      <c r="AB1561" s="18" t="s">
        <v>340</v>
      </c>
      <c r="AC1561" s="13" t="s">
        <v>3115</v>
      </c>
      <c r="AD1561" s="13" t="s">
        <v>3116</v>
      </c>
      <c r="AE1561" s="12">
        <v>2.1708241661196198E-2</v>
      </c>
      <c r="AF1561" s="12">
        <v>0.36572952458380198</v>
      </c>
      <c r="AG1561" s="12">
        <v>4.6350652173913045E-4</v>
      </c>
      <c r="AH1561" s="12">
        <v>1.6975608035415088E-3</v>
      </c>
    </row>
    <row r="1562" spans="1:34" ht="12.75">
      <c r="A1562" s="14" t="s">
        <v>4877</v>
      </c>
      <c r="B1562" s="24" t="s">
        <v>2768</v>
      </c>
      <c r="C1562" s="14" t="s">
        <v>2855</v>
      </c>
      <c r="D1562" s="14" t="s">
        <v>2911</v>
      </c>
      <c r="E1562" s="14" t="s">
        <v>4878</v>
      </c>
      <c r="F1562" s="13">
        <v>252</v>
      </c>
      <c r="G1562" s="14" t="s">
        <v>2999</v>
      </c>
      <c r="H1562" s="567" t="s">
        <v>2973</v>
      </c>
      <c r="I1562" s="14" t="s">
        <v>4879</v>
      </c>
      <c r="J1562" s="14" t="s">
        <v>4880</v>
      </c>
      <c r="K1562" s="478">
        <v>0.53</v>
      </c>
      <c r="L1562" s="220">
        <v>133.56</v>
      </c>
      <c r="M1562" s="568" t="s">
        <v>4881</v>
      </c>
      <c r="N1562" s="590" t="s">
        <v>4882</v>
      </c>
      <c r="O1562" s="569"/>
      <c r="P1562" s="14" t="s">
        <v>3021</v>
      </c>
      <c r="Q1562" s="486" t="s">
        <v>3022</v>
      </c>
      <c r="R1562" s="14">
        <v>0.5</v>
      </c>
      <c r="S1562" s="14">
        <f t="shared" si="1448"/>
        <v>0.66780000000000006</v>
      </c>
      <c r="T1562">
        <f t="shared" si="1602"/>
        <v>97.05</v>
      </c>
      <c r="U1562">
        <f t="shared" si="1603"/>
        <v>0.5151983513652757</v>
      </c>
      <c r="V1562" s="220">
        <f t="shared" si="1605"/>
        <v>0.67521944632005415</v>
      </c>
      <c r="W1562" s="14" t="s">
        <v>346</v>
      </c>
      <c r="X1562">
        <f t="shared" si="1584"/>
        <v>0.3578663065496287</v>
      </c>
      <c r="Y1562" s="220">
        <f>SUM(X1562,X1568,X1574,X1578)</f>
        <v>5.9291779912505191</v>
      </c>
      <c r="Z1562" s="220">
        <f>SUM(X1562,X1574)</f>
        <v>4.7813957183143359</v>
      </c>
      <c r="AA1562" s="792">
        <f t="shared" ref="AA1562:AA1563" si="1609">Z1562</f>
        <v>4.7813957183143359</v>
      </c>
      <c r="AB1562" s="18" t="s">
        <v>2857</v>
      </c>
      <c r="AC1562" s="13" t="s">
        <v>2982</v>
      </c>
      <c r="AD1562" s="13" t="s">
        <v>2983</v>
      </c>
      <c r="AE1562" s="12">
        <v>2.9691872042618299E-2</v>
      </c>
      <c r="AF1562" s="12">
        <v>7.5368545517799299E-2</v>
      </c>
      <c r="AG1562" s="12">
        <v>2.9014018691588786E-4</v>
      </c>
      <c r="AH1562" s="12">
        <v>1.4770983615231311E-3</v>
      </c>
    </row>
    <row r="1563" spans="1:34" ht="12.75">
      <c r="A1563" s="14" t="s">
        <v>4877</v>
      </c>
      <c r="B1563" s="24" t="s">
        <v>2768</v>
      </c>
      <c r="C1563" s="14" t="s">
        <v>2855</v>
      </c>
      <c r="D1563" s="14" t="s">
        <v>2911</v>
      </c>
      <c r="E1563" s="14" t="s">
        <v>4878</v>
      </c>
      <c r="F1563" s="13">
        <v>252</v>
      </c>
      <c r="G1563" s="14" t="s">
        <v>2999</v>
      </c>
      <c r="H1563" s="567" t="s">
        <v>2973</v>
      </c>
      <c r="I1563" s="14" t="s">
        <v>4879</v>
      </c>
      <c r="J1563" s="14" t="s">
        <v>4880</v>
      </c>
      <c r="K1563" s="478">
        <v>0.53</v>
      </c>
      <c r="L1563" s="220">
        <v>133.56</v>
      </c>
      <c r="M1563" s="568" t="s">
        <v>4881</v>
      </c>
      <c r="N1563" s="590" t="s">
        <v>4882</v>
      </c>
      <c r="O1563" s="569"/>
      <c r="P1563" s="655" t="s">
        <v>2977</v>
      </c>
      <c r="Q1563" s="527" t="s">
        <v>2978</v>
      </c>
      <c r="R1563" s="14">
        <v>2</v>
      </c>
      <c r="S1563" s="14">
        <f t="shared" si="1448"/>
        <v>2.6712000000000002</v>
      </c>
      <c r="T1563">
        <f t="shared" si="1602"/>
        <v>97.05</v>
      </c>
      <c r="U1563">
        <f t="shared" si="1603"/>
        <v>2.0607934054611028</v>
      </c>
      <c r="V1563" s="220">
        <f t="shared" si="1605"/>
        <v>2.7008777852802166</v>
      </c>
      <c r="W1563" s="14" t="s">
        <v>227</v>
      </c>
      <c r="X1563">
        <f t="shared" si="1584"/>
        <v>1.4314652261985148</v>
      </c>
      <c r="Y1563" s="220" t="s">
        <v>1666</v>
      </c>
      <c r="Z1563" s="220">
        <f>SUM(X1563,X1576,X1590)</f>
        <v>8.9356669068707841</v>
      </c>
      <c r="AA1563" s="792">
        <f t="shared" si="1609"/>
        <v>8.9356669068707841</v>
      </c>
      <c r="AB1563" s="18" t="s">
        <v>2817</v>
      </c>
      <c r="AC1563" s="13" t="s">
        <v>55</v>
      </c>
      <c r="AD1563" s="13" t="s">
        <v>2979</v>
      </c>
      <c r="AE1563" s="12">
        <v>2.5055367220000002E-3</v>
      </c>
      <c r="AF1563" s="12">
        <v>3.8459841414181101E-2</v>
      </c>
      <c r="AG1563" s="12">
        <v>1.1035422343324251E-4</v>
      </c>
      <c r="AH1563" s="12">
        <v>8.109653861711444E-4</v>
      </c>
    </row>
    <row r="1564" spans="1:34" ht="12.75">
      <c r="A1564" s="14" t="s">
        <v>4877</v>
      </c>
      <c r="B1564" s="24" t="s">
        <v>2768</v>
      </c>
      <c r="C1564" s="14" t="s">
        <v>2855</v>
      </c>
      <c r="D1564" s="14" t="s">
        <v>2911</v>
      </c>
      <c r="E1564" s="14" t="s">
        <v>4878</v>
      </c>
      <c r="F1564" s="13">
        <v>252</v>
      </c>
      <c r="G1564" s="14" t="s">
        <v>2999</v>
      </c>
      <c r="H1564" s="567" t="s">
        <v>2973</v>
      </c>
      <c r="I1564" s="14" t="s">
        <v>4879</v>
      </c>
      <c r="J1564" s="14" t="s">
        <v>4880</v>
      </c>
      <c r="K1564" s="478">
        <v>0.53</v>
      </c>
      <c r="L1564" s="220">
        <v>133.56</v>
      </c>
      <c r="M1564" s="568" t="s">
        <v>4881</v>
      </c>
      <c r="N1564" s="590" t="s">
        <v>4882</v>
      </c>
      <c r="O1564" s="569"/>
      <c r="P1564" s="655" t="s">
        <v>3005</v>
      </c>
      <c r="Q1564" s="486" t="s">
        <v>3006</v>
      </c>
      <c r="R1564" s="14">
        <v>1</v>
      </c>
      <c r="S1564" s="14">
        <f t="shared" si="1448"/>
        <v>1.3356000000000001</v>
      </c>
      <c r="T1564">
        <f t="shared" si="1602"/>
        <v>97.05</v>
      </c>
      <c r="U1564">
        <f t="shared" si="1603"/>
        <v>1.0303967027305514</v>
      </c>
      <c r="V1564" s="220">
        <f t="shared" si="1605"/>
        <v>1.3504388926401083</v>
      </c>
      <c r="W1564" s="14" t="s">
        <v>2526</v>
      </c>
      <c r="X1564">
        <f t="shared" si="1584"/>
        <v>0.7157326130992574</v>
      </c>
      <c r="Y1564" s="499">
        <f t="shared" ref="Y1564:AA1564" si="1610">X1564</f>
        <v>0.7157326130992574</v>
      </c>
      <c r="Z1564" s="220">
        <f t="shared" si="1610"/>
        <v>0.7157326130992574</v>
      </c>
      <c r="AA1564" s="792">
        <f t="shared" si="1610"/>
        <v>0.7157326130992574</v>
      </c>
      <c r="AB1564" s="18" t="s">
        <v>2658</v>
      </c>
      <c r="AC1564" s="13" t="s">
        <v>215</v>
      </c>
      <c r="AD1564" s="13" t="s">
        <v>3007</v>
      </c>
      <c r="AE1564" s="12">
        <v>5.0851930036188197E-3</v>
      </c>
      <c r="AF1564" s="12">
        <v>5.9995417730640897E-2</v>
      </c>
      <c r="AG1564" s="12">
        <v>3.4699999999999998E-4</v>
      </c>
      <c r="AH1564" s="12">
        <v>2.9762429672480995E-4</v>
      </c>
    </row>
    <row r="1565" spans="1:34" ht="12.75">
      <c r="A1565" s="14" t="s">
        <v>4877</v>
      </c>
      <c r="B1565" s="24" t="s">
        <v>2768</v>
      </c>
      <c r="C1565" s="14" t="s">
        <v>2855</v>
      </c>
      <c r="D1565" s="14" t="s">
        <v>2911</v>
      </c>
      <c r="E1565" s="14" t="s">
        <v>4878</v>
      </c>
      <c r="F1565" s="13">
        <v>252</v>
      </c>
      <c r="G1565" s="14" t="s">
        <v>2999</v>
      </c>
      <c r="H1565" s="567" t="s">
        <v>2973</v>
      </c>
      <c r="I1565" s="14" t="s">
        <v>4879</v>
      </c>
      <c r="J1565" s="14" t="s">
        <v>4880</v>
      </c>
      <c r="K1565" s="478">
        <v>0.53</v>
      </c>
      <c r="L1565" s="220">
        <v>133.56</v>
      </c>
      <c r="M1565" s="568" t="s">
        <v>4881</v>
      </c>
      <c r="N1565" s="590" t="s">
        <v>4882</v>
      </c>
      <c r="O1565" s="569"/>
      <c r="P1565" s="14" t="s">
        <v>2776</v>
      </c>
      <c r="Q1565" s="14" t="s">
        <v>3040</v>
      </c>
      <c r="R1565" s="14">
        <v>1</v>
      </c>
      <c r="S1565" s="14">
        <f t="shared" si="1448"/>
        <v>1.3356000000000001</v>
      </c>
      <c r="T1565">
        <f t="shared" si="1602"/>
        <v>97.05</v>
      </c>
      <c r="U1565">
        <f t="shared" si="1603"/>
        <v>1.0303967027305514</v>
      </c>
      <c r="V1565" s="220">
        <f t="shared" si="1605"/>
        <v>1.3504388926401083</v>
      </c>
      <c r="W1565" s="14" t="s">
        <v>2776</v>
      </c>
      <c r="X1565">
        <f t="shared" si="1584"/>
        <v>0.7157326130992574</v>
      </c>
      <c r="Y1565" s="220" t="s">
        <v>1666</v>
      </c>
      <c r="Z1565" s="220">
        <f>SUM(X1565,X1581)</f>
        <v>1.5056485794858121</v>
      </c>
      <c r="AA1565" s="792">
        <f t="shared" ref="AA1565:AA1570" si="1611">Z1565</f>
        <v>1.5056485794858121</v>
      </c>
      <c r="AB1565" s="18" t="s">
        <v>2548</v>
      </c>
      <c r="AC1565" s="13" t="s">
        <v>2776</v>
      </c>
      <c r="AD1565" s="13" t="s">
        <v>3011</v>
      </c>
      <c r="AE1565" s="12">
        <v>1.5483515402843602E-2</v>
      </c>
      <c r="AF1565" s="12">
        <v>4.5524313981042654E-2</v>
      </c>
      <c r="AG1565" s="12">
        <v>3.0351086374407588E-4</v>
      </c>
      <c r="AH1565" s="12">
        <v>2.8558827014218014E-3</v>
      </c>
    </row>
    <row r="1566" spans="1:34" ht="12.75">
      <c r="A1566" s="14" t="s">
        <v>4877</v>
      </c>
      <c r="B1566" s="24" t="s">
        <v>2768</v>
      </c>
      <c r="C1566" s="14" t="s">
        <v>2855</v>
      </c>
      <c r="D1566" s="14" t="s">
        <v>2911</v>
      </c>
      <c r="E1566" s="14" t="s">
        <v>4878</v>
      </c>
      <c r="F1566" s="13">
        <v>252</v>
      </c>
      <c r="G1566" s="14" t="s">
        <v>2999</v>
      </c>
      <c r="H1566" s="567" t="s">
        <v>2973</v>
      </c>
      <c r="I1566" s="14" t="s">
        <v>4879</v>
      </c>
      <c r="J1566" s="14" t="s">
        <v>4880</v>
      </c>
      <c r="K1566" s="478">
        <v>0.53</v>
      </c>
      <c r="L1566" s="220">
        <v>133.56</v>
      </c>
      <c r="M1566" s="568" t="s">
        <v>4881</v>
      </c>
      <c r="N1566" s="590" t="s">
        <v>4882</v>
      </c>
      <c r="O1566" s="569"/>
      <c r="P1566" s="14" t="s">
        <v>83</v>
      </c>
      <c r="Q1566" s="527" t="s">
        <v>3430</v>
      </c>
      <c r="R1566" s="14">
        <v>1.5</v>
      </c>
      <c r="S1566" s="14">
        <f t="shared" si="1448"/>
        <v>2.0034000000000001</v>
      </c>
      <c r="T1566">
        <f t="shared" si="1602"/>
        <v>97.05</v>
      </c>
      <c r="U1566">
        <f t="shared" si="1603"/>
        <v>1.545595054095827</v>
      </c>
      <c r="V1566" s="220">
        <f t="shared" si="1605"/>
        <v>2.0256583389601626</v>
      </c>
      <c r="W1566" s="14" t="s">
        <v>83</v>
      </c>
      <c r="X1566">
        <f t="shared" si="1584"/>
        <v>1.0735989196488862</v>
      </c>
      <c r="Y1566" s="499">
        <f>SUM(X1566,X1580)</f>
        <v>1.8635148860354409</v>
      </c>
      <c r="Z1566" s="220">
        <f>SUM(X1566,X1580)</f>
        <v>1.8635148860354409</v>
      </c>
      <c r="AA1566" s="792">
        <f t="shared" si="1611"/>
        <v>1.8635148860354409</v>
      </c>
      <c r="AB1566" s="18" t="s">
        <v>83</v>
      </c>
      <c r="AC1566" s="13" t="s">
        <v>83</v>
      </c>
      <c r="AD1566" s="13" t="s">
        <v>2951</v>
      </c>
      <c r="AE1566" s="12">
        <v>0</v>
      </c>
      <c r="AF1566" s="12">
        <v>0</v>
      </c>
      <c r="AG1566" s="12">
        <v>0</v>
      </c>
      <c r="AH1566" s="12">
        <v>0</v>
      </c>
    </row>
    <row r="1567" spans="1:34" ht="12.75">
      <c r="A1567" s="14" t="s">
        <v>4877</v>
      </c>
      <c r="B1567" s="24" t="s">
        <v>2768</v>
      </c>
      <c r="C1567" s="14" t="s">
        <v>2855</v>
      </c>
      <c r="D1567" s="14" t="s">
        <v>2911</v>
      </c>
      <c r="E1567" s="14" t="s">
        <v>4878</v>
      </c>
      <c r="F1567" s="13">
        <v>252</v>
      </c>
      <c r="G1567" s="14" t="s">
        <v>2999</v>
      </c>
      <c r="H1567" s="567" t="s">
        <v>2973</v>
      </c>
      <c r="I1567" s="14" t="s">
        <v>4879</v>
      </c>
      <c r="J1567" s="14" t="s">
        <v>4880</v>
      </c>
      <c r="K1567" s="478">
        <v>0.53</v>
      </c>
      <c r="L1567" s="220">
        <v>133.56</v>
      </c>
      <c r="M1567" s="568" t="s">
        <v>4881</v>
      </c>
      <c r="N1567" s="590" t="s">
        <v>4882</v>
      </c>
      <c r="O1567" s="569"/>
      <c r="P1567" s="14" t="s">
        <v>3048</v>
      </c>
      <c r="Q1567" s="88" t="s">
        <v>3049</v>
      </c>
      <c r="R1567" s="14">
        <v>0.5</v>
      </c>
      <c r="S1567" s="14">
        <f t="shared" si="1448"/>
        <v>0.66780000000000006</v>
      </c>
      <c r="T1567">
        <f t="shared" si="1602"/>
        <v>97.05</v>
      </c>
      <c r="U1567">
        <f t="shared" si="1603"/>
        <v>0.5151983513652757</v>
      </c>
      <c r="V1567" s="220">
        <f t="shared" si="1605"/>
        <v>0.67521944632005415</v>
      </c>
      <c r="W1567" s="14" t="s">
        <v>2712</v>
      </c>
      <c r="X1567">
        <f t="shared" si="1584"/>
        <v>0.3578663065496287</v>
      </c>
      <c r="Y1567" s="220" t="s">
        <v>1666</v>
      </c>
      <c r="Z1567" s="220">
        <f>SUM(X1567,X1591)</f>
        <v>0.75282428974290605</v>
      </c>
      <c r="AA1567" s="792">
        <f t="shared" si="1611"/>
        <v>0.75282428974290605</v>
      </c>
      <c r="AB1567" s="18" t="s">
        <v>2532</v>
      </c>
      <c r="AC1567" s="13" t="s">
        <v>878</v>
      </c>
      <c r="AD1567" s="13" t="s">
        <v>3050</v>
      </c>
      <c r="AE1567" s="12">
        <v>4.0401172748815169E-2</v>
      </c>
      <c r="AF1567" s="12">
        <v>0.11878669834123222</v>
      </c>
      <c r="AG1567" s="12">
        <v>7.919516026066351E-4</v>
      </c>
      <c r="AH1567" s="12">
        <v>7.4518613744075819E-3</v>
      </c>
    </row>
    <row r="1568" spans="1:34" ht="12.75">
      <c r="A1568" s="14" t="s">
        <v>4877</v>
      </c>
      <c r="B1568" s="24" t="s">
        <v>2768</v>
      </c>
      <c r="C1568" s="14" t="s">
        <v>2855</v>
      </c>
      <c r="D1568" s="14" t="s">
        <v>2911</v>
      </c>
      <c r="E1568" s="14" t="s">
        <v>4878</v>
      </c>
      <c r="F1568" s="13">
        <v>252</v>
      </c>
      <c r="G1568" s="14" t="s">
        <v>2999</v>
      </c>
      <c r="H1568" s="567" t="s">
        <v>2973</v>
      </c>
      <c r="I1568" s="14" t="s">
        <v>4879</v>
      </c>
      <c r="J1568" s="14" t="s">
        <v>4880</v>
      </c>
      <c r="K1568" s="478">
        <v>0.53</v>
      </c>
      <c r="L1568" s="220">
        <v>133.56</v>
      </c>
      <c r="M1568" s="568" t="s">
        <v>4881</v>
      </c>
      <c r="N1568" s="590" t="s">
        <v>4882</v>
      </c>
      <c r="O1568" s="569"/>
      <c r="P1568" s="14" t="s">
        <v>3483</v>
      </c>
      <c r="Q1568" s="88" t="s">
        <v>3442</v>
      </c>
      <c r="R1568" s="14">
        <v>0.5</v>
      </c>
      <c r="S1568" s="14">
        <f t="shared" si="1448"/>
        <v>0.66780000000000006</v>
      </c>
      <c r="T1568">
        <f t="shared" si="1602"/>
        <v>97.05</v>
      </c>
      <c r="U1568">
        <f t="shared" si="1603"/>
        <v>0.5151983513652757</v>
      </c>
      <c r="V1568" s="220">
        <f t="shared" si="1605"/>
        <v>0.67521944632005415</v>
      </c>
      <c r="W1568" s="14" t="s">
        <v>301</v>
      </c>
      <c r="X1568">
        <f t="shared" si="1584"/>
        <v>0.3578663065496287</v>
      </c>
      <c r="Y1568" s="220" t="s">
        <v>1666</v>
      </c>
      <c r="Z1568" s="220">
        <f>SUM(X1568,X1578)</f>
        <v>1.1477822729361833</v>
      </c>
      <c r="AA1568" s="792">
        <f t="shared" si="1611"/>
        <v>1.1477822729361833</v>
      </c>
      <c r="AB1568" s="18" t="s">
        <v>2808</v>
      </c>
      <c r="AC1568" s="13" t="s">
        <v>3485</v>
      </c>
      <c r="AD1568" s="13" t="s">
        <v>2944</v>
      </c>
      <c r="AE1568" s="12">
        <v>4.7062756261925113E-3</v>
      </c>
      <c r="AF1568" s="12">
        <v>3.8210906557435767E-2</v>
      </c>
      <c r="AG1568" s="12">
        <v>7.6086956521739124E-5</v>
      </c>
      <c r="AH1568" s="12">
        <v>5.9908272287602653E-4</v>
      </c>
    </row>
    <row r="1569" spans="1:34" ht="12.75">
      <c r="A1569" s="14" t="s">
        <v>4877</v>
      </c>
      <c r="B1569" s="24" t="s">
        <v>2768</v>
      </c>
      <c r="C1569" s="14" t="s">
        <v>2855</v>
      </c>
      <c r="D1569" s="14" t="s">
        <v>2911</v>
      </c>
      <c r="E1569" s="14" t="s">
        <v>4878</v>
      </c>
      <c r="F1569" s="13">
        <v>252</v>
      </c>
      <c r="G1569" s="14" t="s">
        <v>2999</v>
      </c>
      <c r="H1569" s="567" t="s">
        <v>2973</v>
      </c>
      <c r="I1569" s="135" t="s">
        <v>4879</v>
      </c>
      <c r="J1569" s="135" t="s">
        <v>4880</v>
      </c>
      <c r="K1569" s="475">
        <v>0.53</v>
      </c>
      <c r="L1569" s="476">
        <v>133.56</v>
      </c>
      <c r="M1569" s="570" t="s">
        <v>4881</v>
      </c>
      <c r="N1569" s="591" t="s">
        <v>4882</v>
      </c>
      <c r="O1569" s="571"/>
      <c r="P1569" s="135" t="s">
        <v>3426</v>
      </c>
      <c r="Q1569" s="135" t="s">
        <v>3427</v>
      </c>
      <c r="R1569" s="135">
        <v>0.05</v>
      </c>
      <c r="S1569" s="135">
        <f t="shared" si="1448"/>
        <v>6.6780000000000006E-2</v>
      </c>
      <c r="T1569" s="943">
        <f>SUM(R1556:R1569)</f>
        <v>97.05</v>
      </c>
      <c r="U1569">
        <f t="shared" si="1603"/>
        <v>5.1519835136527567E-2</v>
      </c>
      <c r="V1569" s="220">
        <f t="shared" si="1605"/>
        <v>6.7521944632005407E-2</v>
      </c>
      <c r="W1569" s="10" t="s">
        <v>465</v>
      </c>
      <c r="X1569">
        <f t="shared" si="1584"/>
        <v>3.5786630654962868E-2</v>
      </c>
      <c r="Y1569" s="237">
        <f>SUM(X1569,X1577,X1586,X1587)</f>
        <v>4.7752824289742906</v>
      </c>
      <c r="Z1569" s="237" t="s">
        <v>1666</v>
      </c>
      <c r="AA1569" s="827" t="str">
        <f t="shared" si="1611"/>
        <v>*</v>
      </c>
      <c r="AB1569" s="497" t="str">
        <f t="shared" ref="AB1569:AH1569" si="1612">AA1569</f>
        <v>*</v>
      </c>
      <c r="AC1569" s="497" t="str">
        <f t="shared" si="1612"/>
        <v>*</v>
      </c>
      <c r="AD1569" s="497" t="str">
        <f t="shared" si="1612"/>
        <v>*</v>
      </c>
      <c r="AE1569" s="483" t="str">
        <f t="shared" si="1612"/>
        <v>*</v>
      </c>
      <c r="AF1569" s="483" t="str">
        <f t="shared" si="1612"/>
        <v>*</v>
      </c>
      <c r="AG1569" s="483" t="str">
        <f t="shared" si="1612"/>
        <v>*</v>
      </c>
      <c r="AH1569" s="483" t="str">
        <f t="shared" si="1612"/>
        <v>*</v>
      </c>
    </row>
    <row r="1570" spans="1:34" ht="14.25">
      <c r="A1570" s="14" t="s">
        <v>4877</v>
      </c>
      <c r="B1570" s="24" t="s">
        <v>2768</v>
      </c>
      <c r="C1570" s="14" t="s">
        <v>2855</v>
      </c>
      <c r="D1570" s="14" t="s">
        <v>2911</v>
      </c>
      <c r="E1570" s="14" t="s">
        <v>4878</v>
      </c>
      <c r="F1570" s="13">
        <v>252</v>
      </c>
      <c r="G1570" s="14" t="s">
        <v>2999</v>
      </c>
      <c r="H1570" s="567" t="s">
        <v>2973</v>
      </c>
      <c r="I1570" s="14" t="s">
        <v>4888</v>
      </c>
      <c r="J1570" s="14" t="s">
        <v>4889</v>
      </c>
      <c r="K1570" s="478">
        <v>0.47</v>
      </c>
      <c r="L1570" s="220">
        <v>118.44</v>
      </c>
      <c r="M1570" s="568" t="s">
        <v>4890</v>
      </c>
      <c r="N1570" s="479" t="s">
        <v>2937</v>
      </c>
      <c r="O1570" s="569" t="s">
        <v>2976</v>
      </c>
      <c r="P1570" s="14" t="s">
        <v>3887</v>
      </c>
      <c r="Q1570" s="14" t="s">
        <v>4891</v>
      </c>
      <c r="R1570" s="14">
        <v>1</v>
      </c>
      <c r="S1570" s="14">
        <f t="shared" si="1448"/>
        <v>1.1843999999999999</v>
      </c>
      <c r="T1570">
        <f t="shared" ref="T1570:T1590" si="1613">SUM(R$1570:R$1591)</f>
        <v>89.749999999999986</v>
      </c>
      <c r="U1570">
        <f t="shared" si="1603"/>
        <v>1.114206128133705</v>
      </c>
      <c r="V1570" s="220">
        <f>U1570*100/SUM(U$1570,U$1572:U$1574,U$1576:U$1591)</f>
        <v>3.3613445378151265</v>
      </c>
      <c r="W1570" s="14" t="s">
        <v>4892</v>
      </c>
      <c r="X1570">
        <f t="shared" si="1584"/>
        <v>1.5798319327731094</v>
      </c>
      <c r="Y1570" s="220">
        <f>SUM(X1570,X1573)</f>
        <v>9.4789915966386573</v>
      </c>
      <c r="Z1570" s="220">
        <f>SUM(X1570,X1573)</f>
        <v>9.4789915966386573</v>
      </c>
      <c r="AA1570" s="792">
        <f t="shared" si="1611"/>
        <v>9.4789915966386573</v>
      </c>
      <c r="AB1570" s="18" t="s">
        <v>388</v>
      </c>
      <c r="AC1570" s="13" t="s">
        <v>3891</v>
      </c>
      <c r="AD1570" s="13" t="s">
        <v>3892</v>
      </c>
      <c r="AE1570" s="12">
        <v>0</v>
      </c>
      <c r="AF1570" s="12">
        <v>0</v>
      </c>
      <c r="AG1570" s="12">
        <v>0</v>
      </c>
      <c r="AH1570" s="12">
        <v>2.7715000000000001E-3</v>
      </c>
    </row>
    <row r="1571" spans="1:34" ht="14.25">
      <c r="A1571" s="14" t="s">
        <v>4877</v>
      </c>
      <c r="B1571" s="24" t="s">
        <v>2768</v>
      </c>
      <c r="C1571" s="14" t="s">
        <v>2855</v>
      </c>
      <c r="D1571" s="14" t="s">
        <v>2911</v>
      </c>
      <c r="E1571" s="14" t="s">
        <v>4878</v>
      </c>
      <c r="F1571" s="13">
        <v>252</v>
      </c>
      <c r="G1571" s="14" t="s">
        <v>2999</v>
      </c>
      <c r="H1571" s="567" t="s">
        <v>2973</v>
      </c>
      <c r="I1571" s="14" t="s">
        <v>4888</v>
      </c>
      <c r="J1571" s="14" t="s">
        <v>4889</v>
      </c>
      <c r="K1571" s="478">
        <v>0.47</v>
      </c>
      <c r="L1571" s="220">
        <v>118.44</v>
      </c>
      <c r="M1571" s="568" t="s">
        <v>4890</v>
      </c>
      <c r="N1571" s="479" t="s">
        <v>2937</v>
      </c>
      <c r="O1571" s="569" t="s">
        <v>2976</v>
      </c>
      <c r="P1571" s="14" t="s">
        <v>2938</v>
      </c>
      <c r="Q1571" s="14" t="s">
        <v>4893</v>
      </c>
      <c r="R1571" s="14">
        <v>10</v>
      </c>
      <c r="S1571" s="14">
        <f t="shared" si="1448"/>
        <v>11.844000000000001</v>
      </c>
      <c r="T1571">
        <f t="shared" si="1613"/>
        <v>89.749999999999986</v>
      </c>
      <c r="U1571">
        <f t="shared" si="1603"/>
        <v>11.14206128133705</v>
      </c>
      <c r="V1571" s="481">
        <f>U1571</f>
        <v>11.14206128133705</v>
      </c>
      <c r="W1571" s="482" t="s">
        <v>72</v>
      </c>
      <c r="X1571" s="482">
        <f t="shared" si="1584"/>
        <v>5.2367688022284131</v>
      </c>
      <c r="Y1571" s="205" t="s">
        <v>1666</v>
      </c>
      <c r="Z1571" s="205" t="s">
        <v>1666</v>
      </c>
      <c r="AA1571" s="828" t="s">
        <v>1666</v>
      </c>
      <c r="AB1571" s="497" t="str">
        <f t="shared" ref="AB1571:AH1571" si="1614">AA1571</f>
        <v>*</v>
      </c>
      <c r="AC1571" s="497" t="str">
        <f t="shared" si="1614"/>
        <v>*</v>
      </c>
      <c r="AD1571" s="497" t="str">
        <f t="shared" si="1614"/>
        <v>*</v>
      </c>
      <c r="AE1571" s="483" t="str">
        <f t="shared" si="1614"/>
        <v>*</v>
      </c>
      <c r="AF1571" s="483" t="str">
        <f t="shared" si="1614"/>
        <v>*</v>
      </c>
      <c r="AG1571" s="483" t="str">
        <f t="shared" si="1614"/>
        <v>*</v>
      </c>
      <c r="AH1571" s="483" t="str">
        <f t="shared" si="1614"/>
        <v>*</v>
      </c>
    </row>
    <row r="1572" spans="1:34" ht="14.25">
      <c r="A1572" s="14" t="s">
        <v>4877</v>
      </c>
      <c r="B1572" s="24" t="s">
        <v>2768</v>
      </c>
      <c r="C1572" s="14" t="s">
        <v>2855</v>
      </c>
      <c r="D1572" s="14" t="s">
        <v>2911</v>
      </c>
      <c r="E1572" s="14" t="s">
        <v>4878</v>
      </c>
      <c r="F1572" s="13">
        <v>252</v>
      </c>
      <c r="G1572" s="14" t="s">
        <v>2999</v>
      </c>
      <c r="H1572" s="567" t="s">
        <v>2973</v>
      </c>
      <c r="I1572" s="14" t="s">
        <v>4888</v>
      </c>
      <c r="J1572" s="14" t="s">
        <v>4889</v>
      </c>
      <c r="K1572" s="478">
        <v>0.47</v>
      </c>
      <c r="L1572" s="220">
        <v>118.44</v>
      </c>
      <c r="M1572" s="568" t="s">
        <v>4890</v>
      </c>
      <c r="N1572" s="479" t="s">
        <v>2937</v>
      </c>
      <c r="O1572" s="569" t="s">
        <v>2976</v>
      </c>
      <c r="P1572" s="14" t="s">
        <v>3521</v>
      </c>
      <c r="Q1572" s="88" t="s">
        <v>4330</v>
      </c>
      <c r="R1572" s="14">
        <v>10</v>
      </c>
      <c r="S1572" s="14">
        <f t="shared" si="1448"/>
        <v>11.844000000000001</v>
      </c>
      <c r="T1572">
        <f t="shared" si="1613"/>
        <v>89.749999999999986</v>
      </c>
      <c r="U1572">
        <f t="shared" si="1603"/>
        <v>11.14206128133705</v>
      </c>
      <c r="V1572" s="220">
        <f t="shared" ref="V1572:V1574" si="1615">U1572*100/SUM(U$1570,U$1572:U$1574,U$1576:U$1591)</f>
        <v>33.613445378151269</v>
      </c>
      <c r="W1572" s="14" t="s">
        <v>4894</v>
      </c>
      <c r="X1572">
        <f t="shared" si="1584"/>
        <v>15.798319327731095</v>
      </c>
      <c r="Y1572" s="220">
        <f t="shared" ref="Y1572:AA1572" si="1616">X1572</f>
        <v>15.798319327731095</v>
      </c>
      <c r="Z1572" s="220">
        <f t="shared" si="1616"/>
        <v>15.798319327731095</v>
      </c>
      <c r="AA1572" s="792">
        <f t="shared" si="1616"/>
        <v>15.798319327731095</v>
      </c>
      <c r="AB1572" s="18" t="s">
        <v>2596</v>
      </c>
      <c r="AC1572" s="13" t="s">
        <v>3524</v>
      </c>
      <c r="AD1572" s="13" t="s">
        <v>3525</v>
      </c>
      <c r="AE1572" s="12">
        <v>5.5636766460262456E-4</v>
      </c>
      <c r="AF1572" s="12">
        <v>1.354456626711356E-2</v>
      </c>
      <c r="AG1572" s="12">
        <v>7.0283975659229207E-5</v>
      </c>
      <c r="AH1572" s="12">
        <v>7.0431572008113595E-4</v>
      </c>
    </row>
    <row r="1573" spans="1:34" ht="14.25">
      <c r="A1573" s="14" t="s">
        <v>4877</v>
      </c>
      <c r="B1573" s="24" t="s">
        <v>2768</v>
      </c>
      <c r="C1573" s="14" t="s">
        <v>2855</v>
      </c>
      <c r="D1573" s="14" t="s">
        <v>2911</v>
      </c>
      <c r="E1573" s="14" t="s">
        <v>4878</v>
      </c>
      <c r="F1573" s="13">
        <v>252</v>
      </c>
      <c r="G1573" s="14" t="s">
        <v>2999</v>
      </c>
      <c r="H1573" s="567" t="s">
        <v>2973</v>
      </c>
      <c r="I1573" s="14" t="s">
        <v>4888</v>
      </c>
      <c r="J1573" s="14" t="s">
        <v>4889</v>
      </c>
      <c r="K1573" s="478">
        <v>0.47</v>
      </c>
      <c r="L1573" s="220">
        <v>118.44</v>
      </c>
      <c r="M1573" s="568" t="s">
        <v>4890</v>
      </c>
      <c r="N1573" s="479" t="s">
        <v>2937</v>
      </c>
      <c r="O1573" s="569" t="s">
        <v>2976</v>
      </c>
      <c r="P1573" s="14" t="s">
        <v>3887</v>
      </c>
      <c r="Q1573" s="10" t="s">
        <v>3890</v>
      </c>
      <c r="R1573" s="14">
        <v>5</v>
      </c>
      <c r="S1573" s="14">
        <f t="shared" si="1448"/>
        <v>5.9220000000000006</v>
      </c>
      <c r="T1573">
        <f t="shared" si="1613"/>
        <v>89.749999999999986</v>
      </c>
      <c r="U1573">
        <f t="shared" si="1603"/>
        <v>5.5710306406685248</v>
      </c>
      <c r="V1573" s="220">
        <f t="shared" si="1615"/>
        <v>16.806722689075634</v>
      </c>
      <c r="W1573" s="14" t="s">
        <v>4892</v>
      </c>
      <c r="X1573">
        <f t="shared" si="1584"/>
        <v>7.8991596638655475</v>
      </c>
      <c r="Y1573" s="220" t="s">
        <v>1666</v>
      </c>
      <c r="Z1573" s="220" t="s">
        <v>1666</v>
      </c>
      <c r="AA1573" s="792" t="s">
        <v>1666</v>
      </c>
      <c r="AB1573" s="497" t="str">
        <f t="shared" ref="AB1573:AH1573" si="1617">AA1573</f>
        <v>*</v>
      </c>
      <c r="AC1573" s="497" t="str">
        <f t="shared" si="1617"/>
        <v>*</v>
      </c>
      <c r="AD1573" s="497" t="str">
        <f t="shared" si="1617"/>
        <v>*</v>
      </c>
      <c r="AE1573" s="483" t="str">
        <f t="shared" si="1617"/>
        <v>*</v>
      </c>
      <c r="AF1573" s="483" t="str">
        <f t="shared" si="1617"/>
        <v>*</v>
      </c>
      <c r="AG1573" s="483" t="str">
        <f t="shared" si="1617"/>
        <v>*</v>
      </c>
      <c r="AH1573" s="483" t="str">
        <f t="shared" si="1617"/>
        <v>*</v>
      </c>
    </row>
    <row r="1574" spans="1:34" ht="14.25">
      <c r="A1574" s="14" t="s">
        <v>4877</v>
      </c>
      <c r="B1574" s="24" t="s">
        <v>2768</v>
      </c>
      <c r="C1574" s="14" t="s">
        <v>2855</v>
      </c>
      <c r="D1574" s="14" t="s">
        <v>2911</v>
      </c>
      <c r="E1574" s="14" t="s">
        <v>4878</v>
      </c>
      <c r="F1574" s="13">
        <v>252</v>
      </c>
      <c r="G1574" s="14" t="s">
        <v>2999</v>
      </c>
      <c r="H1574" s="567" t="s">
        <v>2973</v>
      </c>
      <c r="I1574" s="14" t="s">
        <v>4888</v>
      </c>
      <c r="J1574" s="14" t="s">
        <v>4889</v>
      </c>
      <c r="K1574" s="478">
        <v>0.47</v>
      </c>
      <c r="L1574" s="220">
        <v>118.44</v>
      </c>
      <c r="M1574" s="568" t="s">
        <v>4890</v>
      </c>
      <c r="N1574" s="479" t="s">
        <v>2937</v>
      </c>
      <c r="O1574" s="569" t="s">
        <v>2976</v>
      </c>
      <c r="P1574" s="14" t="s">
        <v>3021</v>
      </c>
      <c r="Q1574" s="486" t="s">
        <v>3022</v>
      </c>
      <c r="R1574" s="14">
        <v>2.8</v>
      </c>
      <c r="S1574" s="14">
        <f t="shared" si="1448"/>
        <v>3.3163199999999997</v>
      </c>
      <c r="T1574">
        <f t="shared" si="1613"/>
        <v>89.749999999999986</v>
      </c>
      <c r="U1574">
        <f t="shared" si="1603"/>
        <v>3.1197771587743737</v>
      </c>
      <c r="V1574" s="220">
        <f t="shared" si="1615"/>
        <v>9.411764705882355</v>
      </c>
      <c r="W1574" s="14" t="s">
        <v>346</v>
      </c>
      <c r="X1574">
        <f t="shared" si="1584"/>
        <v>4.423529411764707</v>
      </c>
      <c r="Y1574" s="220" t="s">
        <v>1666</v>
      </c>
      <c r="Z1574" s="220" t="s">
        <v>1666</v>
      </c>
      <c r="AA1574" s="792" t="s">
        <v>1666</v>
      </c>
      <c r="AB1574" s="497" t="str">
        <f t="shared" ref="AB1574:AH1574" si="1618">AA1574</f>
        <v>*</v>
      </c>
      <c r="AC1574" s="497" t="str">
        <f t="shared" si="1618"/>
        <v>*</v>
      </c>
      <c r="AD1574" s="497" t="str">
        <f t="shared" si="1618"/>
        <v>*</v>
      </c>
      <c r="AE1574" s="483" t="str">
        <f t="shared" si="1618"/>
        <v>*</v>
      </c>
      <c r="AF1574" s="483" t="str">
        <f t="shared" si="1618"/>
        <v>*</v>
      </c>
      <c r="AG1574" s="483" t="str">
        <f t="shared" si="1618"/>
        <v>*</v>
      </c>
      <c r="AH1574" s="483" t="str">
        <f t="shared" si="1618"/>
        <v>*</v>
      </c>
    </row>
    <row r="1575" spans="1:34" ht="14.25">
      <c r="A1575" s="14" t="s">
        <v>4877</v>
      </c>
      <c r="B1575" s="24" t="s">
        <v>2768</v>
      </c>
      <c r="C1575" s="14" t="s">
        <v>2855</v>
      </c>
      <c r="D1575" s="14" t="s">
        <v>2911</v>
      </c>
      <c r="E1575" s="14" t="s">
        <v>4878</v>
      </c>
      <c r="F1575" s="13">
        <v>252</v>
      </c>
      <c r="G1575" s="14" t="s">
        <v>2999</v>
      </c>
      <c r="H1575" s="567" t="s">
        <v>2973</v>
      </c>
      <c r="I1575" s="14" t="s">
        <v>4888</v>
      </c>
      <c r="J1575" s="14" t="s">
        <v>4889</v>
      </c>
      <c r="K1575" s="478">
        <v>0.47</v>
      </c>
      <c r="L1575" s="220">
        <v>118.44</v>
      </c>
      <c r="M1575" s="568" t="s">
        <v>4890</v>
      </c>
      <c r="N1575" s="479" t="s">
        <v>2937</v>
      </c>
      <c r="O1575" s="569" t="s">
        <v>2976</v>
      </c>
      <c r="P1575" s="14" t="s">
        <v>2938</v>
      </c>
      <c r="Q1575" s="14" t="s">
        <v>2939</v>
      </c>
      <c r="R1575" s="14">
        <v>50</v>
      </c>
      <c r="S1575" s="14">
        <f t="shared" si="1448"/>
        <v>59.22</v>
      </c>
      <c r="T1575">
        <f t="shared" si="1613"/>
        <v>89.749999999999986</v>
      </c>
      <c r="U1575">
        <f t="shared" si="1603"/>
        <v>55.710306406685248</v>
      </c>
      <c r="V1575" s="481">
        <f>U1575</f>
        <v>55.710306406685248</v>
      </c>
      <c r="W1575" s="482" t="s">
        <v>72</v>
      </c>
      <c r="X1575" s="482">
        <f t="shared" si="1584"/>
        <v>26.183844011142064</v>
      </c>
      <c r="Y1575" s="205" t="s">
        <v>1666</v>
      </c>
      <c r="Z1575" s="205" t="s">
        <v>1666</v>
      </c>
      <c r="AA1575" s="828" t="s">
        <v>1666</v>
      </c>
      <c r="AB1575" s="497" t="str">
        <f t="shared" ref="AB1575:AH1575" si="1619">AA1575</f>
        <v>*</v>
      </c>
      <c r="AC1575" s="497" t="str">
        <f t="shared" si="1619"/>
        <v>*</v>
      </c>
      <c r="AD1575" s="497" t="str">
        <f t="shared" si="1619"/>
        <v>*</v>
      </c>
      <c r="AE1575" s="483" t="str">
        <f t="shared" si="1619"/>
        <v>*</v>
      </c>
      <c r="AF1575" s="483" t="str">
        <f t="shared" si="1619"/>
        <v>*</v>
      </c>
      <c r="AG1575" s="483" t="str">
        <f t="shared" si="1619"/>
        <v>*</v>
      </c>
      <c r="AH1575" s="483" t="str">
        <f t="shared" si="1619"/>
        <v>*</v>
      </c>
    </row>
    <row r="1576" spans="1:34" ht="14.25">
      <c r="A1576" s="14" t="s">
        <v>4877</v>
      </c>
      <c r="B1576" s="24" t="s">
        <v>2768</v>
      </c>
      <c r="C1576" s="14" t="s">
        <v>2855</v>
      </c>
      <c r="D1576" s="14" t="s">
        <v>2911</v>
      </c>
      <c r="E1576" s="14" t="s">
        <v>4878</v>
      </c>
      <c r="F1576" s="13">
        <v>252</v>
      </c>
      <c r="G1576" s="14" t="s">
        <v>2999</v>
      </c>
      <c r="H1576" s="567" t="s">
        <v>2973</v>
      </c>
      <c r="I1576" s="14" t="s">
        <v>4888</v>
      </c>
      <c r="J1576" s="14" t="s">
        <v>4889</v>
      </c>
      <c r="K1576" s="478">
        <v>0.47</v>
      </c>
      <c r="L1576" s="220">
        <v>118.44</v>
      </c>
      <c r="M1576" s="568" t="s">
        <v>4890</v>
      </c>
      <c r="N1576" s="479" t="s">
        <v>2937</v>
      </c>
      <c r="O1576" s="569" t="s">
        <v>2976</v>
      </c>
      <c r="P1576" s="655" t="s">
        <v>2977</v>
      </c>
      <c r="Q1576" s="486" t="s">
        <v>4895</v>
      </c>
      <c r="R1576" s="14">
        <v>4.5</v>
      </c>
      <c r="S1576" s="14">
        <f t="shared" si="1448"/>
        <v>5.3297999999999996</v>
      </c>
      <c r="T1576">
        <f t="shared" si="1613"/>
        <v>89.749999999999986</v>
      </c>
      <c r="U1576">
        <f t="shared" si="1603"/>
        <v>5.013927576601672</v>
      </c>
      <c r="V1576" s="220">
        <f t="shared" ref="V1576:V1591" si="1620">U1576*100/SUM(U$1570,U$1572:U$1574,U$1576:U$1591)</f>
        <v>15.126050420168069</v>
      </c>
      <c r="W1576" s="14" t="s">
        <v>227</v>
      </c>
      <c r="X1576">
        <f t="shared" si="1584"/>
        <v>7.1092436974789921</v>
      </c>
      <c r="Y1576" s="220" t="s">
        <v>1666</v>
      </c>
      <c r="Z1576" s="220" t="s">
        <v>1666</v>
      </c>
      <c r="AA1576" s="792" t="s">
        <v>1666</v>
      </c>
      <c r="AB1576" s="497" t="str">
        <f t="shared" ref="AB1576:AH1576" si="1621">AA1576</f>
        <v>*</v>
      </c>
      <c r="AC1576" s="497" t="str">
        <f t="shared" si="1621"/>
        <v>*</v>
      </c>
      <c r="AD1576" s="497" t="str">
        <f t="shared" si="1621"/>
        <v>*</v>
      </c>
      <c r="AE1576" s="483" t="str">
        <f t="shared" si="1621"/>
        <v>*</v>
      </c>
      <c r="AF1576" s="483" t="str">
        <f t="shared" si="1621"/>
        <v>*</v>
      </c>
      <c r="AG1576" s="483" t="str">
        <f t="shared" si="1621"/>
        <v>*</v>
      </c>
      <c r="AH1576" s="483" t="str">
        <f t="shared" si="1621"/>
        <v>*</v>
      </c>
    </row>
    <row r="1577" spans="1:34" ht="14.25">
      <c r="A1577" s="14" t="s">
        <v>4877</v>
      </c>
      <c r="B1577" s="24" t="s">
        <v>2768</v>
      </c>
      <c r="C1577" s="14" t="s">
        <v>2855</v>
      </c>
      <c r="D1577" s="14" t="s">
        <v>2911</v>
      </c>
      <c r="E1577" s="14" t="s">
        <v>4878</v>
      </c>
      <c r="F1577" s="13">
        <v>252</v>
      </c>
      <c r="G1577" s="14" t="s">
        <v>2999</v>
      </c>
      <c r="H1577" s="567" t="s">
        <v>2973</v>
      </c>
      <c r="I1577" s="14" t="s">
        <v>4888</v>
      </c>
      <c r="J1577" s="14" t="s">
        <v>4889</v>
      </c>
      <c r="K1577" s="478">
        <v>0.47</v>
      </c>
      <c r="L1577" s="220">
        <v>118.44</v>
      </c>
      <c r="M1577" s="568" t="s">
        <v>4890</v>
      </c>
      <c r="N1577" s="479" t="s">
        <v>2937</v>
      </c>
      <c r="O1577" s="569" t="s">
        <v>2976</v>
      </c>
      <c r="P1577" s="14" t="s">
        <v>2584</v>
      </c>
      <c r="Q1577" s="486" t="s">
        <v>3423</v>
      </c>
      <c r="R1577" s="14">
        <v>2</v>
      </c>
      <c r="S1577" s="14">
        <f t="shared" si="1448"/>
        <v>2.3687999999999998</v>
      </c>
      <c r="T1577">
        <f t="shared" si="1613"/>
        <v>89.749999999999986</v>
      </c>
      <c r="U1577">
        <f t="shared" si="1603"/>
        <v>2.22841225626741</v>
      </c>
      <c r="V1577" s="220">
        <f t="shared" si="1620"/>
        <v>6.7226890756302531</v>
      </c>
      <c r="W1577" s="14" t="s">
        <v>2584</v>
      </c>
      <c r="X1577">
        <f t="shared" si="1584"/>
        <v>3.1596638655462188</v>
      </c>
      <c r="Y1577" s="220" t="s">
        <v>1666</v>
      </c>
      <c r="Z1577" s="220">
        <f>SUM(X1577,X1569)</f>
        <v>3.1954504962011816</v>
      </c>
      <c r="AA1577" s="792">
        <f>Z1577</f>
        <v>3.1954504962011816</v>
      </c>
      <c r="AB1577" s="18" t="s">
        <v>2584</v>
      </c>
      <c r="AC1577" s="13" t="s">
        <v>3424</v>
      </c>
      <c r="AD1577" s="13" t="s">
        <v>3425</v>
      </c>
      <c r="AE1577" s="12">
        <v>4.7754773653722405E-4</v>
      </c>
      <c r="AF1577" s="12">
        <v>9.9048845026103102E-3</v>
      </c>
      <c r="AG1577" s="12">
        <v>1.1598405219282348E-5</v>
      </c>
      <c r="AH1577" s="12">
        <v>9.908404494382022E-5</v>
      </c>
    </row>
    <row r="1578" spans="1:34" ht="14.25">
      <c r="A1578" s="14" t="s">
        <v>4877</v>
      </c>
      <c r="B1578" s="24" t="s">
        <v>2768</v>
      </c>
      <c r="C1578" s="14" t="s">
        <v>2855</v>
      </c>
      <c r="D1578" s="14" t="s">
        <v>2911</v>
      </c>
      <c r="E1578" s="14" t="s">
        <v>4878</v>
      </c>
      <c r="F1578" s="13">
        <v>252</v>
      </c>
      <c r="G1578" s="14" t="s">
        <v>2999</v>
      </c>
      <c r="H1578" s="567" t="s">
        <v>2973</v>
      </c>
      <c r="I1578" s="14" t="s">
        <v>4888</v>
      </c>
      <c r="J1578" s="14" t="s">
        <v>4889</v>
      </c>
      <c r="K1578" s="478">
        <v>0.47</v>
      </c>
      <c r="L1578" s="220">
        <v>118.44</v>
      </c>
      <c r="M1578" s="568" t="s">
        <v>4890</v>
      </c>
      <c r="N1578" s="479" t="s">
        <v>2937</v>
      </c>
      <c r="O1578" s="569" t="s">
        <v>2976</v>
      </c>
      <c r="P1578" s="14" t="s">
        <v>3483</v>
      </c>
      <c r="Q1578" s="14" t="s">
        <v>4896</v>
      </c>
      <c r="R1578" s="14">
        <v>0.5</v>
      </c>
      <c r="S1578" s="14">
        <f t="shared" si="1448"/>
        <v>0.59219999999999995</v>
      </c>
      <c r="T1578">
        <f t="shared" si="1613"/>
        <v>89.749999999999986</v>
      </c>
      <c r="U1578">
        <f t="shared" si="1603"/>
        <v>0.5571030640668525</v>
      </c>
      <c r="V1578" s="220">
        <f t="shared" si="1620"/>
        <v>1.6806722689075633</v>
      </c>
      <c r="W1578" s="14" t="s">
        <v>301</v>
      </c>
      <c r="X1578">
        <f t="shared" si="1584"/>
        <v>0.7899159663865547</v>
      </c>
      <c r="Y1578" s="220" t="s">
        <v>1666</v>
      </c>
      <c r="Z1578" s="220" t="s">
        <v>1666</v>
      </c>
      <c r="AA1578" s="792" t="s">
        <v>1666</v>
      </c>
      <c r="AB1578" s="497" t="str">
        <f t="shared" ref="AB1578:AH1578" si="1622">AA1578</f>
        <v>*</v>
      </c>
      <c r="AC1578" s="497" t="str">
        <f t="shared" si="1622"/>
        <v>*</v>
      </c>
      <c r="AD1578" s="497" t="str">
        <f t="shared" si="1622"/>
        <v>*</v>
      </c>
      <c r="AE1578" s="483" t="str">
        <f t="shared" si="1622"/>
        <v>*</v>
      </c>
      <c r="AF1578" s="483" t="str">
        <f t="shared" si="1622"/>
        <v>*</v>
      </c>
      <c r="AG1578" s="483" t="str">
        <f t="shared" si="1622"/>
        <v>*</v>
      </c>
      <c r="AH1578" s="483" t="str">
        <f t="shared" si="1622"/>
        <v>*</v>
      </c>
    </row>
    <row r="1579" spans="1:34" ht="14.25">
      <c r="A1579" s="14" t="s">
        <v>4877</v>
      </c>
      <c r="B1579" s="24" t="s">
        <v>2768</v>
      </c>
      <c r="C1579" s="14" t="s">
        <v>2855</v>
      </c>
      <c r="D1579" s="14" t="s">
        <v>2911</v>
      </c>
      <c r="E1579" s="14" t="s">
        <v>4878</v>
      </c>
      <c r="F1579" s="13">
        <v>252</v>
      </c>
      <c r="G1579" s="14" t="s">
        <v>2999</v>
      </c>
      <c r="H1579" s="567" t="s">
        <v>2973</v>
      </c>
      <c r="I1579" s="14" t="s">
        <v>4888</v>
      </c>
      <c r="J1579" s="14" t="s">
        <v>4889</v>
      </c>
      <c r="K1579" s="478">
        <v>0.47</v>
      </c>
      <c r="L1579" s="220">
        <v>118.44</v>
      </c>
      <c r="M1579" s="568" t="s">
        <v>4890</v>
      </c>
      <c r="N1579" s="479" t="s">
        <v>2937</v>
      </c>
      <c r="O1579" s="569" t="s">
        <v>2976</v>
      </c>
      <c r="P1579" s="14" t="s">
        <v>2945</v>
      </c>
      <c r="Q1579" s="14" t="s">
        <v>2946</v>
      </c>
      <c r="R1579" s="14">
        <v>0.5</v>
      </c>
      <c r="S1579" s="14">
        <f t="shared" si="1448"/>
        <v>0.59219999999999995</v>
      </c>
      <c r="T1579">
        <f t="shared" si="1613"/>
        <v>89.749999999999986</v>
      </c>
      <c r="U1579">
        <f t="shared" si="1603"/>
        <v>0.5571030640668525</v>
      </c>
      <c r="V1579" s="220">
        <f t="shared" si="1620"/>
        <v>1.6806722689075633</v>
      </c>
      <c r="W1579" s="14" t="s">
        <v>433</v>
      </c>
      <c r="X1579">
        <f t="shared" si="1584"/>
        <v>0.7899159663865547</v>
      </c>
      <c r="Y1579" s="499">
        <f t="shared" ref="Y1579:AA1579" si="1623">X1579</f>
        <v>0.7899159663865547</v>
      </c>
      <c r="Z1579" s="220">
        <f t="shared" si="1623"/>
        <v>0.7899159663865547</v>
      </c>
      <c r="AA1579" s="792">
        <f t="shared" si="1623"/>
        <v>0.7899159663865547</v>
      </c>
      <c r="AB1579" s="18" t="s">
        <v>433</v>
      </c>
      <c r="AC1579" s="13" t="s">
        <v>433</v>
      </c>
      <c r="AD1579" s="13" t="s">
        <v>2947</v>
      </c>
      <c r="AE1579" s="12">
        <v>3.0104466724907065E-4</v>
      </c>
      <c r="AF1579" s="12">
        <v>1.2500000000000001E-2</v>
      </c>
      <c r="AG1579" s="12">
        <v>5.1818181818181835E-4</v>
      </c>
      <c r="AH1579" s="12">
        <v>4.0084080366977777E-4</v>
      </c>
    </row>
    <row r="1580" spans="1:34" ht="14.25">
      <c r="A1580" s="14" t="s">
        <v>4877</v>
      </c>
      <c r="B1580" s="24" t="s">
        <v>2768</v>
      </c>
      <c r="C1580" s="14" t="s">
        <v>2855</v>
      </c>
      <c r="D1580" s="14" t="s">
        <v>2911</v>
      </c>
      <c r="E1580" s="14" t="s">
        <v>4878</v>
      </c>
      <c r="F1580" s="13">
        <v>252</v>
      </c>
      <c r="G1580" s="14" t="s">
        <v>2999</v>
      </c>
      <c r="H1580" s="567" t="s">
        <v>2973</v>
      </c>
      <c r="I1580" s="14" t="s">
        <v>4888</v>
      </c>
      <c r="J1580" s="14" t="s">
        <v>4889</v>
      </c>
      <c r="K1580" s="478">
        <v>0.47</v>
      </c>
      <c r="L1580" s="220">
        <v>118.44</v>
      </c>
      <c r="M1580" s="568" t="s">
        <v>4890</v>
      </c>
      <c r="N1580" s="479" t="s">
        <v>2937</v>
      </c>
      <c r="O1580" s="569" t="s">
        <v>2976</v>
      </c>
      <c r="P1580" s="14" t="s">
        <v>83</v>
      </c>
      <c r="Q1580" s="527" t="s">
        <v>3430</v>
      </c>
      <c r="R1580" s="14">
        <v>0.5</v>
      </c>
      <c r="S1580" s="14">
        <f t="shared" si="1448"/>
        <v>0.59219999999999995</v>
      </c>
      <c r="T1580">
        <f t="shared" si="1613"/>
        <v>89.749999999999986</v>
      </c>
      <c r="U1580">
        <f t="shared" si="1603"/>
        <v>0.5571030640668525</v>
      </c>
      <c r="V1580" s="220">
        <f t="shared" si="1620"/>
        <v>1.6806722689075633</v>
      </c>
      <c r="W1580" s="14" t="s">
        <v>83</v>
      </c>
      <c r="X1580">
        <f t="shared" si="1584"/>
        <v>0.7899159663865547</v>
      </c>
      <c r="Y1580" s="220" t="s">
        <v>1624</v>
      </c>
      <c r="Z1580" s="220" t="s">
        <v>1666</v>
      </c>
      <c r="AA1580" s="792" t="s">
        <v>1666</v>
      </c>
      <c r="AB1580" s="497" t="str">
        <f t="shared" ref="AB1580:AH1580" si="1624">AA1580</f>
        <v>*</v>
      </c>
      <c r="AC1580" s="497" t="str">
        <f t="shared" si="1624"/>
        <v>*</v>
      </c>
      <c r="AD1580" s="497" t="str">
        <f t="shared" si="1624"/>
        <v>*</v>
      </c>
      <c r="AE1580" s="483" t="str">
        <f t="shared" si="1624"/>
        <v>*</v>
      </c>
      <c r="AF1580" s="483" t="str">
        <f t="shared" si="1624"/>
        <v>*</v>
      </c>
      <c r="AG1580" s="483" t="str">
        <f t="shared" si="1624"/>
        <v>*</v>
      </c>
      <c r="AH1580" s="483" t="str">
        <f t="shared" si="1624"/>
        <v>*</v>
      </c>
    </row>
    <row r="1581" spans="1:34" ht="14.25">
      <c r="A1581" s="14" t="s">
        <v>4877</v>
      </c>
      <c r="B1581" s="24" t="s">
        <v>2768</v>
      </c>
      <c r="C1581" s="14" t="s">
        <v>2855</v>
      </c>
      <c r="D1581" s="14" t="s">
        <v>2911</v>
      </c>
      <c r="E1581" s="14" t="s">
        <v>4878</v>
      </c>
      <c r="F1581" s="13">
        <v>252</v>
      </c>
      <c r="G1581" s="14" t="s">
        <v>2999</v>
      </c>
      <c r="H1581" s="567" t="s">
        <v>2973</v>
      </c>
      <c r="I1581" s="14" t="s">
        <v>4888</v>
      </c>
      <c r="J1581" s="14" t="s">
        <v>4889</v>
      </c>
      <c r="K1581" s="478">
        <v>0.47</v>
      </c>
      <c r="L1581" s="220">
        <v>118.44</v>
      </c>
      <c r="M1581" s="568" t="s">
        <v>4890</v>
      </c>
      <c r="N1581" s="479" t="s">
        <v>2937</v>
      </c>
      <c r="O1581" s="569" t="s">
        <v>2976</v>
      </c>
      <c r="P1581" s="14" t="s">
        <v>2776</v>
      </c>
      <c r="Q1581" s="14" t="s">
        <v>3040</v>
      </c>
      <c r="R1581" s="14">
        <v>0.5</v>
      </c>
      <c r="S1581" s="14">
        <f t="shared" si="1448"/>
        <v>0.59219999999999995</v>
      </c>
      <c r="T1581">
        <f t="shared" si="1613"/>
        <v>89.749999999999986</v>
      </c>
      <c r="U1581">
        <f t="shared" si="1603"/>
        <v>0.5571030640668525</v>
      </c>
      <c r="V1581" s="220">
        <f t="shared" si="1620"/>
        <v>1.6806722689075633</v>
      </c>
      <c r="W1581" s="14" t="s">
        <v>2776</v>
      </c>
      <c r="X1581">
        <f t="shared" si="1584"/>
        <v>0.7899159663865547</v>
      </c>
      <c r="Y1581" s="220" t="s">
        <v>1666</v>
      </c>
      <c r="Z1581" s="220" t="s">
        <v>1666</v>
      </c>
      <c r="AA1581" s="792" t="s">
        <v>1666</v>
      </c>
      <c r="AB1581" s="497" t="str">
        <f t="shared" ref="AB1581:AH1581" si="1625">AA1581</f>
        <v>*</v>
      </c>
      <c r="AC1581" s="497" t="str">
        <f t="shared" si="1625"/>
        <v>*</v>
      </c>
      <c r="AD1581" s="497" t="str">
        <f t="shared" si="1625"/>
        <v>*</v>
      </c>
      <c r="AE1581" s="483" t="str">
        <f t="shared" si="1625"/>
        <v>*</v>
      </c>
      <c r="AF1581" s="483" t="str">
        <f t="shared" si="1625"/>
        <v>*</v>
      </c>
      <c r="AG1581" s="483" t="str">
        <f t="shared" si="1625"/>
        <v>*</v>
      </c>
      <c r="AH1581" s="483" t="str">
        <f t="shared" si="1625"/>
        <v>*</v>
      </c>
    </row>
    <row r="1582" spans="1:34" ht="14.25">
      <c r="A1582" s="14" t="s">
        <v>4877</v>
      </c>
      <c r="B1582" s="24" t="s">
        <v>2768</v>
      </c>
      <c r="C1582" s="14" t="s">
        <v>2855</v>
      </c>
      <c r="D1582" s="14" t="s">
        <v>2911</v>
      </c>
      <c r="E1582" s="14" t="s">
        <v>4878</v>
      </c>
      <c r="F1582" s="13">
        <v>252</v>
      </c>
      <c r="G1582" s="14" t="s">
        <v>2999</v>
      </c>
      <c r="H1582" s="567" t="s">
        <v>2973</v>
      </c>
      <c r="I1582" s="14" t="s">
        <v>4888</v>
      </c>
      <c r="J1582" s="14" t="s">
        <v>4889</v>
      </c>
      <c r="K1582" s="478">
        <v>0.47</v>
      </c>
      <c r="L1582" s="220">
        <v>118.44</v>
      </c>
      <c r="M1582" s="568" t="s">
        <v>4890</v>
      </c>
      <c r="N1582" s="479" t="s">
        <v>2937</v>
      </c>
      <c r="O1582" s="569" t="s">
        <v>2976</v>
      </c>
      <c r="P1582" s="14" t="s">
        <v>3013</v>
      </c>
      <c r="Q1582" s="88" t="s">
        <v>4704</v>
      </c>
      <c r="R1582" s="14">
        <v>0.5</v>
      </c>
      <c r="S1582" s="14">
        <f t="shared" si="1448"/>
        <v>0.59219999999999995</v>
      </c>
      <c r="T1582">
        <f t="shared" si="1613"/>
        <v>89.749999999999986</v>
      </c>
      <c r="U1582">
        <f t="shared" si="1603"/>
        <v>0.5571030640668525</v>
      </c>
      <c r="V1582" s="220">
        <f t="shared" si="1620"/>
        <v>1.6806722689075633</v>
      </c>
      <c r="W1582" s="14" t="s">
        <v>88</v>
      </c>
      <c r="X1582">
        <f t="shared" si="1584"/>
        <v>0.7899159663865547</v>
      </c>
      <c r="Y1582" s="220" t="s">
        <v>1666</v>
      </c>
      <c r="Z1582" s="220">
        <f>X1582</f>
        <v>0.7899159663865547</v>
      </c>
      <c r="AA1582" s="792">
        <f t="shared" ref="AA1582:AA1584" si="1626">Z1582</f>
        <v>0.7899159663865547</v>
      </c>
      <c r="AB1582" s="18" t="s">
        <v>2528</v>
      </c>
      <c r="AC1582" s="13" t="s">
        <v>3015</v>
      </c>
      <c r="AD1582" s="13" t="s">
        <v>3016</v>
      </c>
      <c r="AE1582" s="12">
        <v>5.5280749052132698E-2</v>
      </c>
      <c r="AF1582" s="12">
        <v>0.16253532298578199</v>
      </c>
      <c r="AG1582" s="12">
        <v>1.0836239353080568E-3</v>
      </c>
      <c r="AH1582" s="12">
        <v>1.0196349526066351E-2</v>
      </c>
    </row>
    <row r="1583" spans="1:34" ht="14.25">
      <c r="A1583" s="14" t="s">
        <v>4877</v>
      </c>
      <c r="B1583" s="24" t="s">
        <v>2768</v>
      </c>
      <c r="C1583" s="14" t="s">
        <v>2855</v>
      </c>
      <c r="D1583" s="14" t="s">
        <v>2911</v>
      </c>
      <c r="E1583" s="14" t="s">
        <v>4878</v>
      </c>
      <c r="F1583" s="13">
        <v>252</v>
      </c>
      <c r="G1583" s="14" t="s">
        <v>2999</v>
      </c>
      <c r="H1583" s="567" t="s">
        <v>2973</v>
      </c>
      <c r="I1583" s="14" t="s">
        <v>4888</v>
      </c>
      <c r="J1583" s="14" t="s">
        <v>4889</v>
      </c>
      <c r="K1583" s="478">
        <v>0.47</v>
      </c>
      <c r="L1583" s="220">
        <v>118.44</v>
      </c>
      <c r="M1583" s="568" t="s">
        <v>4890</v>
      </c>
      <c r="N1583" s="479" t="s">
        <v>2937</v>
      </c>
      <c r="O1583" s="569" t="s">
        <v>2976</v>
      </c>
      <c r="P1583" s="14" t="s">
        <v>4897</v>
      </c>
      <c r="Q1583" s="486" t="s">
        <v>4898</v>
      </c>
      <c r="R1583" s="14">
        <v>0.05</v>
      </c>
      <c r="S1583" s="14">
        <f t="shared" si="1448"/>
        <v>5.9220000000000002E-2</v>
      </c>
      <c r="T1583">
        <f t="shared" si="1613"/>
        <v>89.749999999999986</v>
      </c>
      <c r="U1583">
        <f t="shared" si="1603"/>
        <v>5.5710306406685242E-2</v>
      </c>
      <c r="V1583" s="220">
        <f t="shared" si="1620"/>
        <v>0.16806722689075632</v>
      </c>
      <c r="W1583" s="14" t="s">
        <v>4897</v>
      </c>
      <c r="X1583">
        <f t="shared" si="1584"/>
        <v>7.8991596638655459E-2</v>
      </c>
      <c r="Y1583" s="499">
        <f>SUM(X1583,X1584,X1585)</f>
        <v>0.23697478991596638</v>
      </c>
      <c r="Z1583" s="220">
        <f>SUM(X1583,X1585)</f>
        <v>0.15798319327731092</v>
      </c>
      <c r="AA1583" s="792">
        <f t="shared" si="1626"/>
        <v>0.15798319327731092</v>
      </c>
      <c r="AB1583" s="809" t="s">
        <v>2858</v>
      </c>
      <c r="AC1583" s="511" t="s">
        <v>3174</v>
      </c>
      <c r="AD1583" s="511" t="s">
        <v>3174</v>
      </c>
      <c r="AE1583" s="829">
        <v>3.2015555555555601E-4</v>
      </c>
      <c r="AF1583" s="829">
        <v>4.9060800000000002E-4</v>
      </c>
      <c r="AG1583" s="829">
        <v>3.2872385079429705E-4</v>
      </c>
      <c r="AH1583" s="829">
        <v>1.0873333333333299E-2</v>
      </c>
    </row>
    <row r="1584" spans="1:34" ht="14.25">
      <c r="A1584" s="14" t="s">
        <v>4877</v>
      </c>
      <c r="B1584" s="24" t="s">
        <v>2768</v>
      </c>
      <c r="C1584" s="14" t="s">
        <v>2855</v>
      </c>
      <c r="D1584" s="14" t="s">
        <v>2911</v>
      </c>
      <c r="E1584" s="14" t="s">
        <v>4878</v>
      </c>
      <c r="F1584" s="13">
        <v>252</v>
      </c>
      <c r="G1584" s="14" t="s">
        <v>2999</v>
      </c>
      <c r="H1584" s="567" t="s">
        <v>2973</v>
      </c>
      <c r="I1584" s="14" t="s">
        <v>4888</v>
      </c>
      <c r="J1584" s="14" t="s">
        <v>4889</v>
      </c>
      <c r="K1584" s="478">
        <v>0.47</v>
      </c>
      <c r="L1584" s="220">
        <v>118.44</v>
      </c>
      <c r="M1584" s="568" t="s">
        <v>4890</v>
      </c>
      <c r="N1584" s="479" t="s">
        <v>2937</v>
      </c>
      <c r="O1584" s="569" t="s">
        <v>2976</v>
      </c>
      <c r="P1584" s="14" t="s">
        <v>3878</v>
      </c>
      <c r="Q1584" s="10" t="s">
        <v>3881</v>
      </c>
      <c r="R1584" s="14">
        <v>0.05</v>
      </c>
      <c r="S1584" s="14">
        <f t="shared" si="1448"/>
        <v>5.9220000000000002E-2</v>
      </c>
      <c r="T1584">
        <f t="shared" si="1613"/>
        <v>89.749999999999986</v>
      </c>
      <c r="U1584">
        <f t="shared" si="1603"/>
        <v>5.5710306406685242E-2</v>
      </c>
      <c r="V1584" s="220">
        <f t="shared" si="1620"/>
        <v>0.16806722689075632</v>
      </c>
      <c r="W1584" s="14" t="s">
        <v>4899</v>
      </c>
      <c r="X1584">
        <f t="shared" si="1584"/>
        <v>7.8991596638655459E-2</v>
      </c>
      <c r="Y1584" s="220" t="s">
        <v>1624</v>
      </c>
      <c r="Z1584" s="220">
        <f>X1584</f>
        <v>7.8991596638655459E-2</v>
      </c>
      <c r="AA1584" s="792">
        <f t="shared" si="1626"/>
        <v>7.8991596638655459E-2</v>
      </c>
      <c r="AB1584" s="18" t="s">
        <v>2859</v>
      </c>
      <c r="AC1584" s="13" t="s">
        <v>402</v>
      </c>
      <c r="AD1584" s="13" t="s">
        <v>3882</v>
      </c>
      <c r="AE1584" s="12">
        <v>3.2015555555555601E-4</v>
      </c>
      <c r="AF1584" s="12">
        <v>4.9060800000000002E-4</v>
      </c>
      <c r="AG1584" s="12">
        <v>3.2872385079429705E-4</v>
      </c>
      <c r="AH1584" s="12">
        <v>1.0873333333333299E-2</v>
      </c>
    </row>
    <row r="1585" spans="1:34" ht="14.25">
      <c r="A1585" s="14" t="s">
        <v>4877</v>
      </c>
      <c r="B1585" s="24" t="s">
        <v>2768</v>
      </c>
      <c r="C1585" s="14" t="s">
        <v>2855</v>
      </c>
      <c r="D1585" s="14" t="s">
        <v>2911</v>
      </c>
      <c r="E1585" s="14" t="s">
        <v>4878</v>
      </c>
      <c r="F1585" s="13">
        <v>252</v>
      </c>
      <c r="G1585" s="14" t="s">
        <v>2999</v>
      </c>
      <c r="H1585" s="567" t="s">
        <v>2973</v>
      </c>
      <c r="I1585" s="14" t="s">
        <v>4888</v>
      </c>
      <c r="J1585" s="14" t="s">
        <v>4889</v>
      </c>
      <c r="K1585" s="478">
        <v>0.47</v>
      </c>
      <c r="L1585" s="220">
        <v>118.44</v>
      </c>
      <c r="M1585" s="568" t="s">
        <v>4890</v>
      </c>
      <c r="N1585" s="479" t="s">
        <v>2937</v>
      </c>
      <c r="O1585" s="569" t="s">
        <v>2976</v>
      </c>
      <c r="P1585" s="14" t="s">
        <v>4900</v>
      </c>
      <c r="Q1585" s="14" t="s">
        <v>4901</v>
      </c>
      <c r="R1585" s="14">
        <v>0.05</v>
      </c>
      <c r="S1585" s="14">
        <f t="shared" si="1448"/>
        <v>5.9220000000000002E-2</v>
      </c>
      <c r="T1585">
        <f t="shared" si="1613"/>
        <v>89.749999999999986</v>
      </c>
      <c r="U1585">
        <f t="shared" si="1603"/>
        <v>5.5710306406685242E-2</v>
      </c>
      <c r="V1585" s="220">
        <f t="shared" si="1620"/>
        <v>0.16806722689075632</v>
      </c>
      <c r="W1585" s="14" t="s">
        <v>4900</v>
      </c>
      <c r="X1585">
        <f t="shared" si="1584"/>
        <v>7.8991596638655459E-2</v>
      </c>
      <c r="Y1585" s="220" t="s">
        <v>1624</v>
      </c>
      <c r="Z1585" s="220" t="s">
        <v>1666</v>
      </c>
      <c r="AA1585" s="792" t="s">
        <v>1666</v>
      </c>
      <c r="AB1585" s="497" t="str">
        <f t="shared" ref="AB1585:AH1585" si="1627">AA1585</f>
        <v>*</v>
      </c>
      <c r="AC1585" s="497" t="str">
        <f t="shared" si="1627"/>
        <v>*</v>
      </c>
      <c r="AD1585" s="497" t="str">
        <f t="shared" si="1627"/>
        <v>*</v>
      </c>
      <c r="AE1585" s="483" t="str">
        <f t="shared" si="1627"/>
        <v>*</v>
      </c>
      <c r="AF1585" s="483" t="str">
        <f t="shared" si="1627"/>
        <v>*</v>
      </c>
      <c r="AG1585" s="483" t="str">
        <f t="shared" si="1627"/>
        <v>*</v>
      </c>
      <c r="AH1585" s="483" t="str">
        <f t="shared" si="1627"/>
        <v>*</v>
      </c>
    </row>
    <row r="1586" spans="1:34" ht="14.25">
      <c r="A1586" s="14" t="s">
        <v>4877</v>
      </c>
      <c r="B1586" s="24" t="s">
        <v>2768</v>
      </c>
      <c r="C1586" s="14" t="s">
        <v>2855</v>
      </c>
      <c r="D1586" s="14" t="s">
        <v>2911</v>
      </c>
      <c r="E1586" s="14" t="s">
        <v>4878</v>
      </c>
      <c r="F1586" s="13">
        <v>252</v>
      </c>
      <c r="G1586" s="14" t="s">
        <v>2999</v>
      </c>
      <c r="H1586" s="567" t="s">
        <v>2973</v>
      </c>
      <c r="I1586" s="14" t="s">
        <v>4888</v>
      </c>
      <c r="J1586" s="14" t="s">
        <v>4889</v>
      </c>
      <c r="K1586" s="478">
        <v>0.47</v>
      </c>
      <c r="L1586" s="220">
        <v>118.44</v>
      </c>
      <c r="M1586" s="568" t="s">
        <v>4890</v>
      </c>
      <c r="N1586" s="479" t="s">
        <v>2937</v>
      </c>
      <c r="O1586" s="569" t="s">
        <v>2976</v>
      </c>
      <c r="P1586" s="14" t="s">
        <v>3409</v>
      </c>
      <c r="Q1586" s="486" t="s">
        <v>4902</v>
      </c>
      <c r="R1586" s="14">
        <v>0.5</v>
      </c>
      <c r="S1586" s="14">
        <f t="shared" si="1448"/>
        <v>0.59219999999999995</v>
      </c>
      <c r="T1586">
        <f t="shared" si="1613"/>
        <v>89.749999999999986</v>
      </c>
      <c r="U1586">
        <f t="shared" si="1603"/>
        <v>0.5571030640668525</v>
      </c>
      <c r="V1586" s="220">
        <f t="shared" si="1620"/>
        <v>1.6806722689075633</v>
      </c>
      <c r="W1586" s="14" t="s">
        <v>3409</v>
      </c>
      <c r="X1586">
        <f t="shared" si="1584"/>
        <v>0.7899159663865547</v>
      </c>
      <c r="Y1586" s="220" t="s">
        <v>1666</v>
      </c>
      <c r="Z1586" s="220">
        <f t="shared" ref="Z1586:Z1587" si="1628">X1586</f>
        <v>0.7899159663865547</v>
      </c>
      <c r="AA1586" s="792">
        <f t="shared" ref="AA1586:AA1587" si="1629">Z1586</f>
        <v>0.7899159663865547</v>
      </c>
      <c r="AB1586" s="18" t="s">
        <v>2733</v>
      </c>
      <c r="AC1586" s="13" t="s">
        <v>4903</v>
      </c>
      <c r="AD1586" s="13" t="s">
        <v>3498</v>
      </c>
      <c r="AE1586" s="12">
        <v>9.6087130421459947E-3</v>
      </c>
      <c r="AF1586" s="12">
        <v>0.16691911148384272</v>
      </c>
      <c r="AG1586" s="12">
        <v>1.5345345345345343E-4</v>
      </c>
      <c r="AH1586" s="12">
        <v>3.6247130630630633E-3</v>
      </c>
    </row>
    <row r="1587" spans="1:34" ht="14.25">
      <c r="A1587" s="14" t="s">
        <v>4877</v>
      </c>
      <c r="B1587" s="24" t="s">
        <v>2768</v>
      </c>
      <c r="C1587" s="14" t="s">
        <v>2855</v>
      </c>
      <c r="D1587" s="14" t="s">
        <v>2911</v>
      </c>
      <c r="E1587" s="14" t="s">
        <v>4878</v>
      </c>
      <c r="F1587" s="13">
        <v>252</v>
      </c>
      <c r="G1587" s="14" t="s">
        <v>2999</v>
      </c>
      <c r="H1587" s="567" t="s">
        <v>2973</v>
      </c>
      <c r="I1587" s="14" t="s">
        <v>4888</v>
      </c>
      <c r="J1587" s="14" t="s">
        <v>4889</v>
      </c>
      <c r="K1587" s="478">
        <v>0.47</v>
      </c>
      <c r="L1587" s="220">
        <v>118.44</v>
      </c>
      <c r="M1587" s="568" t="s">
        <v>4890</v>
      </c>
      <c r="N1587" s="479" t="s">
        <v>2937</v>
      </c>
      <c r="O1587" s="569" t="s">
        <v>2976</v>
      </c>
      <c r="P1587" s="14" t="s">
        <v>459</v>
      </c>
      <c r="Q1587" s="14" t="s">
        <v>4904</v>
      </c>
      <c r="R1587" s="14">
        <v>0.5</v>
      </c>
      <c r="S1587" s="14">
        <f t="shared" si="1448"/>
        <v>0.59219999999999995</v>
      </c>
      <c r="T1587">
        <f t="shared" si="1613"/>
        <v>89.749999999999986</v>
      </c>
      <c r="U1587">
        <f t="shared" si="1603"/>
        <v>0.5571030640668525</v>
      </c>
      <c r="V1587" s="220">
        <f t="shared" si="1620"/>
        <v>1.6806722689075633</v>
      </c>
      <c r="W1587" s="14" t="s">
        <v>459</v>
      </c>
      <c r="X1587">
        <f t="shared" si="1584"/>
        <v>0.7899159663865547</v>
      </c>
      <c r="Y1587" s="220" t="s">
        <v>1666</v>
      </c>
      <c r="Z1587" s="220">
        <f t="shared" si="1628"/>
        <v>0.7899159663865547</v>
      </c>
      <c r="AA1587" s="792">
        <f t="shared" si="1629"/>
        <v>0.7899159663865547</v>
      </c>
      <c r="AB1587" s="18" t="s">
        <v>459</v>
      </c>
      <c r="AC1587" s="14" t="s">
        <v>3478</v>
      </c>
      <c r="AD1587" s="14" t="s">
        <v>3479</v>
      </c>
      <c r="AE1587" s="12">
        <v>2.8944733420025999E-4</v>
      </c>
      <c r="AF1587" s="12">
        <v>9.8179453836150891E-3</v>
      </c>
      <c r="AG1587" s="12">
        <v>1.0639011302594951E-5</v>
      </c>
      <c r="AH1587" s="12">
        <v>1.4697466666666669E-4</v>
      </c>
    </row>
    <row r="1588" spans="1:34" ht="14.25">
      <c r="A1588" s="14" t="s">
        <v>4877</v>
      </c>
      <c r="B1588" s="24" t="s">
        <v>2768</v>
      </c>
      <c r="C1588" s="14" t="s">
        <v>2855</v>
      </c>
      <c r="D1588" s="14" t="s">
        <v>2911</v>
      </c>
      <c r="E1588" s="14" t="s">
        <v>4878</v>
      </c>
      <c r="F1588" s="13">
        <v>252</v>
      </c>
      <c r="G1588" s="14" t="s">
        <v>2999</v>
      </c>
      <c r="H1588" s="567" t="s">
        <v>2973</v>
      </c>
      <c r="I1588" s="14" t="s">
        <v>4888</v>
      </c>
      <c r="J1588" s="14" t="s">
        <v>4889</v>
      </c>
      <c r="K1588" s="478">
        <v>0.47</v>
      </c>
      <c r="L1588" s="220">
        <v>118.44</v>
      </c>
      <c r="M1588" s="568" t="s">
        <v>4890</v>
      </c>
      <c r="N1588" s="479" t="s">
        <v>2937</v>
      </c>
      <c r="O1588" s="569" t="s">
        <v>2976</v>
      </c>
      <c r="P1588" s="14" t="s">
        <v>4905</v>
      </c>
      <c r="Q1588" s="486" t="s">
        <v>4906</v>
      </c>
      <c r="R1588" s="14">
        <v>0.05</v>
      </c>
      <c r="S1588" s="14">
        <f t="shared" si="1448"/>
        <v>5.9220000000000002E-2</v>
      </c>
      <c r="T1588">
        <f t="shared" si="1613"/>
        <v>89.749999999999986</v>
      </c>
      <c r="U1588">
        <f t="shared" si="1603"/>
        <v>5.5710306406685242E-2</v>
      </c>
      <c r="V1588" s="220">
        <f t="shared" si="1620"/>
        <v>0.16806722689075632</v>
      </c>
      <c r="W1588" s="14" t="s">
        <v>407</v>
      </c>
      <c r="X1588">
        <f t="shared" si="1584"/>
        <v>7.8991596638655459E-2</v>
      </c>
      <c r="Y1588" s="499">
        <f t="shared" ref="Y1588:AA1588" si="1630">X1588</f>
        <v>7.8991596638655459E-2</v>
      </c>
      <c r="Z1588" s="220">
        <f t="shared" si="1630"/>
        <v>7.8991596638655459E-2</v>
      </c>
      <c r="AA1588" s="792">
        <f t="shared" si="1630"/>
        <v>7.8991596638655459E-2</v>
      </c>
      <c r="AB1588" s="18" t="s">
        <v>2656</v>
      </c>
      <c r="AC1588" s="13" t="s">
        <v>407</v>
      </c>
      <c r="AD1588" s="13" t="s">
        <v>3844</v>
      </c>
      <c r="AE1588" s="12">
        <v>0</v>
      </c>
      <c r="AF1588" s="12">
        <v>0</v>
      </c>
      <c r="AG1588" s="12">
        <v>2.2323326446008546E-4</v>
      </c>
      <c r="AH1588" s="12">
        <v>4.0785551773399884E-3</v>
      </c>
    </row>
    <row r="1589" spans="1:34" ht="14.25">
      <c r="A1589" s="14" t="s">
        <v>4877</v>
      </c>
      <c r="B1589" s="24" t="s">
        <v>2768</v>
      </c>
      <c r="C1589" s="14" t="s">
        <v>2855</v>
      </c>
      <c r="D1589" s="14" t="s">
        <v>2911</v>
      </c>
      <c r="E1589" s="14" t="s">
        <v>4878</v>
      </c>
      <c r="F1589" s="13">
        <v>252</v>
      </c>
      <c r="G1589" s="14" t="s">
        <v>2999</v>
      </c>
      <c r="H1589" s="567" t="s">
        <v>2973</v>
      </c>
      <c r="I1589" s="14" t="s">
        <v>4888</v>
      </c>
      <c r="J1589" s="14" t="s">
        <v>4889</v>
      </c>
      <c r="K1589" s="478">
        <v>0.47</v>
      </c>
      <c r="L1589" s="220">
        <v>118.44</v>
      </c>
      <c r="M1589" s="568" t="s">
        <v>4890</v>
      </c>
      <c r="N1589" s="479" t="s">
        <v>2937</v>
      </c>
      <c r="O1589" s="569" t="s">
        <v>2976</v>
      </c>
      <c r="P1589" s="14" t="s">
        <v>86</v>
      </c>
      <c r="Q1589" s="14" t="s">
        <v>3442</v>
      </c>
      <c r="R1589" s="14">
        <v>0.25</v>
      </c>
      <c r="S1589" s="14">
        <f t="shared" si="1448"/>
        <v>0.29609999999999997</v>
      </c>
      <c r="T1589">
        <f t="shared" si="1613"/>
        <v>89.749999999999986</v>
      </c>
      <c r="U1589">
        <f t="shared" si="1603"/>
        <v>0.27855153203342625</v>
      </c>
      <c r="V1589" s="220">
        <f t="shared" si="1620"/>
        <v>0.84033613445378164</v>
      </c>
      <c r="W1589" s="14" t="s">
        <v>86</v>
      </c>
      <c r="X1589">
        <f t="shared" si="1584"/>
        <v>0.39495798319327735</v>
      </c>
      <c r="Y1589" s="499">
        <f t="shared" ref="Y1589:AA1589" si="1631">X1589</f>
        <v>0.39495798319327735</v>
      </c>
      <c r="Z1589" s="220">
        <f t="shared" si="1631"/>
        <v>0.39495798319327735</v>
      </c>
      <c r="AA1589" s="792">
        <f t="shared" si="1631"/>
        <v>0.39495798319327735</v>
      </c>
      <c r="AB1589" s="18" t="s">
        <v>86</v>
      </c>
      <c r="AC1589" s="13" t="s">
        <v>18</v>
      </c>
      <c r="AD1589" s="13" t="s">
        <v>18</v>
      </c>
      <c r="AE1589" s="12">
        <v>0</v>
      </c>
      <c r="AF1589" s="12">
        <v>0</v>
      </c>
      <c r="AG1589" s="12">
        <v>0</v>
      </c>
      <c r="AH1589" s="12">
        <v>0</v>
      </c>
    </row>
    <row r="1590" spans="1:34" ht="14.25">
      <c r="A1590" s="14" t="s">
        <v>4877</v>
      </c>
      <c r="B1590" s="24" t="s">
        <v>2768</v>
      </c>
      <c r="C1590" s="14" t="s">
        <v>2855</v>
      </c>
      <c r="D1590" s="14" t="s">
        <v>2911</v>
      </c>
      <c r="E1590" s="14" t="s">
        <v>4878</v>
      </c>
      <c r="F1590" s="13">
        <v>252</v>
      </c>
      <c r="G1590" s="14" t="s">
        <v>2999</v>
      </c>
      <c r="H1590" s="567" t="s">
        <v>2973</v>
      </c>
      <c r="I1590" s="14" t="s">
        <v>4888</v>
      </c>
      <c r="J1590" s="14" t="s">
        <v>4889</v>
      </c>
      <c r="K1590" s="478">
        <v>0.47</v>
      </c>
      <c r="L1590" s="220">
        <v>118.44</v>
      </c>
      <c r="M1590" s="568" t="s">
        <v>4890</v>
      </c>
      <c r="N1590" s="479" t="s">
        <v>2937</v>
      </c>
      <c r="O1590" s="569" t="s">
        <v>2976</v>
      </c>
      <c r="P1590" s="14" t="s">
        <v>4035</v>
      </c>
      <c r="Q1590" s="486" t="s">
        <v>4907</v>
      </c>
      <c r="R1590" s="14">
        <v>0.25</v>
      </c>
      <c r="S1590" s="14">
        <f t="shared" si="1448"/>
        <v>0.29609999999999997</v>
      </c>
      <c r="T1590">
        <f t="shared" si="1613"/>
        <v>89.749999999999986</v>
      </c>
      <c r="U1590">
        <f t="shared" si="1603"/>
        <v>0.27855153203342625</v>
      </c>
      <c r="V1590" s="220">
        <f t="shared" si="1620"/>
        <v>0.84033613445378164</v>
      </c>
      <c r="W1590" s="14" t="s">
        <v>4749</v>
      </c>
      <c r="X1590">
        <f t="shared" si="1584"/>
        <v>0.39495798319327735</v>
      </c>
      <c r="Y1590" s="220" t="s">
        <v>1666</v>
      </c>
      <c r="Z1590" s="220" t="str">
        <f t="shared" ref="Z1590:AH1590" si="1632">Y1590</f>
        <v>*</v>
      </c>
      <c r="AA1590" s="792" t="str">
        <f t="shared" si="1632"/>
        <v>*</v>
      </c>
      <c r="AB1590" s="497" t="str">
        <f t="shared" si="1632"/>
        <v>*</v>
      </c>
      <c r="AC1590" s="497" t="str">
        <f t="shared" si="1632"/>
        <v>*</v>
      </c>
      <c r="AD1590" s="497" t="str">
        <f t="shared" si="1632"/>
        <v>*</v>
      </c>
      <c r="AE1590" s="483" t="str">
        <f t="shared" si="1632"/>
        <v>*</v>
      </c>
      <c r="AF1590" s="483" t="str">
        <f t="shared" si="1632"/>
        <v>*</v>
      </c>
      <c r="AG1590" s="483" t="str">
        <f t="shared" si="1632"/>
        <v>*</v>
      </c>
      <c r="AH1590" s="483" t="str">
        <f t="shared" si="1632"/>
        <v>*</v>
      </c>
    </row>
    <row r="1591" spans="1:34" ht="14.25">
      <c r="A1591" s="617" t="s">
        <v>4877</v>
      </c>
      <c r="B1591" s="794" t="s">
        <v>2768</v>
      </c>
      <c r="C1591" s="617" t="s">
        <v>2855</v>
      </c>
      <c r="D1591" s="617" t="s">
        <v>2911</v>
      </c>
      <c r="E1591" s="617" t="s">
        <v>4878</v>
      </c>
      <c r="F1591" s="799">
        <v>252</v>
      </c>
      <c r="G1591" s="617" t="s">
        <v>2999</v>
      </c>
      <c r="H1591" s="910" t="s">
        <v>2973</v>
      </c>
      <c r="I1591" s="617" t="s">
        <v>4888</v>
      </c>
      <c r="J1591" s="617" t="s">
        <v>4889</v>
      </c>
      <c r="K1591" s="838">
        <v>0.47</v>
      </c>
      <c r="L1591" s="725">
        <v>118.44</v>
      </c>
      <c r="M1591" s="911" t="s">
        <v>4890</v>
      </c>
      <c r="N1591" s="841" t="s">
        <v>2937</v>
      </c>
      <c r="O1591" s="912" t="s">
        <v>2976</v>
      </c>
      <c r="P1591" s="617" t="s">
        <v>4365</v>
      </c>
      <c r="Q1591" s="856" t="s">
        <v>3084</v>
      </c>
      <c r="R1591" s="617">
        <v>0.25</v>
      </c>
      <c r="S1591" s="617">
        <f t="shared" si="1448"/>
        <v>0.29609999999999997</v>
      </c>
      <c r="T1591" s="852">
        <f>SUM(R1570:R1591)</f>
        <v>89.749999999999986</v>
      </c>
      <c r="U1591" s="617">
        <f t="shared" si="1603"/>
        <v>0.27855153203342625</v>
      </c>
      <c r="V1591" s="725">
        <f t="shared" si="1620"/>
        <v>0.84033613445378164</v>
      </c>
      <c r="W1591" s="617" t="s">
        <v>2712</v>
      </c>
      <c r="X1591" s="617">
        <f t="shared" si="1584"/>
        <v>0.39495798319327735</v>
      </c>
      <c r="Y1591" s="725" t="s">
        <v>1666</v>
      </c>
      <c r="Z1591" s="725" t="s">
        <v>1666</v>
      </c>
      <c r="AA1591" s="455" t="s">
        <v>1666</v>
      </c>
      <c r="AB1591" s="869" t="str">
        <f t="shared" ref="AB1591:AH1591" si="1633">AA1591</f>
        <v>*</v>
      </c>
      <c r="AC1591" s="869" t="str">
        <f t="shared" si="1633"/>
        <v>*</v>
      </c>
      <c r="AD1591" s="869" t="str">
        <f t="shared" si="1633"/>
        <v>*</v>
      </c>
      <c r="AE1591" s="845" t="str">
        <f t="shared" si="1633"/>
        <v>*</v>
      </c>
      <c r="AF1591" s="845" t="str">
        <f t="shared" si="1633"/>
        <v>*</v>
      </c>
      <c r="AG1591" s="845" t="str">
        <f t="shared" si="1633"/>
        <v>*</v>
      </c>
      <c r="AH1591" s="845" t="str">
        <f t="shared" si="1633"/>
        <v>*</v>
      </c>
    </row>
    <row r="1592" spans="1:34" ht="12.75">
      <c r="A1592" s="14" t="s">
        <v>4908</v>
      </c>
      <c r="B1592" s="24" t="s">
        <v>2768</v>
      </c>
      <c r="C1592" s="14" t="s">
        <v>2860</v>
      </c>
      <c r="D1592" s="14" t="s">
        <v>2911</v>
      </c>
      <c r="E1592" s="14" t="s">
        <v>4909</v>
      </c>
      <c r="F1592" s="13">
        <v>248</v>
      </c>
      <c r="G1592" s="14" t="s">
        <v>3658</v>
      </c>
      <c r="H1592" s="568" t="s">
        <v>2973</v>
      </c>
      <c r="I1592" s="14" t="s">
        <v>4909</v>
      </c>
      <c r="J1592" s="14" t="s">
        <v>4910</v>
      </c>
      <c r="K1592" s="478">
        <v>1</v>
      </c>
      <c r="L1592" s="220">
        <v>248</v>
      </c>
      <c r="M1592" s="568" t="s">
        <v>4911</v>
      </c>
      <c r="N1592" s="568" t="s">
        <v>4912</v>
      </c>
      <c r="O1592" s="569" t="s">
        <v>4913</v>
      </c>
      <c r="P1592" s="14" t="s">
        <v>2938</v>
      </c>
      <c r="Q1592" s="14" t="s">
        <v>2939</v>
      </c>
      <c r="R1592" s="14">
        <v>20</v>
      </c>
      <c r="S1592" s="14">
        <f t="shared" si="1448"/>
        <v>49.6</v>
      </c>
      <c r="T1592">
        <f t="shared" ref="T1592:T1597" si="1634">SUM(R$1592:R$1598)</f>
        <v>94.75</v>
      </c>
      <c r="U1592">
        <f t="shared" si="1603"/>
        <v>21.108179419525065</v>
      </c>
      <c r="V1592" s="481">
        <f>U1592</f>
        <v>21.108179419525065</v>
      </c>
      <c r="W1592" s="482" t="s">
        <v>72</v>
      </c>
      <c r="X1592" s="482">
        <f t="shared" si="1584"/>
        <v>21.108179419525065</v>
      </c>
      <c r="Y1592" s="481">
        <f>SUM(X1592,X1597)</f>
        <v>47.493403693931398</v>
      </c>
      <c r="Z1592" s="481">
        <f t="shared" ref="Z1592:AA1592" si="1635">Y1592</f>
        <v>47.493403693931398</v>
      </c>
      <c r="AA1592" s="796">
        <f t="shared" si="1635"/>
        <v>47.493403693931398</v>
      </c>
      <c r="AB1592" s="456" t="s">
        <v>72</v>
      </c>
      <c r="AC1592" s="469" t="s">
        <v>2938</v>
      </c>
      <c r="AD1592" s="469" t="s">
        <v>2940</v>
      </c>
      <c r="AE1592" s="457">
        <v>0</v>
      </c>
      <c r="AF1592" s="457">
        <v>0</v>
      </c>
      <c r="AG1592" s="457">
        <v>0</v>
      </c>
      <c r="AH1592" s="457">
        <v>0</v>
      </c>
    </row>
    <row r="1593" spans="1:34" ht="12.75">
      <c r="A1593" s="14" t="s">
        <v>4908</v>
      </c>
      <c r="B1593" s="24" t="s">
        <v>2768</v>
      </c>
      <c r="C1593" s="14" t="s">
        <v>2860</v>
      </c>
      <c r="D1593" s="14" t="s">
        <v>2911</v>
      </c>
      <c r="E1593" s="14" t="s">
        <v>4909</v>
      </c>
      <c r="F1593" s="13">
        <v>248</v>
      </c>
      <c r="G1593" s="14" t="s">
        <v>3658</v>
      </c>
      <c r="H1593" s="568" t="s">
        <v>2973</v>
      </c>
      <c r="I1593" s="14" t="s">
        <v>4909</v>
      </c>
      <c r="J1593" s="14" t="s">
        <v>4910</v>
      </c>
      <c r="K1593" s="478">
        <v>1</v>
      </c>
      <c r="L1593" s="220">
        <v>248</v>
      </c>
      <c r="M1593" s="568" t="s">
        <v>4914</v>
      </c>
      <c r="N1593" s="568" t="s">
        <v>4912</v>
      </c>
      <c r="O1593" s="569" t="s">
        <v>4913</v>
      </c>
      <c r="P1593" s="14" t="s">
        <v>3419</v>
      </c>
      <c r="Q1593" s="14" t="s">
        <v>3437</v>
      </c>
      <c r="R1593" s="14">
        <v>20</v>
      </c>
      <c r="S1593" s="14">
        <f t="shared" si="1448"/>
        <v>49.6</v>
      </c>
      <c r="T1593">
        <f t="shared" si="1634"/>
        <v>94.75</v>
      </c>
      <c r="U1593">
        <f t="shared" si="1603"/>
        <v>21.108179419525065</v>
      </c>
      <c r="V1593" s="220">
        <f t="shared" ref="V1593:V1596" si="1636">U1593*100/SUM(U$1593:U$1596,U$1598)</f>
        <v>40.201005025125625</v>
      </c>
      <c r="W1593" s="14" t="s">
        <v>508</v>
      </c>
      <c r="X1593">
        <f t="shared" si="1584"/>
        <v>40.201005025125625</v>
      </c>
      <c r="Y1593" s="220">
        <f t="shared" ref="Y1593:AA1593" si="1637">X1593</f>
        <v>40.201005025125625</v>
      </c>
      <c r="Z1593" s="220">
        <f t="shared" si="1637"/>
        <v>40.201005025125625</v>
      </c>
      <c r="AA1593" s="792">
        <f t="shared" si="1637"/>
        <v>40.201005025125625</v>
      </c>
      <c r="AB1593" s="18" t="s">
        <v>508</v>
      </c>
      <c r="AC1593" s="14" t="s">
        <v>3421</v>
      </c>
      <c r="AD1593" s="14" t="s">
        <v>3422</v>
      </c>
      <c r="AE1593" s="12">
        <v>2.8834234570203239E-3</v>
      </c>
      <c r="AF1593" s="12">
        <v>5.9265729118619818E-2</v>
      </c>
      <c r="AG1593" s="12">
        <v>3.7800000000000003E-4</v>
      </c>
      <c r="AH1593" s="12">
        <v>1.4550492E-3</v>
      </c>
    </row>
    <row r="1594" spans="1:34" ht="12.75">
      <c r="A1594" s="14" t="s">
        <v>4908</v>
      </c>
      <c r="B1594" s="24" t="s">
        <v>2768</v>
      </c>
      <c r="C1594" s="14" t="s">
        <v>2860</v>
      </c>
      <c r="D1594" s="14" t="s">
        <v>2911</v>
      </c>
      <c r="E1594" s="14" t="s">
        <v>4909</v>
      </c>
      <c r="F1594" s="13">
        <v>248</v>
      </c>
      <c r="G1594" s="14" t="s">
        <v>3658</v>
      </c>
      <c r="H1594" s="568" t="s">
        <v>2973</v>
      </c>
      <c r="I1594" s="14" t="s">
        <v>4909</v>
      </c>
      <c r="J1594" s="14" t="s">
        <v>4910</v>
      </c>
      <c r="K1594" s="478">
        <v>1</v>
      </c>
      <c r="L1594" s="220">
        <v>248</v>
      </c>
      <c r="M1594" s="568" t="s">
        <v>4915</v>
      </c>
      <c r="N1594" s="568" t="s">
        <v>4912</v>
      </c>
      <c r="O1594" s="569" t="s">
        <v>4913</v>
      </c>
      <c r="P1594" s="14" t="s">
        <v>2962</v>
      </c>
      <c r="Q1594" s="88" t="s">
        <v>2963</v>
      </c>
      <c r="R1594" s="14">
        <v>2.75</v>
      </c>
      <c r="S1594" s="14">
        <f t="shared" si="1448"/>
        <v>6.82</v>
      </c>
      <c r="T1594">
        <f t="shared" si="1634"/>
        <v>94.75</v>
      </c>
      <c r="U1594">
        <f t="shared" si="1603"/>
        <v>2.9023746701846966</v>
      </c>
      <c r="V1594" s="220">
        <f t="shared" si="1636"/>
        <v>5.5276381909547743</v>
      </c>
      <c r="W1594" s="14" t="s">
        <v>425</v>
      </c>
      <c r="X1594">
        <f t="shared" si="1584"/>
        <v>5.5276381909547743</v>
      </c>
      <c r="Y1594" s="220">
        <f t="shared" ref="Y1594:AA1594" si="1638">X1594</f>
        <v>5.5276381909547743</v>
      </c>
      <c r="Z1594" s="220">
        <f t="shared" si="1638"/>
        <v>5.5276381909547743</v>
      </c>
      <c r="AA1594" s="792">
        <f t="shared" si="1638"/>
        <v>5.5276381909547743</v>
      </c>
      <c r="AB1594" s="18" t="s">
        <v>425</v>
      </c>
      <c r="AC1594" s="13" t="s">
        <v>2964</v>
      </c>
      <c r="AD1594" s="13" t="s">
        <v>2965</v>
      </c>
      <c r="AE1594" s="12">
        <v>3.8102374934982654E-3</v>
      </c>
      <c r="AF1594" s="12">
        <v>0.20470422547079484</v>
      </c>
      <c r="AG1594" s="12">
        <v>1.210810810810811E-4</v>
      </c>
      <c r="AH1594" s="12">
        <v>1.0002400855855065E-3</v>
      </c>
    </row>
    <row r="1595" spans="1:34" ht="12.75">
      <c r="A1595" s="14" t="s">
        <v>4908</v>
      </c>
      <c r="B1595" s="24" t="s">
        <v>2768</v>
      </c>
      <c r="C1595" s="14" t="s">
        <v>2860</v>
      </c>
      <c r="D1595" s="14" t="s">
        <v>2911</v>
      </c>
      <c r="E1595" s="14" t="s">
        <v>4909</v>
      </c>
      <c r="F1595" s="13">
        <v>248</v>
      </c>
      <c r="G1595" s="14" t="s">
        <v>3658</v>
      </c>
      <c r="H1595" s="568" t="s">
        <v>2973</v>
      </c>
      <c r="I1595" s="14" t="s">
        <v>4909</v>
      </c>
      <c r="J1595" s="14" t="s">
        <v>4910</v>
      </c>
      <c r="K1595" s="478">
        <v>1</v>
      </c>
      <c r="L1595" s="220">
        <v>248</v>
      </c>
      <c r="M1595" s="568" t="s">
        <v>4916</v>
      </c>
      <c r="N1595" s="568" t="s">
        <v>4912</v>
      </c>
      <c r="O1595" s="569" t="s">
        <v>4913</v>
      </c>
      <c r="P1595" s="655" t="s">
        <v>3005</v>
      </c>
      <c r="Q1595" s="486" t="s">
        <v>3006</v>
      </c>
      <c r="R1595" s="14">
        <v>1</v>
      </c>
      <c r="S1595" s="14">
        <f t="shared" si="1448"/>
        <v>2.48</v>
      </c>
      <c r="T1595">
        <f t="shared" si="1634"/>
        <v>94.75</v>
      </c>
      <c r="U1595">
        <f t="shared" si="1603"/>
        <v>1.0554089709762533</v>
      </c>
      <c r="V1595" s="220">
        <f t="shared" si="1636"/>
        <v>2.0100502512562817</v>
      </c>
      <c r="W1595" s="14" t="s">
        <v>2526</v>
      </c>
      <c r="X1595">
        <f t="shared" si="1584"/>
        <v>2.0100502512562817</v>
      </c>
      <c r="Y1595" s="499">
        <f t="shared" ref="Y1595:AA1595" si="1639">X1595</f>
        <v>2.0100502512562817</v>
      </c>
      <c r="Z1595" s="220">
        <f t="shared" si="1639"/>
        <v>2.0100502512562817</v>
      </c>
      <c r="AA1595" s="792">
        <f t="shared" si="1639"/>
        <v>2.0100502512562817</v>
      </c>
      <c r="AB1595" s="18" t="s">
        <v>2658</v>
      </c>
      <c r="AC1595" s="13" t="s">
        <v>215</v>
      </c>
      <c r="AD1595" s="13" t="s">
        <v>3007</v>
      </c>
      <c r="AE1595" s="12">
        <v>5.0851930036188197E-3</v>
      </c>
      <c r="AF1595" s="12">
        <v>5.9995417730640897E-2</v>
      </c>
      <c r="AG1595" s="12">
        <v>3.4699999999999998E-4</v>
      </c>
      <c r="AH1595" s="12">
        <v>2.9762429672480995E-4</v>
      </c>
    </row>
    <row r="1596" spans="1:34" ht="12.75">
      <c r="A1596" s="14" t="s">
        <v>4908</v>
      </c>
      <c r="B1596" s="24" t="s">
        <v>2768</v>
      </c>
      <c r="C1596" s="14" t="s">
        <v>2860</v>
      </c>
      <c r="D1596" s="14" t="s">
        <v>2911</v>
      </c>
      <c r="E1596" s="14" t="s">
        <v>4909</v>
      </c>
      <c r="F1596" s="13">
        <v>248</v>
      </c>
      <c r="G1596" s="14" t="s">
        <v>3658</v>
      </c>
      <c r="H1596" s="568" t="s">
        <v>2973</v>
      </c>
      <c r="I1596" s="14" t="s">
        <v>4909</v>
      </c>
      <c r="J1596" s="14" t="s">
        <v>4910</v>
      </c>
      <c r="K1596" s="478">
        <v>1</v>
      </c>
      <c r="L1596" s="220">
        <v>248</v>
      </c>
      <c r="M1596" s="568" t="s">
        <v>4917</v>
      </c>
      <c r="N1596" s="568" t="s">
        <v>4912</v>
      </c>
      <c r="O1596" s="569" t="s">
        <v>4913</v>
      </c>
      <c r="P1596" s="14" t="s">
        <v>83</v>
      </c>
      <c r="Q1596" s="527" t="s">
        <v>3430</v>
      </c>
      <c r="R1596" s="14">
        <v>1</v>
      </c>
      <c r="S1596" s="14">
        <f t="shared" si="1448"/>
        <v>2.48</v>
      </c>
      <c r="T1596">
        <f t="shared" si="1634"/>
        <v>94.75</v>
      </c>
      <c r="U1596">
        <f t="shared" si="1603"/>
        <v>1.0554089709762533</v>
      </c>
      <c r="V1596" s="220">
        <f t="shared" si="1636"/>
        <v>2.0100502512562817</v>
      </c>
      <c r="W1596" s="14" t="s">
        <v>83</v>
      </c>
      <c r="X1596">
        <f t="shared" si="1584"/>
        <v>2.0100502512562817</v>
      </c>
      <c r="Y1596" s="499">
        <f t="shared" ref="Y1596:AA1596" si="1640">X1596</f>
        <v>2.0100502512562817</v>
      </c>
      <c r="Z1596" s="220">
        <f t="shared" si="1640"/>
        <v>2.0100502512562817</v>
      </c>
      <c r="AA1596" s="792">
        <f t="shared" si="1640"/>
        <v>2.0100502512562817</v>
      </c>
      <c r="AB1596" s="18" t="s">
        <v>83</v>
      </c>
      <c r="AC1596" s="14" t="s">
        <v>83</v>
      </c>
      <c r="AD1596" s="14" t="s">
        <v>2951</v>
      </c>
      <c r="AE1596" s="12">
        <v>0</v>
      </c>
      <c r="AF1596" s="12">
        <v>0</v>
      </c>
      <c r="AG1596" s="12">
        <v>0</v>
      </c>
      <c r="AH1596" s="12">
        <v>0</v>
      </c>
    </row>
    <row r="1597" spans="1:34" ht="12.75">
      <c r="A1597" s="14" t="s">
        <v>4908</v>
      </c>
      <c r="B1597" s="24" t="s">
        <v>2768</v>
      </c>
      <c r="C1597" s="14" t="s">
        <v>2860</v>
      </c>
      <c r="D1597" s="14" t="s">
        <v>2911</v>
      </c>
      <c r="E1597" s="14" t="s">
        <v>4909</v>
      </c>
      <c r="F1597" s="13">
        <v>248</v>
      </c>
      <c r="G1597" s="14" t="s">
        <v>3658</v>
      </c>
      <c r="H1597" s="568" t="s">
        <v>2973</v>
      </c>
      <c r="I1597" s="14" t="s">
        <v>4909</v>
      </c>
      <c r="J1597" s="14" t="s">
        <v>4910</v>
      </c>
      <c r="K1597" s="478">
        <v>1</v>
      </c>
      <c r="L1597" s="220">
        <v>248</v>
      </c>
      <c r="M1597" s="568" t="s">
        <v>4918</v>
      </c>
      <c r="N1597" s="568" t="s">
        <v>4912</v>
      </c>
      <c r="O1597" s="569" t="s">
        <v>4913</v>
      </c>
      <c r="P1597" s="14" t="s">
        <v>2938</v>
      </c>
      <c r="Q1597" s="14" t="s">
        <v>2939</v>
      </c>
      <c r="R1597" s="14">
        <v>25</v>
      </c>
      <c r="S1597" s="14">
        <f t="shared" si="1448"/>
        <v>62</v>
      </c>
      <c r="T1597">
        <f t="shared" si="1634"/>
        <v>94.75</v>
      </c>
      <c r="U1597">
        <f t="shared" si="1603"/>
        <v>26.385224274406333</v>
      </c>
      <c r="V1597" s="481">
        <f>U1597</f>
        <v>26.385224274406333</v>
      </c>
      <c r="W1597" s="482" t="s">
        <v>72</v>
      </c>
      <c r="X1597" s="482">
        <f t="shared" si="1584"/>
        <v>26.385224274406333</v>
      </c>
      <c r="Y1597" s="481" t="s">
        <v>1666</v>
      </c>
      <c r="Z1597" s="481" t="s">
        <v>1666</v>
      </c>
      <c r="AA1597" s="830" t="s">
        <v>1666</v>
      </c>
      <c r="AB1597" s="469" t="str">
        <f t="shared" ref="AB1597:AH1597" si="1641">AA1597</f>
        <v>*</v>
      </c>
      <c r="AC1597" s="469" t="str">
        <f t="shared" si="1641"/>
        <v>*</v>
      </c>
      <c r="AD1597" s="469" t="str">
        <f t="shared" si="1641"/>
        <v>*</v>
      </c>
      <c r="AE1597" s="470" t="str">
        <f t="shared" si="1641"/>
        <v>*</v>
      </c>
      <c r="AF1597" s="470" t="str">
        <f t="shared" si="1641"/>
        <v>*</v>
      </c>
      <c r="AG1597" s="470" t="str">
        <f t="shared" si="1641"/>
        <v>*</v>
      </c>
      <c r="AH1597" s="470" t="str">
        <f t="shared" si="1641"/>
        <v>*</v>
      </c>
    </row>
    <row r="1598" spans="1:34" ht="12.75">
      <c r="A1598" s="617" t="s">
        <v>4908</v>
      </c>
      <c r="B1598" s="794" t="s">
        <v>2768</v>
      </c>
      <c r="C1598" s="617" t="s">
        <v>2860</v>
      </c>
      <c r="D1598" s="617" t="s">
        <v>2911</v>
      </c>
      <c r="E1598" s="617" t="s">
        <v>4909</v>
      </c>
      <c r="F1598" s="799">
        <v>248</v>
      </c>
      <c r="G1598" s="617" t="s">
        <v>3658</v>
      </c>
      <c r="H1598" s="911" t="s">
        <v>2973</v>
      </c>
      <c r="I1598" s="617" t="s">
        <v>4909</v>
      </c>
      <c r="J1598" s="617" t="s">
        <v>4910</v>
      </c>
      <c r="K1598" s="838">
        <v>1</v>
      </c>
      <c r="L1598" s="725">
        <v>248</v>
      </c>
      <c r="M1598" s="911" t="s">
        <v>4919</v>
      </c>
      <c r="N1598" s="911" t="s">
        <v>4912</v>
      </c>
      <c r="O1598" s="912" t="s">
        <v>4913</v>
      </c>
      <c r="P1598" s="617" t="s">
        <v>2924</v>
      </c>
      <c r="Q1598" s="877" t="s">
        <v>2926</v>
      </c>
      <c r="R1598" s="617">
        <v>25</v>
      </c>
      <c r="S1598" s="617">
        <f t="shared" si="1448"/>
        <v>62</v>
      </c>
      <c r="T1598" s="852">
        <f>SUM(R1592:R1598)</f>
        <v>94.75</v>
      </c>
      <c r="U1598" s="617">
        <f t="shared" si="1603"/>
        <v>26.385224274406333</v>
      </c>
      <c r="V1598" s="725">
        <f>U1598*100/SUM(U$1593:U$1596,U$1598)</f>
        <v>50.251256281407038</v>
      </c>
      <c r="W1598" s="617" t="s">
        <v>4883</v>
      </c>
      <c r="X1598" s="617">
        <f t="shared" si="1584"/>
        <v>50.251256281407038</v>
      </c>
      <c r="Y1598" s="725">
        <f t="shared" ref="Y1598:AA1598" si="1642">X1598</f>
        <v>50.251256281407038</v>
      </c>
      <c r="Z1598" s="725">
        <f t="shared" si="1642"/>
        <v>50.251256281407038</v>
      </c>
      <c r="AA1598" s="455">
        <f t="shared" si="1642"/>
        <v>50.251256281407038</v>
      </c>
      <c r="AB1598" s="793" t="s">
        <v>118</v>
      </c>
      <c r="AC1598" s="799" t="s">
        <v>2922</v>
      </c>
      <c r="AD1598" s="799" t="s">
        <v>2923</v>
      </c>
      <c r="AE1598" s="635">
        <v>5.2598080568720387E-3</v>
      </c>
      <c r="AF1598" s="635">
        <v>1.5464779620853082E-2</v>
      </c>
      <c r="AG1598" s="635">
        <v>1.0310377488151661E-4</v>
      </c>
      <c r="AH1598" s="635">
        <v>9.7015402843601893E-4</v>
      </c>
    </row>
    <row r="1599" spans="1:34" ht="12.75">
      <c r="A1599" s="14" t="s">
        <v>4920</v>
      </c>
      <c r="B1599" s="24" t="s">
        <v>2768</v>
      </c>
      <c r="C1599" s="14" t="s">
        <v>2861</v>
      </c>
      <c r="D1599" s="14" t="s">
        <v>2911</v>
      </c>
      <c r="E1599" s="14" t="s">
        <v>4921</v>
      </c>
      <c r="F1599" s="13">
        <v>15</v>
      </c>
      <c r="G1599" s="14" t="s">
        <v>2972</v>
      </c>
      <c r="H1599" s="567">
        <v>11935</v>
      </c>
      <c r="I1599" s="14" t="s">
        <v>4921</v>
      </c>
      <c r="J1599" s="14" t="s">
        <v>4922</v>
      </c>
      <c r="K1599" s="478">
        <v>1</v>
      </c>
      <c r="L1599" s="220">
        <v>16</v>
      </c>
      <c r="M1599" s="568" t="s">
        <v>4923</v>
      </c>
      <c r="N1599" s="568"/>
      <c r="O1599" s="569"/>
      <c r="P1599" s="14" t="s">
        <v>4924</v>
      </c>
      <c r="Q1599" s="10" t="s">
        <v>3386</v>
      </c>
      <c r="R1599" s="14">
        <v>50</v>
      </c>
      <c r="S1599" s="14">
        <f t="shared" si="1448"/>
        <v>8</v>
      </c>
      <c r="T1599">
        <f t="shared" ref="T1599:T1602" si="1643">SUM(R$1599:R$1603)</f>
        <v>100</v>
      </c>
      <c r="U1599">
        <f t="shared" si="1603"/>
        <v>50</v>
      </c>
      <c r="V1599" s="220">
        <f t="shared" ref="V1599:V1603" si="1644">U1599</f>
        <v>50</v>
      </c>
      <c r="W1599" s="14" t="s">
        <v>2862</v>
      </c>
      <c r="X1599">
        <f t="shared" si="1584"/>
        <v>50</v>
      </c>
      <c r="Y1599" s="220">
        <f t="shared" ref="Y1599:AA1599" si="1645">X1599</f>
        <v>50</v>
      </c>
      <c r="Z1599" s="220">
        <f t="shared" si="1645"/>
        <v>50</v>
      </c>
      <c r="AA1599" s="792">
        <f t="shared" si="1645"/>
        <v>50</v>
      </c>
      <c r="AB1599" s="18" t="s">
        <v>2862</v>
      </c>
      <c r="AC1599" s="13" t="s">
        <v>1780</v>
      </c>
      <c r="AD1599" s="13" t="s">
        <v>1781</v>
      </c>
      <c r="AE1599" s="12">
        <v>4.8057057617005398E-4</v>
      </c>
      <c r="AF1599" s="12">
        <v>9.8776215197699697E-3</v>
      </c>
      <c r="AG1599" s="12">
        <v>6.3E-5</v>
      </c>
      <c r="AH1599" s="12">
        <v>2.4250819999999999E-4</v>
      </c>
    </row>
    <row r="1600" spans="1:34" ht="12.75">
      <c r="A1600" s="14" t="s">
        <v>4920</v>
      </c>
      <c r="B1600" s="24" t="s">
        <v>2768</v>
      </c>
      <c r="C1600" s="14" t="s">
        <v>2861</v>
      </c>
      <c r="D1600" s="14" t="s">
        <v>2911</v>
      </c>
      <c r="E1600" s="14" t="s">
        <v>4921</v>
      </c>
      <c r="F1600" s="13">
        <v>15</v>
      </c>
      <c r="G1600" s="14" t="s">
        <v>2972</v>
      </c>
      <c r="H1600" s="567">
        <v>11935</v>
      </c>
      <c r="I1600" s="14" t="s">
        <v>4921</v>
      </c>
      <c r="J1600" s="14" t="s">
        <v>4922</v>
      </c>
      <c r="K1600" s="478">
        <v>1</v>
      </c>
      <c r="L1600" s="220">
        <v>16</v>
      </c>
      <c r="M1600" s="568" t="s">
        <v>4923</v>
      </c>
      <c r="N1600" s="568"/>
      <c r="O1600" s="569"/>
      <c r="P1600" s="14" t="s">
        <v>85</v>
      </c>
      <c r="Q1600" s="10" t="s">
        <v>3171</v>
      </c>
      <c r="R1600" s="14">
        <v>20</v>
      </c>
      <c r="S1600" s="14">
        <f t="shared" si="1448"/>
        <v>3.2</v>
      </c>
      <c r="T1600">
        <f t="shared" si="1643"/>
        <v>100</v>
      </c>
      <c r="U1600">
        <f t="shared" si="1603"/>
        <v>20</v>
      </c>
      <c r="V1600" s="220">
        <f t="shared" si="1644"/>
        <v>20</v>
      </c>
      <c r="W1600" s="14" t="s">
        <v>85</v>
      </c>
      <c r="X1600">
        <f t="shared" si="1584"/>
        <v>20</v>
      </c>
      <c r="Y1600" s="220">
        <f t="shared" ref="Y1600:AA1600" si="1646">X1600</f>
        <v>20</v>
      </c>
      <c r="Z1600" s="220">
        <f t="shared" si="1646"/>
        <v>20</v>
      </c>
      <c r="AA1600" s="792">
        <f t="shared" si="1646"/>
        <v>20</v>
      </c>
      <c r="AB1600" s="18" t="s">
        <v>85</v>
      </c>
      <c r="AC1600" s="13" t="s">
        <v>18</v>
      </c>
      <c r="AD1600" s="13" t="s">
        <v>18</v>
      </c>
      <c r="AE1600" s="12">
        <v>2.0262392565709405E-4</v>
      </c>
      <c r="AF1600" s="12">
        <v>1.0885928720785719E-2</v>
      </c>
      <c r="AG1600" s="12">
        <v>6.2837933649623454E-6</v>
      </c>
      <c r="AH1600" s="12">
        <v>4.6142098112569087E-5</v>
      </c>
    </row>
    <row r="1601" spans="1:34" ht="12.75">
      <c r="A1601" s="14" t="s">
        <v>4920</v>
      </c>
      <c r="B1601" s="24" t="s">
        <v>2768</v>
      </c>
      <c r="C1601" s="14" t="s">
        <v>2861</v>
      </c>
      <c r="D1601" s="14" t="s">
        <v>2911</v>
      </c>
      <c r="E1601" s="14" t="s">
        <v>4921</v>
      </c>
      <c r="F1601" s="13">
        <v>15</v>
      </c>
      <c r="G1601" s="14" t="s">
        <v>2972</v>
      </c>
      <c r="H1601" s="567">
        <v>11935</v>
      </c>
      <c r="I1601" s="14" t="s">
        <v>4921</v>
      </c>
      <c r="J1601" s="14" t="s">
        <v>4922</v>
      </c>
      <c r="K1601" s="478">
        <v>1</v>
      </c>
      <c r="L1601" s="220">
        <v>16</v>
      </c>
      <c r="M1601" s="568" t="s">
        <v>4923</v>
      </c>
      <c r="N1601" s="568"/>
      <c r="O1601" s="569"/>
      <c r="P1601" s="14" t="s">
        <v>2962</v>
      </c>
      <c r="Q1601" s="88" t="s">
        <v>2963</v>
      </c>
      <c r="R1601" s="14">
        <v>28</v>
      </c>
      <c r="S1601" s="14">
        <f t="shared" si="1448"/>
        <v>4.4800000000000004</v>
      </c>
      <c r="T1601">
        <f t="shared" si="1643"/>
        <v>100</v>
      </c>
      <c r="U1601">
        <f t="shared" si="1603"/>
        <v>28</v>
      </c>
      <c r="V1601" s="220">
        <f t="shared" si="1644"/>
        <v>28</v>
      </c>
      <c r="W1601" s="14" t="s">
        <v>425</v>
      </c>
      <c r="X1601">
        <f t="shared" si="1584"/>
        <v>28</v>
      </c>
      <c r="Y1601" s="220">
        <f t="shared" ref="Y1601:AA1601" si="1647">X1601</f>
        <v>28</v>
      </c>
      <c r="Z1601" s="220">
        <f t="shared" si="1647"/>
        <v>28</v>
      </c>
      <c r="AA1601" s="792">
        <f t="shared" si="1647"/>
        <v>28</v>
      </c>
      <c r="AB1601" s="18" t="s">
        <v>425</v>
      </c>
      <c r="AC1601" s="13" t="s">
        <v>2964</v>
      </c>
      <c r="AD1601" s="13" t="s">
        <v>2965</v>
      </c>
      <c r="AE1601" s="12">
        <v>3.8102374934982654E-3</v>
      </c>
      <c r="AF1601" s="12">
        <v>0.20470422547079484</v>
      </c>
      <c r="AG1601" s="12">
        <v>1.210810810810811E-4</v>
      </c>
      <c r="AH1601" s="12">
        <v>1.0002400855855065E-3</v>
      </c>
    </row>
    <row r="1602" spans="1:34" ht="12.75">
      <c r="A1602" s="14" t="s">
        <v>4920</v>
      </c>
      <c r="B1602" s="24" t="s">
        <v>2768</v>
      </c>
      <c r="C1602" s="14" t="s">
        <v>2861</v>
      </c>
      <c r="D1602" s="14" t="s">
        <v>2911</v>
      </c>
      <c r="E1602" s="14" t="s">
        <v>4921</v>
      </c>
      <c r="F1602" s="13">
        <v>15</v>
      </c>
      <c r="G1602" s="14" t="s">
        <v>2972</v>
      </c>
      <c r="H1602" s="567">
        <v>11935</v>
      </c>
      <c r="I1602" s="14" t="s">
        <v>4921</v>
      </c>
      <c r="J1602" s="14" t="s">
        <v>4922</v>
      </c>
      <c r="K1602" s="478">
        <v>1</v>
      </c>
      <c r="L1602" s="220">
        <v>16</v>
      </c>
      <c r="M1602" s="568" t="s">
        <v>4923</v>
      </c>
      <c r="N1602" s="568"/>
      <c r="O1602" s="569"/>
      <c r="P1602" s="14" t="s">
        <v>83</v>
      </c>
      <c r="Q1602" s="527" t="s">
        <v>3430</v>
      </c>
      <c r="R1602" s="14">
        <v>1</v>
      </c>
      <c r="S1602" s="14">
        <f t="shared" si="1448"/>
        <v>0.16</v>
      </c>
      <c r="T1602">
        <f t="shared" si="1643"/>
        <v>100</v>
      </c>
      <c r="U1602">
        <f t="shared" si="1603"/>
        <v>1</v>
      </c>
      <c r="V1602" s="220">
        <f t="shared" si="1644"/>
        <v>1</v>
      </c>
      <c r="W1602" s="14" t="s">
        <v>83</v>
      </c>
      <c r="X1602">
        <f t="shared" si="1584"/>
        <v>1</v>
      </c>
      <c r="Y1602" s="499">
        <f t="shared" ref="Y1602:AA1602" si="1648">X1602</f>
        <v>1</v>
      </c>
      <c r="Z1602" s="220">
        <f t="shared" si="1648"/>
        <v>1</v>
      </c>
      <c r="AA1602" s="792">
        <f t="shared" si="1648"/>
        <v>1</v>
      </c>
      <c r="AB1602" s="831" t="s">
        <v>83</v>
      </c>
      <c r="AC1602" s="14" t="s">
        <v>83</v>
      </c>
      <c r="AD1602" s="14" t="s">
        <v>2951</v>
      </c>
      <c r="AE1602" s="12">
        <v>0</v>
      </c>
      <c r="AF1602" s="12">
        <v>0</v>
      </c>
      <c r="AG1602" s="12">
        <v>0</v>
      </c>
      <c r="AH1602" s="12">
        <v>0</v>
      </c>
    </row>
    <row r="1603" spans="1:34" ht="12.75">
      <c r="A1603" s="617" t="s">
        <v>4920</v>
      </c>
      <c r="B1603" s="794" t="s">
        <v>2768</v>
      </c>
      <c r="C1603" s="617" t="s">
        <v>2861</v>
      </c>
      <c r="D1603" s="617" t="s">
        <v>2911</v>
      </c>
      <c r="E1603" s="617" t="s">
        <v>4921</v>
      </c>
      <c r="F1603" s="799">
        <v>15</v>
      </c>
      <c r="G1603" s="617" t="s">
        <v>2972</v>
      </c>
      <c r="H1603" s="910">
        <v>11935</v>
      </c>
      <c r="I1603" s="617" t="s">
        <v>4921</v>
      </c>
      <c r="J1603" s="617" t="s">
        <v>4922</v>
      </c>
      <c r="K1603" s="838">
        <v>1</v>
      </c>
      <c r="L1603" s="725">
        <v>16</v>
      </c>
      <c r="M1603" s="911" t="s">
        <v>4923</v>
      </c>
      <c r="N1603" s="911"/>
      <c r="O1603" s="912"/>
      <c r="P1603" s="617" t="s">
        <v>2584</v>
      </c>
      <c r="Q1603" s="856" t="s">
        <v>3423</v>
      </c>
      <c r="R1603" s="617">
        <v>1</v>
      </c>
      <c r="S1603" s="617">
        <f t="shared" si="1448"/>
        <v>0.16</v>
      </c>
      <c r="T1603" s="617">
        <f>SUM(R1599:R1603)</f>
        <v>100</v>
      </c>
      <c r="U1603" s="617">
        <f t="shared" si="1603"/>
        <v>1</v>
      </c>
      <c r="V1603" s="725">
        <f t="shared" si="1644"/>
        <v>1</v>
      </c>
      <c r="W1603" s="617" t="s">
        <v>4925</v>
      </c>
      <c r="X1603" s="617">
        <f t="shared" si="1584"/>
        <v>1</v>
      </c>
      <c r="Y1603" s="862">
        <f t="shared" ref="Y1603:AA1603" si="1649">X1603</f>
        <v>1</v>
      </c>
      <c r="Z1603" s="725">
        <f t="shared" si="1649"/>
        <v>1</v>
      </c>
      <c r="AA1603" s="455">
        <f t="shared" si="1649"/>
        <v>1</v>
      </c>
      <c r="AB1603" s="793" t="s">
        <v>482</v>
      </c>
      <c r="AC1603" s="799" t="s">
        <v>3424</v>
      </c>
      <c r="AD1603" s="799" t="s">
        <v>3425</v>
      </c>
      <c r="AE1603" s="635">
        <v>4.7754773653722405E-4</v>
      </c>
      <c r="AF1603" s="635">
        <v>9.9048845026103102E-3</v>
      </c>
      <c r="AG1603" s="635">
        <v>1.1598405219282348E-5</v>
      </c>
      <c r="AH1603" s="635">
        <v>9.908404494382022E-5</v>
      </c>
    </row>
    <row r="1604" spans="1:34" ht="12.75">
      <c r="A1604" s="617" t="s">
        <v>4926</v>
      </c>
      <c r="B1604" s="799" t="s">
        <v>2768</v>
      </c>
      <c r="C1604" s="617" t="s">
        <v>2863</v>
      </c>
      <c r="D1604" s="617" t="s">
        <v>2911</v>
      </c>
      <c r="E1604" s="617" t="s">
        <v>236</v>
      </c>
      <c r="F1604" s="799">
        <v>7</v>
      </c>
      <c r="G1604" s="617" t="s">
        <v>4927</v>
      </c>
      <c r="H1604" s="910">
        <v>12220</v>
      </c>
      <c r="I1604" s="617" t="s">
        <v>236</v>
      </c>
      <c r="J1604" s="617" t="s">
        <v>4928</v>
      </c>
      <c r="K1604" s="838">
        <v>1</v>
      </c>
      <c r="L1604" s="725">
        <v>7</v>
      </c>
      <c r="M1604" s="911" t="s">
        <v>4929</v>
      </c>
      <c r="N1604" s="911"/>
      <c r="O1604" s="912"/>
      <c r="P1604" s="617" t="s">
        <v>236</v>
      </c>
      <c r="Q1604" s="617" t="s">
        <v>4194</v>
      </c>
      <c r="R1604" s="617">
        <v>100</v>
      </c>
      <c r="S1604" s="617">
        <f t="shared" si="1448"/>
        <v>7</v>
      </c>
      <c r="T1604" s="617">
        <f t="shared" ref="T1604:T1606" si="1650">R1604</f>
        <v>100</v>
      </c>
      <c r="U1604" s="617">
        <f t="shared" ref="U1604:V1604" si="1651">T1604</f>
        <v>100</v>
      </c>
      <c r="V1604" s="725">
        <f t="shared" si="1651"/>
        <v>100</v>
      </c>
      <c r="W1604" s="617" t="s">
        <v>236</v>
      </c>
      <c r="X1604" s="617">
        <f t="shared" si="1584"/>
        <v>100</v>
      </c>
      <c r="Y1604" s="725">
        <f t="shared" ref="Y1604:AA1604" si="1652">X1604</f>
        <v>100</v>
      </c>
      <c r="Z1604" s="725">
        <f t="shared" si="1652"/>
        <v>100</v>
      </c>
      <c r="AA1604" s="455">
        <f t="shared" si="1652"/>
        <v>100</v>
      </c>
      <c r="AB1604" s="793" t="s">
        <v>236</v>
      </c>
      <c r="AC1604" s="799"/>
      <c r="AD1604" s="799"/>
      <c r="AE1604" s="12">
        <v>5.0851930036188197E-3</v>
      </c>
      <c r="AF1604" s="12">
        <v>5.9995417730640897E-2</v>
      </c>
      <c r="AG1604" s="12">
        <v>3.4699999999999998E-4</v>
      </c>
      <c r="AH1604" s="12">
        <v>2.9762429672480995E-4</v>
      </c>
    </row>
    <row r="1605" spans="1:34" ht="12.75">
      <c r="A1605" s="753" t="s">
        <v>4930</v>
      </c>
      <c r="B1605" s="805" t="s">
        <v>2768</v>
      </c>
      <c r="C1605" s="753" t="s">
        <v>2864</v>
      </c>
      <c r="D1605" s="753" t="s">
        <v>2911</v>
      </c>
      <c r="E1605" s="753" t="s">
        <v>3426</v>
      </c>
      <c r="F1605" s="805">
        <v>1</v>
      </c>
      <c r="G1605" s="753" t="s">
        <v>4931</v>
      </c>
      <c r="H1605" s="921">
        <v>2020</v>
      </c>
      <c r="I1605" s="753" t="s">
        <v>3426</v>
      </c>
      <c r="J1605" s="753" t="s">
        <v>4932</v>
      </c>
      <c r="K1605" s="864">
        <v>1</v>
      </c>
      <c r="L1605" s="865">
        <v>1</v>
      </c>
      <c r="M1605" s="922" t="s">
        <v>4933</v>
      </c>
      <c r="N1605" s="922"/>
      <c r="O1605" s="923"/>
      <c r="P1605" s="753" t="s">
        <v>3426</v>
      </c>
      <c r="Q1605" s="753" t="s">
        <v>3427</v>
      </c>
      <c r="R1605" s="753">
        <v>100</v>
      </c>
      <c r="S1605" s="753">
        <f t="shared" si="1448"/>
        <v>1</v>
      </c>
      <c r="T1605" s="753">
        <f t="shared" si="1650"/>
        <v>100</v>
      </c>
      <c r="U1605" s="753">
        <f t="shared" ref="U1605:V1605" si="1653">T1605</f>
        <v>100</v>
      </c>
      <c r="V1605" s="865">
        <f t="shared" si="1653"/>
        <v>100</v>
      </c>
      <c r="W1605" s="753" t="s">
        <v>465</v>
      </c>
      <c r="X1605" s="753">
        <f t="shared" si="1584"/>
        <v>100</v>
      </c>
      <c r="Y1605" s="865">
        <f t="shared" ref="Y1605:AA1605" si="1654">X1605</f>
        <v>100</v>
      </c>
      <c r="Z1605" s="865">
        <f t="shared" si="1654"/>
        <v>100</v>
      </c>
      <c r="AA1605" s="807">
        <f t="shared" si="1654"/>
        <v>100</v>
      </c>
      <c r="AB1605" s="806" t="s">
        <v>462</v>
      </c>
      <c r="AC1605" s="805" t="s">
        <v>3428</v>
      </c>
      <c r="AD1605" s="805" t="s">
        <v>3429</v>
      </c>
      <c r="AE1605" s="800">
        <v>1.6146898803046799E-3</v>
      </c>
      <c r="AF1605" s="800">
        <v>2.6750090678273501E-2</v>
      </c>
      <c r="AG1605" s="800">
        <v>9.3103448275862075E-5</v>
      </c>
      <c r="AH1605" s="800">
        <v>1.0896397701149426E-3</v>
      </c>
    </row>
    <row r="1606" spans="1:34" ht="12.75">
      <c r="A1606" s="753" t="s">
        <v>4934</v>
      </c>
      <c r="B1606" s="805" t="s">
        <v>2768</v>
      </c>
      <c r="C1606" s="753" t="s">
        <v>2865</v>
      </c>
      <c r="D1606" s="753" t="s">
        <v>2911</v>
      </c>
      <c r="E1606" s="753" t="s">
        <v>4935</v>
      </c>
      <c r="F1606" s="805">
        <v>13.5</v>
      </c>
      <c r="G1606" s="753" t="s">
        <v>2972</v>
      </c>
      <c r="H1606" s="805" t="s">
        <v>1624</v>
      </c>
      <c r="I1606" s="753" t="s">
        <v>3117</v>
      </c>
      <c r="J1606" s="753" t="s">
        <v>4936</v>
      </c>
      <c r="K1606" s="864">
        <v>1</v>
      </c>
      <c r="L1606" s="865">
        <v>13.5</v>
      </c>
      <c r="M1606" s="944" t="s">
        <v>1624</v>
      </c>
      <c r="N1606" s="944"/>
      <c r="O1606" s="945"/>
      <c r="P1606" s="753" t="s">
        <v>3431</v>
      </c>
      <c r="Q1606" s="753" t="s">
        <v>4937</v>
      </c>
      <c r="R1606" s="753">
        <v>100</v>
      </c>
      <c r="S1606" s="753">
        <f t="shared" si="1448"/>
        <v>13.5</v>
      </c>
      <c r="T1606" s="753">
        <f t="shared" si="1650"/>
        <v>100</v>
      </c>
      <c r="U1606" s="753">
        <f t="shared" ref="U1606:V1606" si="1655">T1606</f>
        <v>100</v>
      </c>
      <c r="V1606" s="865">
        <f t="shared" si="1655"/>
        <v>100</v>
      </c>
      <c r="W1606" s="753" t="s">
        <v>325</v>
      </c>
      <c r="X1606" s="753">
        <f>V1606</f>
        <v>100</v>
      </c>
      <c r="Y1606" s="865">
        <f t="shared" ref="Y1606:AA1606" si="1656">X1606</f>
        <v>100</v>
      </c>
      <c r="Z1606" s="865">
        <f t="shared" si="1656"/>
        <v>100</v>
      </c>
      <c r="AA1606" s="807">
        <f t="shared" si="1656"/>
        <v>100</v>
      </c>
      <c r="AB1606" s="806" t="s">
        <v>325</v>
      </c>
      <c r="AC1606" s="805" t="s">
        <v>3118</v>
      </c>
      <c r="AD1606" s="805" t="s">
        <v>3119</v>
      </c>
      <c r="AE1606" s="804">
        <v>1.0908510307875098E-2</v>
      </c>
      <c r="AF1606" s="804">
        <v>0.10414261699680899</v>
      </c>
      <c r="AG1606" s="804">
        <v>2.2359865447154469E-3</v>
      </c>
      <c r="AH1606" s="804">
        <v>1.4E-3</v>
      </c>
    </row>
    <row r="1607" spans="1:34" ht="12.75">
      <c r="A1607" s="14" t="s">
        <v>4938</v>
      </c>
      <c r="B1607" s="24" t="s">
        <v>2768</v>
      </c>
      <c r="C1607" s="14" t="s">
        <v>2866</v>
      </c>
      <c r="D1607" s="14" t="s">
        <v>2911</v>
      </c>
      <c r="E1607" s="14" t="s">
        <v>4939</v>
      </c>
      <c r="F1607" s="13">
        <v>15.31</v>
      </c>
      <c r="G1607" s="14" t="s">
        <v>2972</v>
      </c>
      <c r="H1607" s="567">
        <v>4641</v>
      </c>
      <c r="I1607" s="14" t="s">
        <v>4939</v>
      </c>
      <c r="J1607" s="14" t="s">
        <v>4940</v>
      </c>
      <c r="K1607" s="478">
        <v>0.69</v>
      </c>
      <c r="L1607" s="220">
        <v>10.35</v>
      </c>
      <c r="M1607" s="568" t="s">
        <v>4941</v>
      </c>
      <c r="N1607" s="568" t="s">
        <v>4942</v>
      </c>
      <c r="O1607" s="569" t="s">
        <v>4913</v>
      </c>
      <c r="P1607" s="14" t="s">
        <v>2938</v>
      </c>
      <c r="Q1607" s="14" t="s">
        <v>2939</v>
      </c>
      <c r="R1607" s="14">
        <v>56</v>
      </c>
      <c r="S1607" s="14">
        <f t="shared" si="1448"/>
        <v>5.7960000000000003</v>
      </c>
      <c r="T1607">
        <f t="shared" ref="T1607:T1615" si="1657">SUM(R$1607:R$1616)</f>
        <v>100.6</v>
      </c>
      <c r="U1607">
        <f t="shared" ref="U1607:U1647" si="1658">R1607*100/T1607</f>
        <v>55.666003976143145</v>
      </c>
      <c r="V1607" s="470">
        <f>U1607</f>
        <v>55.666003976143145</v>
      </c>
      <c r="W1607" s="515" t="s">
        <v>72</v>
      </c>
      <c r="X1607" s="515">
        <f t="shared" ref="X1607:X1651" si="1659">V1607*K1607</f>
        <v>38.409542743538765</v>
      </c>
      <c r="Y1607" s="470">
        <f>SUM(X1607,X1617)</f>
        <v>62.280510485474245</v>
      </c>
      <c r="Z1607" s="470">
        <f t="shared" ref="Z1607:AA1607" si="1660">Y1607</f>
        <v>62.280510485474245</v>
      </c>
      <c r="AA1607" s="810">
        <f t="shared" si="1660"/>
        <v>62.280510485474245</v>
      </c>
      <c r="AB1607" s="811" t="s">
        <v>72</v>
      </c>
      <c r="AC1607" s="469" t="s">
        <v>2938</v>
      </c>
      <c r="AD1607" s="469" t="s">
        <v>2940</v>
      </c>
      <c r="AE1607" s="457">
        <v>0</v>
      </c>
      <c r="AF1607" s="457">
        <v>0</v>
      </c>
      <c r="AG1607" s="457">
        <v>0</v>
      </c>
      <c r="AH1607" s="457">
        <v>0</v>
      </c>
    </row>
    <row r="1608" spans="1:34" ht="12.75">
      <c r="A1608" s="14" t="s">
        <v>4938</v>
      </c>
      <c r="B1608" s="24" t="s">
        <v>2768</v>
      </c>
      <c r="C1608" s="14" t="s">
        <v>2866</v>
      </c>
      <c r="D1608" s="14" t="s">
        <v>2911</v>
      </c>
      <c r="E1608" s="14" t="s">
        <v>4939</v>
      </c>
      <c r="F1608" s="13">
        <v>15.31</v>
      </c>
      <c r="G1608" s="14" t="s">
        <v>2972</v>
      </c>
      <c r="H1608" s="567">
        <v>4641</v>
      </c>
      <c r="I1608" s="14" t="s">
        <v>4939</v>
      </c>
      <c r="J1608" s="14" t="s">
        <v>4940</v>
      </c>
      <c r="K1608" s="478">
        <v>0.69</v>
      </c>
      <c r="L1608" s="220">
        <v>10.35</v>
      </c>
      <c r="M1608" s="568" t="s">
        <v>4941</v>
      </c>
      <c r="N1608" s="568" t="s">
        <v>4942</v>
      </c>
      <c r="O1608" s="569" t="s">
        <v>4913</v>
      </c>
      <c r="P1608" s="14" t="s">
        <v>3021</v>
      </c>
      <c r="Q1608" s="486" t="s">
        <v>3022</v>
      </c>
      <c r="R1608" s="14">
        <v>21.8</v>
      </c>
      <c r="S1608" s="14">
        <f t="shared" si="1448"/>
        <v>2.2563</v>
      </c>
      <c r="T1608">
        <f t="shared" si="1657"/>
        <v>100.6</v>
      </c>
      <c r="U1608">
        <f t="shared" si="1658"/>
        <v>21.669980119284297</v>
      </c>
      <c r="V1608" s="220">
        <f t="shared" ref="V1608:V1616" si="1661">U1608*100/SUM(U$1608:U$1616)</f>
        <v>48.878923766816136</v>
      </c>
      <c r="W1608" s="14" t="s">
        <v>346</v>
      </c>
      <c r="X1608">
        <f t="shared" si="1659"/>
        <v>33.726457399103133</v>
      </c>
      <c r="Y1608" s="220">
        <f t="shared" ref="Y1608:AA1608" si="1662">X1608</f>
        <v>33.726457399103133</v>
      </c>
      <c r="Z1608" s="220">
        <f t="shared" si="1662"/>
        <v>33.726457399103133</v>
      </c>
      <c r="AA1608" s="792">
        <f t="shared" si="1662"/>
        <v>33.726457399103133</v>
      </c>
      <c r="AB1608" s="18" t="s">
        <v>346</v>
      </c>
      <c r="AC1608" s="13" t="s">
        <v>2982</v>
      </c>
      <c r="AD1608" s="13" t="s">
        <v>2983</v>
      </c>
      <c r="AE1608" s="12">
        <v>2.9691872042618299E-2</v>
      </c>
      <c r="AF1608" s="12">
        <v>7.5368545517799299E-2</v>
      </c>
      <c r="AG1608" s="12">
        <v>2.9014018691588786E-4</v>
      </c>
      <c r="AH1608" s="12">
        <v>1.4770983615231311E-3</v>
      </c>
    </row>
    <row r="1609" spans="1:34" ht="12.75">
      <c r="A1609" s="14" t="s">
        <v>4938</v>
      </c>
      <c r="B1609" s="24" t="s">
        <v>2768</v>
      </c>
      <c r="C1609" s="14" t="s">
        <v>2866</v>
      </c>
      <c r="D1609" s="14" t="s">
        <v>2911</v>
      </c>
      <c r="E1609" s="14" t="s">
        <v>4939</v>
      </c>
      <c r="F1609" s="13">
        <v>15.31</v>
      </c>
      <c r="G1609" s="14" t="s">
        <v>2972</v>
      </c>
      <c r="H1609" s="567">
        <v>4641</v>
      </c>
      <c r="I1609" s="14" t="s">
        <v>4939</v>
      </c>
      <c r="J1609" s="14" t="s">
        <v>4940</v>
      </c>
      <c r="K1609" s="478">
        <v>0.69</v>
      </c>
      <c r="L1609" s="220">
        <v>10.35</v>
      </c>
      <c r="M1609" s="568" t="s">
        <v>4941</v>
      </c>
      <c r="N1609" s="568" t="s">
        <v>4942</v>
      </c>
      <c r="O1609" s="569" t="s">
        <v>4913</v>
      </c>
      <c r="P1609" s="14" t="s">
        <v>85</v>
      </c>
      <c r="Q1609" s="10" t="s">
        <v>3171</v>
      </c>
      <c r="R1609" s="14">
        <v>7</v>
      </c>
      <c r="S1609" s="14">
        <f t="shared" si="1448"/>
        <v>0.72450000000000003</v>
      </c>
      <c r="T1609">
        <f t="shared" si="1657"/>
        <v>100.6</v>
      </c>
      <c r="U1609">
        <f t="shared" si="1658"/>
        <v>6.9582504970178931</v>
      </c>
      <c r="V1609" s="220">
        <f t="shared" si="1661"/>
        <v>15.695067264573989</v>
      </c>
      <c r="W1609" s="14" t="s">
        <v>85</v>
      </c>
      <c r="X1609">
        <f t="shared" si="1659"/>
        <v>10.829596412556052</v>
      </c>
      <c r="Y1609" s="220">
        <f t="shared" ref="Y1609:AA1609" si="1663">X1609</f>
        <v>10.829596412556052</v>
      </c>
      <c r="Z1609" s="220">
        <f t="shared" si="1663"/>
        <v>10.829596412556052</v>
      </c>
      <c r="AA1609" s="792">
        <f t="shared" si="1663"/>
        <v>10.829596412556052</v>
      </c>
      <c r="AB1609" s="18" t="s">
        <v>85</v>
      </c>
      <c r="AC1609" s="13" t="s">
        <v>18</v>
      </c>
      <c r="AD1609" s="13" t="s">
        <v>18</v>
      </c>
      <c r="AE1609" s="12">
        <v>2.0262392565709405E-4</v>
      </c>
      <c r="AF1609" s="12">
        <v>1.0885928720785719E-2</v>
      </c>
      <c r="AG1609" s="12">
        <v>6.2837933649623454E-6</v>
      </c>
      <c r="AH1609" s="12">
        <v>4.6142098112569087E-5</v>
      </c>
    </row>
    <row r="1610" spans="1:34" ht="12.75">
      <c r="A1610" s="14" t="s">
        <v>4938</v>
      </c>
      <c r="B1610" s="24" t="s">
        <v>2768</v>
      </c>
      <c r="C1610" s="14" t="s">
        <v>2866</v>
      </c>
      <c r="D1610" s="14" t="s">
        <v>2911</v>
      </c>
      <c r="E1610" s="14" t="s">
        <v>4939</v>
      </c>
      <c r="F1610" s="13">
        <v>15.31</v>
      </c>
      <c r="G1610" s="14" t="s">
        <v>2972</v>
      </c>
      <c r="H1610" s="567">
        <v>4641</v>
      </c>
      <c r="I1610" s="14" t="s">
        <v>4939</v>
      </c>
      <c r="J1610" s="14" t="s">
        <v>4940</v>
      </c>
      <c r="K1610" s="478">
        <v>0.69</v>
      </c>
      <c r="L1610" s="220">
        <v>10.35</v>
      </c>
      <c r="M1610" s="568" t="s">
        <v>4941</v>
      </c>
      <c r="N1610" s="568" t="s">
        <v>4942</v>
      </c>
      <c r="O1610" s="569" t="s">
        <v>4913</v>
      </c>
      <c r="P1610" s="655" t="s">
        <v>2977</v>
      </c>
      <c r="Q1610" s="553" t="s">
        <v>2978</v>
      </c>
      <c r="R1610" s="14">
        <v>6</v>
      </c>
      <c r="S1610" s="14">
        <f t="shared" si="1448"/>
        <v>0.621</v>
      </c>
      <c r="T1610">
        <f t="shared" si="1657"/>
        <v>100.6</v>
      </c>
      <c r="U1610">
        <f t="shared" si="1658"/>
        <v>5.9642147117296229</v>
      </c>
      <c r="V1610" s="220">
        <f t="shared" si="1661"/>
        <v>13.452914798206276</v>
      </c>
      <c r="W1610" s="14" t="s">
        <v>227</v>
      </c>
      <c r="X1610">
        <f t="shared" si="1659"/>
        <v>9.2825112107623298</v>
      </c>
      <c r="Y1610" s="220">
        <f>SUM(X1610,X1614,X1619,X1621)</f>
        <v>21.422143538339789</v>
      </c>
      <c r="Z1610" s="220">
        <f>SUM(X1610,X1619)</f>
        <v>14.893370939269117</v>
      </c>
      <c r="AA1610" s="792">
        <f>Z1610</f>
        <v>14.893370939269117</v>
      </c>
      <c r="AB1610" s="18" t="s">
        <v>227</v>
      </c>
      <c r="AC1610" s="13" t="s">
        <v>55</v>
      </c>
      <c r="AD1610" s="13" t="s">
        <v>2979</v>
      </c>
      <c r="AE1610" s="12">
        <v>2.5055367220000002E-3</v>
      </c>
      <c r="AF1610" s="12">
        <v>3.8459841414181101E-2</v>
      </c>
      <c r="AG1610" s="12">
        <v>1.1035422343324251E-4</v>
      </c>
      <c r="AH1610" s="12">
        <v>8.109653861711444E-4</v>
      </c>
    </row>
    <row r="1611" spans="1:34" ht="12.75">
      <c r="A1611" s="14" t="s">
        <v>4938</v>
      </c>
      <c r="B1611" s="24" t="s">
        <v>2768</v>
      </c>
      <c r="C1611" s="14" t="s">
        <v>2866</v>
      </c>
      <c r="D1611" s="14" t="s">
        <v>2911</v>
      </c>
      <c r="E1611" s="14" t="s">
        <v>4939</v>
      </c>
      <c r="F1611" s="13">
        <v>15.31</v>
      </c>
      <c r="G1611" s="14" t="s">
        <v>2972</v>
      </c>
      <c r="H1611" s="567">
        <v>4641</v>
      </c>
      <c r="I1611" s="14" t="s">
        <v>4939</v>
      </c>
      <c r="J1611" s="14" t="s">
        <v>4940</v>
      </c>
      <c r="K1611" s="478">
        <v>0.69</v>
      </c>
      <c r="L1611" s="220">
        <v>10.35</v>
      </c>
      <c r="M1611" s="568" t="s">
        <v>4941</v>
      </c>
      <c r="N1611" s="568" t="s">
        <v>4942</v>
      </c>
      <c r="O1611" s="569" t="s">
        <v>4913</v>
      </c>
      <c r="P1611" s="14" t="s">
        <v>139</v>
      </c>
      <c r="Q1611" s="14" t="s">
        <v>3020</v>
      </c>
      <c r="R1611" s="14">
        <v>1.5</v>
      </c>
      <c r="S1611" s="14">
        <f t="shared" si="1448"/>
        <v>0.15525</v>
      </c>
      <c r="T1611">
        <f t="shared" si="1657"/>
        <v>100.6</v>
      </c>
      <c r="U1611">
        <f t="shared" si="1658"/>
        <v>1.4910536779324057</v>
      </c>
      <c r="V1611" s="220">
        <f t="shared" si="1661"/>
        <v>3.363228699551569</v>
      </c>
      <c r="W1611" s="14" t="s">
        <v>139</v>
      </c>
      <c r="X1611">
        <f t="shared" si="1659"/>
        <v>2.3206278026905824</v>
      </c>
      <c r="Y1611" s="220">
        <f>SUM(X1611,X1612,X1620)</f>
        <v>5.2704279366110001</v>
      </c>
      <c r="Z1611" s="220">
        <f t="shared" ref="Z1611:AA1611" si="1664">Y1611</f>
        <v>5.2704279366110001</v>
      </c>
      <c r="AA1611" s="792">
        <f t="shared" si="1664"/>
        <v>5.2704279366110001</v>
      </c>
      <c r="AB1611" s="18" t="s">
        <v>2867</v>
      </c>
      <c r="AC1611" s="13" t="s">
        <v>138</v>
      </c>
      <c r="AD1611" s="13" t="s">
        <v>3019</v>
      </c>
      <c r="AE1611" s="12">
        <v>4.0165275294130297E-3</v>
      </c>
      <c r="AF1611" s="12">
        <v>3.2725331200335404E-2</v>
      </c>
      <c r="AG1611" s="12">
        <v>2.4399999999999999E-4</v>
      </c>
      <c r="AH1611" s="12">
        <v>2.0392735E-3</v>
      </c>
    </row>
    <row r="1612" spans="1:34" ht="12.75">
      <c r="A1612" s="14" t="s">
        <v>4938</v>
      </c>
      <c r="B1612" s="24" t="s">
        <v>2768</v>
      </c>
      <c r="C1612" s="14" t="s">
        <v>2866</v>
      </c>
      <c r="D1612" s="14" t="s">
        <v>2911</v>
      </c>
      <c r="E1612" s="14" t="s">
        <v>4939</v>
      </c>
      <c r="F1612" s="13">
        <v>15.31</v>
      </c>
      <c r="G1612" s="14" t="s">
        <v>2972</v>
      </c>
      <c r="H1612" s="567">
        <v>4641</v>
      </c>
      <c r="I1612" s="14" t="s">
        <v>4939</v>
      </c>
      <c r="J1612" s="14" t="s">
        <v>4940</v>
      </c>
      <c r="K1612" s="478">
        <v>0.69</v>
      </c>
      <c r="L1612" s="220">
        <v>10.35</v>
      </c>
      <c r="M1612" s="568" t="s">
        <v>4941</v>
      </c>
      <c r="N1612" s="568" t="s">
        <v>4942</v>
      </c>
      <c r="O1612" s="569" t="s">
        <v>4913</v>
      </c>
      <c r="P1612" s="14" t="s">
        <v>3017</v>
      </c>
      <c r="Q1612" s="486" t="s">
        <v>3018</v>
      </c>
      <c r="R1612" s="14">
        <v>1</v>
      </c>
      <c r="S1612" s="14">
        <f t="shared" si="1448"/>
        <v>0.10349999999999999</v>
      </c>
      <c r="T1612">
        <f t="shared" si="1657"/>
        <v>100.6</v>
      </c>
      <c r="U1612">
        <f t="shared" si="1658"/>
        <v>0.99403578528827041</v>
      </c>
      <c r="V1612" s="220">
        <f t="shared" si="1661"/>
        <v>2.2421524663677124</v>
      </c>
      <c r="W1612" s="14" t="s">
        <v>2792</v>
      </c>
      <c r="X1612">
        <f t="shared" si="1659"/>
        <v>1.5470852017937213</v>
      </c>
      <c r="Y1612" s="220" t="s">
        <v>1666</v>
      </c>
      <c r="Z1612" s="220" t="s">
        <v>1666</v>
      </c>
      <c r="AA1612" s="779" t="s">
        <v>1666</v>
      </c>
      <c r="AB1612" s="831" t="str">
        <f t="shared" ref="AB1612:AH1612" si="1665">AA1612</f>
        <v>*</v>
      </c>
      <c r="AC1612" s="831" t="str">
        <f t="shared" si="1665"/>
        <v>*</v>
      </c>
      <c r="AD1612" s="831" t="str">
        <f t="shared" si="1665"/>
        <v>*</v>
      </c>
      <c r="AE1612" s="831" t="str">
        <f t="shared" si="1665"/>
        <v>*</v>
      </c>
      <c r="AF1612" s="831" t="str">
        <f t="shared" si="1665"/>
        <v>*</v>
      </c>
      <c r="AG1612" s="831" t="str">
        <f t="shared" si="1665"/>
        <v>*</v>
      </c>
      <c r="AH1612" s="831" t="str">
        <f t="shared" si="1665"/>
        <v>*</v>
      </c>
    </row>
    <row r="1613" spans="1:34" ht="12.75">
      <c r="A1613" s="14" t="s">
        <v>4938</v>
      </c>
      <c r="B1613" s="24" t="s">
        <v>2768</v>
      </c>
      <c r="C1613" s="14" t="s">
        <v>2866</v>
      </c>
      <c r="D1613" s="14" t="s">
        <v>2911</v>
      </c>
      <c r="E1613" s="14" t="s">
        <v>4939</v>
      </c>
      <c r="F1613" s="13">
        <v>15.31</v>
      </c>
      <c r="G1613" s="14" t="s">
        <v>2972</v>
      </c>
      <c r="H1613" s="567">
        <v>4641</v>
      </c>
      <c r="I1613" s="14" t="s">
        <v>4939</v>
      </c>
      <c r="J1613" s="14" t="s">
        <v>4940</v>
      </c>
      <c r="K1613" s="478">
        <v>0.69</v>
      </c>
      <c r="L1613" s="220">
        <v>10.35</v>
      </c>
      <c r="M1613" s="568" t="s">
        <v>4941</v>
      </c>
      <c r="N1613" s="568" t="s">
        <v>4942</v>
      </c>
      <c r="O1613" s="569" t="s">
        <v>4913</v>
      </c>
      <c r="P1613" s="14" t="s">
        <v>2945</v>
      </c>
      <c r="Q1613" s="14" t="s">
        <v>2946</v>
      </c>
      <c r="R1613" s="14">
        <v>2.2999999999999998</v>
      </c>
      <c r="S1613" s="14">
        <f t="shared" si="1448"/>
        <v>0.23804999999999998</v>
      </c>
      <c r="T1613">
        <f t="shared" si="1657"/>
        <v>100.6</v>
      </c>
      <c r="U1613">
        <f t="shared" si="1658"/>
        <v>2.2862823061630215</v>
      </c>
      <c r="V1613" s="220">
        <f t="shared" si="1661"/>
        <v>5.1569506726457375</v>
      </c>
      <c r="W1613" s="14" t="s">
        <v>433</v>
      </c>
      <c r="X1613">
        <f t="shared" si="1659"/>
        <v>3.5582959641255587</v>
      </c>
      <c r="Y1613" s="220">
        <f>SUM(X1613,X1618)</f>
        <v>11.97458555688574</v>
      </c>
      <c r="Z1613" s="220">
        <f t="shared" ref="Z1613:AA1613" si="1666">Y1613</f>
        <v>11.97458555688574</v>
      </c>
      <c r="AA1613" s="792">
        <f t="shared" si="1666"/>
        <v>11.97458555688574</v>
      </c>
      <c r="AB1613" s="18" t="s">
        <v>433</v>
      </c>
      <c r="AC1613" s="13" t="s">
        <v>433</v>
      </c>
      <c r="AD1613" s="13" t="s">
        <v>2947</v>
      </c>
      <c r="AE1613" s="12">
        <v>3.0104466724907065E-4</v>
      </c>
      <c r="AF1613" s="12">
        <v>1.2500000000000001E-2</v>
      </c>
      <c r="AG1613" s="12">
        <v>5.1818181818181835E-4</v>
      </c>
      <c r="AH1613" s="12">
        <v>4.0084080366977777E-4</v>
      </c>
    </row>
    <row r="1614" spans="1:34" ht="12.75">
      <c r="A1614" s="14" t="s">
        <v>4938</v>
      </c>
      <c r="B1614" s="24" t="s">
        <v>2768</v>
      </c>
      <c r="C1614" s="14" t="s">
        <v>2866</v>
      </c>
      <c r="D1614" s="14" t="s">
        <v>2911</v>
      </c>
      <c r="E1614" s="14" t="s">
        <v>4939</v>
      </c>
      <c r="F1614" s="13">
        <v>15.31</v>
      </c>
      <c r="G1614" s="14" t="s">
        <v>2972</v>
      </c>
      <c r="H1614" s="567">
        <v>4641</v>
      </c>
      <c r="I1614" s="14" t="s">
        <v>4939</v>
      </c>
      <c r="J1614" s="14" t="s">
        <v>4940</v>
      </c>
      <c r="K1614" s="478">
        <v>0.69</v>
      </c>
      <c r="L1614" s="220">
        <v>10.35</v>
      </c>
      <c r="M1614" s="568" t="s">
        <v>4941</v>
      </c>
      <c r="N1614" s="568" t="s">
        <v>4942</v>
      </c>
      <c r="O1614" s="569" t="s">
        <v>4913</v>
      </c>
      <c r="P1614" s="14" t="s">
        <v>2962</v>
      </c>
      <c r="Q1614" s="88" t="s">
        <v>2963</v>
      </c>
      <c r="R1614" s="14">
        <v>1.5</v>
      </c>
      <c r="S1614" s="14">
        <f t="shared" si="1448"/>
        <v>0.15525</v>
      </c>
      <c r="T1614">
        <f t="shared" si="1657"/>
        <v>100.6</v>
      </c>
      <c r="U1614">
        <f t="shared" si="1658"/>
        <v>1.4910536779324057</v>
      </c>
      <c r="V1614" s="220">
        <f t="shared" si="1661"/>
        <v>3.363228699551569</v>
      </c>
      <c r="W1614" s="14" t="s">
        <v>425</v>
      </c>
      <c r="X1614">
        <f t="shared" si="1659"/>
        <v>2.3206278026905824</v>
      </c>
      <c r="Y1614" s="220" t="s">
        <v>1666</v>
      </c>
      <c r="Z1614" s="220">
        <f>SUM(X1614,X1621)</f>
        <v>6.5287725990706731</v>
      </c>
      <c r="AA1614" s="792">
        <f>Z1614</f>
        <v>6.5287725990706731</v>
      </c>
      <c r="AB1614" s="18" t="s">
        <v>425</v>
      </c>
      <c r="AC1614" s="13" t="s">
        <v>2964</v>
      </c>
      <c r="AD1614" s="13" t="s">
        <v>2965</v>
      </c>
      <c r="AE1614" s="12">
        <v>3.8102374934982654E-3</v>
      </c>
      <c r="AF1614" s="12">
        <v>0.20470422547079484</v>
      </c>
      <c r="AG1614" s="12">
        <v>1.210810810810811E-4</v>
      </c>
      <c r="AH1614" s="12">
        <v>1.0002400855855065E-3</v>
      </c>
    </row>
    <row r="1615" spans="1:34" ht="12.75">
      <c r="A1615" s="14" t="s">
        <v>4938</v>
      </c>
      <c r="B1615" s="24" t="s">
        <v>2768</v>
      </c>
      <c r="C1615" s="14" t="s">
        <v>2866</v>
      </c>
      <c r="D1615" s="14" t="s">
        <v>2911</v>
      </c>
      <c r="E1615" s="14" t="s">
        <v>4939</v>
      </c>
      <c r="F1615" s="13">
        <v>15.31</v>
      </c>
      <c r="G1615" s="14" t="s">
        <v>2972</v>
      </c>
      <c r="H1615" s="567">
        <v>4641</v>
      </c>
      <c r="I1615" s="14" t="s">
        <v>4939</v>
      </c>
      <c r="J1615" s="14" t="s">
        <v>4940</v>
      </c>
      <c r="K1615" s="478">
        <v>0.69</v>
      </c>
      <c r="L1615" s="220">
        <v>10.35</v>
      </c>
      <c r="M1615" s="568" t="s">
        <v>4941</v>
      </c>
      <c r="N1615" s="568" t="s">
        <v>4942</v>
      </c>
      <c r="O1615" s="569" t="s">
        <v>4913</v>
      </c>
      <c r="P1615" s="14" t="s">
        <v>83</v>
      </c>
      <c r="Q1615" s="527" t="s">
        <v>3430</v>
      </c>
      <c r="R1615" s="14">
        <v>2</v>
      </c>
      <c r="S1615" s="14">
        <f t="shared" si="1448"/>
        <v>0.20699999999999999</v>
      </c>
      <c r="T1615">
        <f t="shared" si="1657"/>
        <v>100.6</v>
      </c>
      <c r="U1615">
        <f t="shared" si="1658"/>
        <v>1.9880715705765408</v>
      </c>
      <c r="V1615" s="220">
        <f t="shared" si="1661"/>
        <v>4.4843049327354247</v>
      </c>
      <c r="W1615" s="14" t="s">
        <v>83</v>
      </c>
      <c r="X1615">
        <f t="shared" si="1659"/>
        <v>3.0941704035874427</v>
      </c>
      <c r="Y1615" s="220">
        <f t="shared" ref="Y1615:Y1616" si="1667">SUM(X1615,X1622)</f>
        <v>5.7593287746281669</v>
      </c>
      <c r="Z1615" s="220">
        <f t="shared" ref="Z1615:AA1615" si="1668">Y1615</f>
        <v>5.7593287746281669</v>
      </c>
      <c r="AA1615" s="792">
        <f t="shared" si="1668"/>
        <v>5.7593287746281669</v>
      </c>
      <c r="AB1615" s="18" t="s">
        <v>83</v>
      </c>
      <c r="AC1615" s="13" t="s">
        <v>83</v>
      </c>
      <c r="AD1615" s="13" t="s">
        <v>2951</v>
      </c>
      <c r="AE1615" s="12">
        <v>0</v>
      </c>
      <c r="AF1615" s="12">
        <v>0</v>
      </c>
      <c r="AG1615" s="12">
        <v>0</v>
      </c>
      <c r="AH1615" s="12">
        <v>0</v>
      </c>
    </row>
    <row r="1616" spans="1:34" ht="12.75">
      <c r="A1616" s="14" t="s">
        <v>4938</v>
      </c>
      <c r="B1616" s="24" t="s">
        <v>2768</v>
      </c>
      <c r="C1616" s="14" t="s">
        <v>2866</v>
      </c>
      <c r="D1616" s="14" t="s">
        <v>2911</v>
      </c>
      <c r="E1616" s="14" t="s">
        <v>4939</v>
      </c>
      <c r="F1616" s="13">
        <v>15.31</v>
      </c>
      <c r="G1616" s="14" t="s">
        <v>2972</v>
      </c>
      <c r="H1616" s="567">
        <v>4641</v>
      </c>
      <c r="I1616" s="135" t="s">
        <v>4939</v>
      </c>
      <c r="J1616" s="135" t="s">
        <v>4940</v>
      </c>
      <c r="K1616" s="475">
        <v>0.69</v>
      </c>
      <c r="L1616" s="476">
        <v>10.35</v>
      </c>
      <c r="M1616" s="570" t="s">
        <v>4941</v>
      </c>
      <c r="N1616" s="570" t="s">
        <v>4942</v>
      </c>
      <c r="O1616" s="571" t="s">
        <v>4913</v>
      </c>
      <c r="P1616" s="135" t="s">
        <v>4407</v>
      </c>
      <c r="Q1616" s="495" t="s">
        <v>4408</v>
      </c>
      <c r="R1616" s="135">
        <v>1.5</v>
      </c>
      <c r="S1616" s="135">
        <f t="shared" si="1448"/>
        <v>0.15525</v>
      </c>
      <c r="T1616" s="584">
        <f>SUM(R1607:R1616)</f>
        <v>100.6</v>
      </c>
      <c r="U1616">
        <f t="shared" si="1658"/>
        <v>1.4910536779324057</v>
      </c>
      <c r="V1616" s="220">
        <f t="shared" si="1661"/>
        <v>3.363228699551569</v>
      </c>
      <c r="W1616" s="14" t="s">
        <v>38</v>
      </c>
      <c r="X1616">
        <f t="shared" si="1659"/>
        <v>2.3206278026905824</v>
      </c>
      <c r="Y1616" s="499">
        <f t="shared" si="1667"/>
        <v>3.7233427348172792</v>
      </c>
      <c r="Z1616" s="220">
        <f t="shared" ref="Z1616:AA1616" si="1669">Y1616</f>
        <v>3.7233427348172792</v>
      </c>
      <c r="AA1616" s="792">
        <f t="shared" si="1669"/>
        <v>3.7233427348172792</v>
      </c>
      <c r="AB1616" s="466" t="s">
        <v>38</v>
      </c>
      <c r="AC1616" s="946" t="s">
        <v>4409</v>
      </c>
      <c r="AD1616" s="946" t="s">
        <v>4410</v>
      </c>
      <c r="AE1616" s="12">
        <v>1.6939344187576338E-2</v>
      </c>
      <c r="AF1616" s="12">
        <v>0.12747220842521731</v>
      </c>
      <c r="AG1616" s="12">
        <v>6.4159613314729389E-4</v>
      </c>
      <c r="AH1616" s="12">
        <v>1.9596661512744689E-4</v>
      </c>
    </row>
    <row r="1617" spans="1:34" ht="12.75">
      <c r="A1617" s="14" t="s">
        <v>4938</v>
      </c>
      <c r="B1617" s="24" t="s">
        <v>2768</v>
      </c>
      <c r="C1617" s="14" t="s">
        <v>2866</v>
      </c>
      <c r="D1617" s="14" t="s">
        <v>2911</v>
      </c>
      <c r="E1617" s="14" t="s">
        <v>4939</v>
      </c>
      <c r="F1617" s="13">
        <v>15.31</v>
      </c>
      <c r="G1617" s="14" t="s">
        <v>2972</v>
      </c>
      <c r="H1617" s="567">
        <v>4641</v>
      </c>
      <c r="I1617" s="655" t="s">
        <v>4943</v>
      </c>
      <c r="J1617" s="14" t="s">
        <v>4944</v>
      </c>
      <c r="K1617" s="478">
        <v>0.31</v>
      </c>
      <c r="L1617" s="220">
        <v>4.96</v>
      </c>
      <c r="M1617" s="568" t="s">
        <v>4945</v>
      </c>
      <c r="N1617" s="568" t="s">
        <v>4946</v>
      </c>
      <c r="O1617" s="569" t="s">
        <v>4913</v>
      </c>
      <c r="P1617" s="14" t="s">
        <v>2938</v>
      </c>
      <c r="Q1617" s="14" t="s">
        <v>2939</v>
      </c>
      <c r="R1617" s="14">
        <v>74</v>
      </c>
      <c r="S1617" s="14">
        <f t="shared" si="1448"/>
        <v>3.6703999999999999</v>
      </c>
      <c r="T1617">
        <f t="shared" ref="T1617:T1624" si="1670">SUM(R$1617:R$1625)</f>
        <v>96.100000000000009</v>
      </c>
      <c r="U1617">
        <f t="shared" si="1658"/>
        <v>77.00312174817897</v>
      </c>
      <c r="V1617" s="470">
        <f>U1617</f>
        <v>77.00312174817897</v>
      </c>
      <c r="W1617" s="515" t="s">
        <v>72</v>
      </c>
      <c r="X1617" s="515">
        <f t="shared" si="1659"/>
        <v>23.87096774193548</v>
      </c>
      <c r="Y1617" s="470" t="s">
        <v>1666</v>
      </c>
      <c r="Z1617" s="220" t="s">
        <v>1666</v>
      </c>
      <c r="AA1617" s="792" t="s">
        <v>1666</v>
      </c>
      <c r="AB1617" s="831" t="str">
        <f t="shared" ref="AB1617:AH1617" si="1671">AA1617</f>
        <v>*</v>
      </c>
      <c r="AC1617" s="831" t="str">
        <f t="shared" si="1671"/>
        <v>*</v>
      </c>
      <c r="AD1617" s="831" t="str">
        <f t="shared" si="1671"/>
        <v>*</v>
      </c>
      <c r="AE1617" s="831" t="str">
        <f t="shared" si="1671"/>
        <v>*</v>
      </c>
      <c r="AF1617" s="831" t="str">
        <f t="shared" si="1671"/>
        <v>*</v>
      </c>
      <c r="AG1617" s="831" t="str">
        <f t="shared" si="1671"/>
        <v>*</v>
      </c>
      <c r="AH1617" s="831" t="str">
        <f t="shared" si="1671"/>
        <v>*</v>
      </c>
    </row>
    <row r="1618" spans="1:34" ht="12.75">
      <c r="A1618" s="14" t="s">
        <v>4938</v>
      </c>
      <c r="B1618" s="24" t="s">
        <v>2768</v>
      </c>
      <c r="C1618" s="14" t="s">
        <v>2866</v>
      </c>
      <c r="D1618" s="14" t="s">
        <v>2911</v>
      </c>
      <c r="E1618" s="14" t="s">
        <v>4939</v>
      </c>
      <c r="F1618" s="13">
        <v>15.31</v>
      </c>
      <c r="G1618" s="14" t="s">
        <v>2972</v>
      </c>
      <c r="H1618" s="567">
        <v>4641</v>
      </c>
      <c r="I1618" s="655" t="s">
        <v>4943</v>
      </c>
      <c r="J1618" s="14" t="s">
        <v>4944</v>
      </c>
      <c r="K1618" s="478">
        <v>0.31</v>
      </c>
      <c r="L1618" s="220">
        <v>4.96</v>
      </c>
      <c r="M1618" s="568" t="s">
        <v>4945</v>
      </c>
      <c r="N1618" s="568" t="s">
        <v>4946</v>
      </c>
      <c r="O1618" s="569" t="s">
        <v>4913</v>
      </c>
      <c r="P1618" s="14" t="s">
        <v>2945</v>
      </c>
      <c r="Q1618" s="14" t="s">
        <v>2946</v>
      </c>
      <c r="R1618" s="14">
        <v>6</v>
      </c>
      <c r="S1618" s="14">
        <f t="shared" si="1448"/>
        <v>0.29759999999999998</v>
      </c>
      <c r="T1618">
        <f t="shared" si="1670"/>
        <v>96.100000000000009</v>
      </c>
      <c r="U1618">
        <f t="shared" si="1658"/>
        <v>6.2434963579604572</v>
      </c>
      <c r="V1618" s="220">
        <f t="shared" ref="V1618:V1625" si="1672">U1618*100/SUM(U$1618:U$1625)</f>
        <v>27.149321266968329</v>
      </c>
      <c r="W1618" s="14" t="s">
        <v>433</v>
      </c>
      <c r="X1618">
        <f t="shared" si="1659"/>
        <v>8.4162895927601813</v>
      </c>
      <c r="Y1618" s="220" t="s">
        <v>1666</v>
      </c>
      <c r="Z1618" s="220" t="s">
        <v>1666</v>
      </c>
      <c r="AA1618" s="779" t="s">
        <v>1666</v>
      </c>
      <c r="AB1618" s="831" t="str">
        <f t="shared" ref="AB1618:AH1618" si="1673">AA1618</f>
        <v>*</v>
      </c>
      <c r="AC1618" s="831" t="str">
        <f t="shared" si="1673"/>
        <v>*</v>
      </c>
      <c r="AD1618" s="831" t="str">
        <f t="shared" si="1673"/>
        <v>*</v>
      </c>
      <c r="AE1618" s="831" t="str">
        <f t="shared" si="1673"/>
        <v>*</v>
      </c>
      <c r="AF1618" s="831" t="str">
        <f t="shared" si="1673"/>
        <v>*</v>
      </c>
      <c r="AG1618" s="831" t="str">
        <f t="shared" si="1673"/>
        <v>*</v>
      </c>
      <c r="AH1618" s="831" t="str">
        <f t="shared" si="1673"/>
        <v>*</v>
      </c>
    </row>
    <row r="1619" spans="1:34" ht="12.75">
      <c r="A1619" s="14" t="s">
        <v>4938</v>
      </c>
      <c r="B1619" s="24" t="s">
        <v>2768</v>
      </c>
      <c r="C1619" s="14" t="s">
        <v>2866</v>
      </c>
      <c r="D1619" s="14" t="s">
        <v>2911</v>
      </c>
      <c r="E1619" s="14" t="s">
        <v>4939</v>
      </c>
      <c r="F1619" s="13">
        <v>15.31</v>
      </c>
      <c r="G1619" s="14" t="s">
        <v>2972</v>
      </c>
      <c r="H1619" s="567">
        <v>4641</v>
      </c>
      <c r="I1619" s="655" t="s">
        <v>4943</v>
      </c>
      <c r="J1619" s="14" t="s">
        <v>4944</v>
      </c>
      <c r="K1619" s="478">
        <v>0.31</v>
      </c>
      <c r="L1619" s="220">
        <v>4.96</v>
      </c>
      <c r="M1619" s="568" t="s">
        <v>4945</v>
      </c>
      <c r="N1619" s="568" t="s">
        <v>4946</v>
      </c>
      <c r="O1619" s="569" t="s">
        <v>4913</v>
      </c>
      <c r="P1619" s="655" t="s">
        <v>2977</v>
      </c>
      <c r="Q1619" s="553" t="s">
        <v>2978</v>
      </c>
      <c r="R1619" s="14">
        <v>4</v>
      </c>
      <c r="S1619" s="14">
        <f t="shared" si="1448"/>
        <v>0.19839999999999999</v>
      </c>
      <c r="T1619">
        <f t="shared" si="1670"/>
        <v>96.100000000000009</v>
      </c>
      <c r="U1619">
        <f t="shared" si="1658"/>
        <v>4.1623309053069715</v>
      </c>
      <c r="V1619" s="220">
        <f t="shared" si="1672"/>
        <v>18.099547511312217</v>
      </c>
      <c r="W1619" s="14" t="s">
        <v>227</v>
      </c>
      <c r="X1619">
        <f t="shared" si="1659"/>
        <v>5.6108597285067869</v>
      </c>
      <c r="Y1619" s="220" t="s">
        <v>1666</v>
      </c>
      <c r="Z1619" s="220" t="s">
        <v>1666</v>
      </c>
      <c r="AA1619" s="779" t="s">
        <v>1666</v>
      </c>
      <c r="AB1619" s="831" t="str">
        <f t="shared" ref="AB1619:AH1619" si="1674">AA1619</f>
        <v>*</v>
      </c>
      <c r="AC1619" s="831" t="str">
        <f t="shared" si="1674"/>
        <v>*</v>
      </c>
      <c r="AD1619" s="831" t="str">
        <f t="shared" si="1674"/>
        <v>*</v>
      </c>
      <c r="AE1619" s="831" t="str">
        <f t="shared" si="1674"/>
        <v>*</v>
      </c>
      <c r="AF1619" s="831" t="str">
        <f t="shared" si="1674"/>
        <v>*</v>
      </c>
      <c r="AG1619" s="831" t="str">
        <f t="shared" si="1674"/>
        <v>*</v>
      </c>
      <c r="AH1619" s="831" t="str">
        <f t="shared" si="1674"/>
        <v>*</v>
      </c>
    </row>
    <row r="1620" spans="1:34" ht="12.75">
      <c r="A1620" s="14" t="s">
        <v>4938</v>
      </c>
      <c r="B1620" s="24" t="s">
        <v>2768</v>
      </c>
      <c r="C1620" s="14" t="s">
        <v>2866</v>
      </c>
      <c r="D1620" s="14" t="s">
        <v>2911</v>
      </c>
      <c r="E1620" s="14" t="s">
        <v>4939</v>
      </c>
      <c r="F1620" s="13">
        <v>15.31</v>
      </c>
      <c r="G1620" s="14" t="s">
        <v>2972</v>
      </c>
      <c r="H1620" s="567">
        <v>4641</v>
      </c>
      <c r="I1620" s="655" t="s">
        <v>4943</v>
      </c>
      <c r="J1620" s="14" t="s">
        <v>4944</v>
      </c>
      <c r="K1620" s="478">
        <v>0.31</v>
      </c>
      <c r="L1620" s="220">
        <v>4.96</v>
      </c>
      <c r="M1620" s="568" t="s">
        <v>4945</v>
      </c>
      <c r="N1620" s="568" t="s">
        <v>4946</v>
      </c>
      <c r="O1620" s="569" t="s">
        <v>4913</v>
      </c>
      <c r="P1620" s="14" t="s">
        <v>139</v>
      </c>
      <c r="Q1620" s="14" t="s">
        <v>3020</v>
      </c>
      <c r="R1620" s="14">
        <v>1</v>
      </c>
      <c r="S1620" s="14">
        <f t="shared" si="1448"/>
        <v>4.9599999999999998E-2</v>
      </c>
      <c r="T1620">
        <f t="shared" si="1670"/>
        <v>96.100000000000009</v>
      </c>
      <c r="U1620">
        <f t="shared" si="1658"/>
        <v>1.0405827263267429</v>
      </c>
      <c r="V1620" s="220">
        <f t="shared" si="1672"/>
        <v>4.5248868778280542</v>
      </c>
      <c r="W1620" s="14" t="s">
        <v>139</v>
      </c>
      <c r="X1620">
        <f t="shared" si="1659"/>
        <v>1.4027149321266967</v>
      </c>
      <c r="Y1620" s="220" t="s">
        <v>1666</v>
      </c>
      <c r="Z1620" s="220" t="s">
        <v>1666</v>
      </c>
      <c r="AA1620" s="779" t="s">
        <v>1666</v>
      </c>
      <c r="AB1620" s="831" t="str">
        <f t="shared" ref="AB1620:AH1620" si="1675">AA1620</f>
        <v>*</v>
      </c>
      <c r="AC1620" s="831" t="str">
        <f t="shared" si="1675"/>
        <v>*</v>
      </c>
      <c r="AD1620" s="831" t="str">
        <f t="shared" si="1675"/>
        <v>*</v>
      </c>
      <c r="AE1620" s="831" t="str">
        <f t="shared" si="1675"/>
        <v>*</v>
      </c>
      <c r="AF1620" s="831" t="str">
        <f t="shared" si="1675"/>
        <v>*</v>
      </c>
      <c r="AG1620" s="831" t="str">
        <f t="shared" si="1675"/>
        <v>*</v>
      </c>
      <c r="AH1620" s="831" t="str">
        <f t="shared" si="1675"/>
        <v>*</v>
      </c>
    </row>
    <row r="1621" spans="1:34" ht="12.75">
      <c r="A1621" s="14" t="s">
        <v>4938</v>
      </c>
      <c r="B1621" s="24" t="s">
        <v>2768</v>
      </c>
      <c r="C1621" s="14" t="s">
        <v>2866</v>
      </c>
      <c r="D1621" s="14" t="s">
        <v>2911</v>
      </c>
      <c r="E1621" s="14" t="s">
        <v>4939</v>
      </c>
      <c r="F1621" s="13">
        <v>15.31</v>
      </c>
      <c r="G1621" s="14" t="s">
        <v>2972</v>
      </c>
      <c r="H1621" s="567">
        <v>4641</v>
      </c>
      <c r="I1621" s="655" t="s">
        <v>4943</v>
      </c>
      <c r="J1621" s="14" t="s">
        <v>4944</v>
      </c>
      <c r="K1621" s="478">
        <v>0.31</v>
      </c>
      <c r="L1621" s="220">
        <v>4.96</v>
      </c>
      <c r="M1621" s="568" t="s">
        <v>4945</v>
      </c>
      <c r="N1621" s="568" t="s">
        <v>4946</v>
      </c>
      <c r="O1621" s="569" t="s">
        <v>4913</v>
      </c>
      <c r="P1621" s="14" t="s">
        <v>2962</v>
      </c>
      <c r="Q1621" s="88" t="s">
        <v>2963</v>
      </c>
      <c r="R1621" s="14">
        <v>3</v>
      </c>
      <c r="S1621" s="14">
        <f t="shared" si="1448"/>
        <v>0.14879999999999999</v>
      </c>
      <c r="T1621">
        <f t="shared" si="1670"/>
        <v>96.100000000000009</v>
      </c>
      <c r="U1621">
        <f t="shared" si="1658"/>
        <v>3.1217481789802286</v>
      </c>
      <c r="V1621" s="220">
        <f t="shared" si="1672"/>
        <v>13.574660633484164</v>
      </c>
      <c r="W1621" s="14" t="s">
        <v>425</v>
      </c>
      <c r="X1621">
        <f t="shared" si="1659"/>
        <v>4.2081447963800906</v>
      </c>
      <c r="Y1621" s="220" t="s">
        <v>1666</v>
      </c>
      <c r="Z1621" s="220" t="s">
        <v>1666</v>
      </c>
      <c r="AA1621" s="779" t="s">
        <v>1666</v>
      </c>
      <c r="AB1621" s="831" t="str">
        <f t="shared" ref="AB1621:AH1621" si="1676">AA1621</f>
        <v>*</v>
      </c>
      <c r="AC1621" s="831" t="str">
        <f t="shared" si="1676"/>
        <v>*</v>
      </c>
      <c r="AD1621" s="831" t="str">
        <f t="shared" si="1676"/>
        <v>*</v>
      </c>
      <c r="AE1621" s="831" t="str">
        <f t="shared" si="1676"/>
        <v>*</v>
      </c>
      <c r="AF1621" s="831" t="str">
        <f t="shared" si="1676"/>
        <v>*</v>
      </c>
      <c r="AG1621" s="831" t="str">
        <f t="shared" si="1676"/>
        <v>*</v>
      </c>
      <c r="AH1621" s="831" t="str">
        <f t="shared" si="1676"/>
        <v>*</v>
      </c>
    </row>
    <row r="1622" spans="1:34" ht="12.75">
      <c r="A1622" s="14" t="s">
        <v>4938</v>
      </c>
      <c r="B1622" s="24" t="s">
        <v>2768</v>
      </c>
      <c r="C1622" s="14" t="s">
        <v>2866</v>
      </c>
      <c r="D1622" s="14" t="s">
        <v>2911</v>
      </c>
      <c r="E1622" s="14" t="s">
        <v>4939</v>
      </c>
      <c r="F1622" s="13">
        <v>15.31</v>
      </c>
      <c r="G1622" s="14" t="s">
        <v>2972</v>
      </c>
      <c r="H1622" s="567">
        <v>4641</v>
      </c>
      <c r="I1622" s="655" t="s">
        <v>4943</v>
      </c>
      <c r="J1622" s="14" t="s">
        <v>4944</v>
      </c>
      <c r="K1622" s="478">
        <v>0.31</v>
      </c>
      <c r="L1622" s="220">
        <v>4.96</v>
      </c>
      <c r="M1622" s="568" t="s">
        <v>4945</v>
      </c>
      <c r="N1622" s="568" t="s">
        <v>4946</v>
      </c>
      <c r="O1622" s="569" t="s">
        <v>4913</v>
      </c>
      <c r="P1622" s="14" t="s">
        <v>83</v>
      </c>
      <c r="Q1622" s="527" t="s">
        <v>3430</v>
      </c>
      <c r="R1622" s="14">
        <v>1.9</v>
      </c>
      <c r="S1622" s="14">
        <f t="shared" si="1448"/>
        <v>9.423999999999999E-2</v>
      </c>
      <c r="T1622">
        <f t="shared" si="1670"/>
        <v>96.100000000000009</v>
      </c>
      <c r="U1622">
        <f t="shared" si="1658"/>
        <v>1.9771071800208115</v>
      </c>
      <c r="V1622" s="220">
        <f t="shared" si="1672"/>
        <v>8.5972850678733046</v>
      </c>
      <c r="W1622" s="14" t="s">
        <v>83</v>
      </c>
      <c r="X1622">
        <f t="shared" si="1659"/>
        <v>2.6651583710407243</v>
      </c>
      <c r="Y1622" s="220" t="s">
        <v>1666</v>
      </c>
      <c r="Z1622" s="220" t="s">
        <v>1666</v>
      </c>
      <c r="AA1622" s="779" t="s">
        <v>1666</v>
      </c>
      <c r="AB1622" s="831" t="str">
        <f t="shared" ref="AB1622:AH1622" si="1677">AA1622</f>
        <v>*</v>
      </c>
      <c r="AC1622" s="831" t="str">
        <f t="shared" si="1677"/>
        <v>*</v>
      </c>
      <c r="AD1622" s="831" t="str">
        <f t="shared" si="1677"/>
        <v>*</v>
      </c>
      <c r="AE1622" s="831" t="str">
        <f t="shared" si="1677"/>
        <v>*</v>
      </c>
      <c r="AF1622" s="831" t="str">
        <f t="shared" si="1677"/>
        <v>*</v>
      </c>
      <c r="AG1622" s="831" t="str">
        <f t="shared" si="1677"/>
        <v>*</v>
      </c>
      <c r="AH1622" s="831" t="str">
        <f t="shared" si="1677"/>
        <v>*</v>
      </c>
    </row>
    <row r="1623" spans="1:34" ht="12.75">
      <c r="A1623" s="14" t="s">
        <v>4938</v>
      </c>
      <c r="B1623" s="24" t="s">
        <v>2768</v>
      </c>
      <c r="C1623" s="14" t="s">
        <v>2866</v>
      </c>
      <c r="D1623" s="14" t="s">
        <v>2911</v>
      </c>
      <c r="E1623" s="14" t="s">
        <v>4939</v>
      </c>
      <c r="F1623" s="13">
        <v>15.31</v>
      </c>
      <c r="G1623" s="14" t="s">
        <v>2972</v>
      </c>
      <c r="H1623" s="567">
        <v>4641</v>
      </c>
      <c r="I1623" s="655" t="s">
        <v>4943</v>
      </c>
      <c r="J1623" s="14" t="s">
        <v>4944</v>
      </c>
      <c r="K1623" s="478">
        <v>0.31</v>
      </c>
      <c r="L1623" s="220">
        <v>4.96</v>
      </c>
      <c r="M1623" s="568" t="s">
        <v>4945</v>
      </c>
      <c r="N1623" s="568" t="s">
        <v>4946</v>
      </c>
      <c r="O1623" s="569" t="s">
        <v>4913</v>
      </c>
      <c r="P1623" s="14" t="s">
        <v>4407</v>
      </c>
      <c r="Q1623" s="486" t="s">
        <v>4408</v>
      </c>
      <c r="R1623" s="14">
        <v>1</v>
      </c>
      <c r="S1623" s="14">
        <f t="shared" si="1448"/>
        <v>4.9599999999999998E-2</v>
      </c>
      <c r="T1623">
        <f t="shared" si="1670"/>
        <v>96.100000000000009</v>
      </c>
      <c r="U1623">
        <f t="shared" si="1658"/>
        <v>1.0405827263267429</v>
      </c>
      <c r="V1623" s="220">
        <f t="shared" si="1672"/>
        <v>4.5248868778280542</v>
      </c>
      <c r="W1623" s="88" t="s">
        <v>38</v>
      </c>
      <c r="X1623">
        <f t="shared" si="1659"/>
        <v>1.4027149321266967</v>
      </c>
      <c r="Y1623" s="220" t="s">
        <v>1624</v>
      </c>
      <c r="Z1623" s="220" t="s">
        <v>1666</v>
      </c>
      <c r="AA1623" s="792" t="s">
        <v>1666</v>
      </c>
      <c r="AB1623" s="831" t="str">
        <f t="shared" ref="AB1623:AH1623" si="1678">AA1623</f>
        <v>*</v>
      </c>
      <c r="AC1623" s="831" t="str">
        <f t="shared" si="1678"/>
        <v>*</v>
      </c>
      <c r="AD1623" s="831" t="str">
        <f t="shared" si="1678"/>
        <v>*</v>
      </c>
      <c r="AE1623" s="831" t="str">
        <f t="shared" si="1678"/>
        <v>*</v>
      </c>
      <c r="AF1623" s="831" t="str">
        <f t="shared" si="1678"/>
        <v>*</v>
      </c>
      <c r="AG1623" s="831" t="str">
        <f t="shared" si="1678"/>
        <v>*</v>
      </c>
      <c r="AH1623" s="831" t="str">
        <f t="shared" si="1678"/>
        <v>*</v>
      </c>
    </row>
    <row r="1624" spans="1:34" ht="12.75">
      <c r="A1624" s="14" t="s">
        <v>4938</v>
      </c>
      <c r="B1624" s="24" t="s">
        <v>2768</v>
      </c>
      <c r="C1624" s="14" t="s">
        <v>2866</v>
      </c>
      <c r="D1624" s="14" t="s">
        <v>2911</v>
      </c>
      <c r="E1624" s="14" t="s">
        <v>4939</v>
      </c>
      <c r="F1624" s="13">
        <v>15.31</v>
      </c>
      <c r="G1624" s="14" t="s">
        <v>2972</v>
      </c>
      <c r="H1624" s="567">
        <v>4641</v>
      </c>
      <c r="I1624" s="655" t="s">
        <v>4943</v>
      </c>
      <c r="J1624" s="14" t="s">
        <v>4944</v>
      </c>
      <c r="K1624" s="478">
        <v>0.31</v>
      </c>
      <c r="L1624" s="220">
        <v>4.96</v>
      </c>
      <c r="M1624" s="568" t="s">
        <v>4945</v>
      </c>
      <c r="N1624" s="568" t="s">
        <v>4946</v>
      </c>
      <c r="O1624" s="569" t="s">
        <v>4913</v>
      </c>
      <c r="P1624" s="14" t="s">
        <v>4947</v>
      </c>
      <c r="Q1624" s="486" t="s">
        <v>4948</v>
      </c>
      <c r="R1624" s="14">
        <v>5</v>
      </c>
      <c r="S1624" s="14">
        <f t="shared" si="1448"/>
        <v>0.248</v>
      </c>
      <c r="T1624">
        <f t="shared" si="1670"/>
        <v>96.100000000000009</v>
      </c>
      <c r="U1624">
        <f t="shared" si="1658"/>
        <v>5.2029136316337148</v>
      </c>
      <c r="V1624" s="220">
        <f t="shared" si="1672"/>
        <v>22.624434389140273</v>
      </c>
      <c r="W1624" s="14" t="s">
        <v>4949</v>
      </c>
      <c r="X1624">
        <f t="shared" si="1659"/>
        <v>7.0135746606334841</v>
      </c>
      <c r="Y1624" s="220">
        <f t="shared" ref="Y1624:AA1624" si="1679">X1624</f>
        <v>7.0135746606334841</v>
      </c>
      <c r="Z1624" s="220">
        <f t="shared" si="1679"/>
        <v>7.0135746606334841</v>
      </c>
      <c r="AA1624" s="792">
        <f t="shared" si="1679"/>
        <v>7.0135746606334841</v>
      </c>
      <c r="AB1624" s="18" t="s">
        <v>2732</v>
      </c>
      <c r="AC1624" s="13" t="s">
        <v>2776</v>
      </c>
      <c r="AD1624" s="13" t="s">
        <v>3011</v>
      </c>
      <c r="AE1624" s="12">
        <v>1.5483515402843602E-2</v>
      </c>
      <c r="AF1624" s="12">
        <v>4.5524313981042654E-2</v>
      </c>
      <c r="AG1624" s="12">
        <v>3.0351086374407588E-4</v>
      </c>
      <c r="AH1624" s="12">
        <v>2.8558827014218014E-3</v>
      </c>
    </row>
    <row r="1625" spans="1:34" ht="12.75">
      <c r="A1625" s="617" t="s">
        <v>4938</v>
      </c>
      <c r="B1625" s="794" t="s">
        <v>2768</v>
      </c>
      <c r="C1625" s="617" t="s">
        <v>2866</v>
      </c>
      <c r="D1625" s="617" t="s">
        <v>2911</v>
      </c>
      <c r="E1625" s="617" t="s">
        <v>4939</v>
      </c>
      <c r="F1625" s="799">
        <v>15.31</v>
      </c>
      <c r="G1625" s="617" t="s">
        <v>2972</v>
      </c>
      <c r="H1625" s="910">
        <v>4641</v>
      </c>
      <c r="I1625" s="849" t="s">
        <v>4943</v>
      </c>
      <c r="J1625" s="617" t="s">
        <v>4944</v>
      </c>
      <c r="K1625" s="838">
        <v>0.31</v>
      </c>
      <c r="L1625" s="725">
        <v>4.96</v>
      </c>
      <c r="M1625" s="911" t="s">
        <v>4945</v>
      </c>
      <c r="N1625" s="911" t="s">
        <v>4946</v>
      </c>
      <c r="O1625" s="912" t="s">
        <v>4913</v>
      </c>
      <c r="P1625" s="617" t="s">
        <v>3041</v>
      </c>
      <c r="Q1625" s="856" t="s">
        <v>3089</v>
      </c>
      <c r="R1625" s="617">
        <v>0.2</v>
      </c>
      <c r="S1625" s="617">
        <f t="shared" si="1448"/>
        <v>9.92E-3</v>
      </c>
      <c r="T1625" s="852">
        <f>SUM(R1617:R1625)</f>
        <v>96.100000000000009</v>
      </c>
      <c r="U1625" s="617">
        <f t="shared" si="1658"/>
        <v>0.20811654526534859</v>
      </c>
      <c r="V1625" s="725">
        <f t="shared" si="1672"/>
        <v>0.90497737556561098</v>
      </c>
      <c r="W1625" s="617" t="s">
        <v>81</v>
      </c>
      <c r="X1625" s="617">
        <f t="shared" si="1659"/>
        <v>0.28054298642533942</v>
      </c>
      <c r="Y1625" s="862">
        <f t="shared" ref="Y1625:AA1625" si="1680">X1625</f>
        <v>0.28054298642533942</v>
      </c>
      <c r="Z1625" s="725">
        <f t="shared" si="1680"/>
        <v>0.28054298642533942</v>
      </c>
      <c r="AA1625" s="455">
        <f t="shared" si="1680"/>
        <v>0.28054298642533942</v>
      </c>
      <c r="AB1625" s="793" t="s">
        <v>81</v>
      </c>
      <c r="AC1625" s="799" t="s">
        <v>18</v>
      </c>
      <c r="AD1625" s="799" t="s">
        <v>18</v>
      </c>
      <c r="AE1625" s="635">
        <v>1.9912385503783353E-2</v>
      </c>
      <c r="AF1625" s="635">
        <v>5.6949422540820388E-2</v>
      </c>
      <c r="AG1625" s="635">
        <v>3.8829151732377542E-3</v>
      </c>
      <c r="AH1625" s="635">
        <v>5.6321186778176026E-3</v>
      </c>
    </row>
    <row r="1626" spans="1:34" ht="12.75">
      <c r="A1626" s="14" t="s">
        <v>4950</v>
      </c>
      <c r="B1626" s="24" t="s">
        <v>2768</v>
      </c>
      <c r="C1626" s="14" t="s">
        <v>2868</v>
      </c>
      <c r="D1626" s="14" t="s">
        <v>2911</v>
      </c>
      <c r="E1626" s="14" t="s">
        <v>3585</v>
      </c>
      <c r="F1626" s="13">
        <v>14</v>
      </c>
      <c r="G1626" s="14" t="s">
        <v>2972</v>
      </c>
      <c r="H1626" s="567">
        <v>4025</v>
      </c>
      <c r="I1626" s="14" t="s">
        <v>3585</v>
      </c>
      <c r="J1626" s="14" t="s">
        <v>4951</v>
      </c>
      <c r="K1626" s="478">
        <v>1</v>
      </c>
      <c r="L1626" s="220">
        <v>14</v>
      </c>
      <c r="M1626" s="568" t="s">
        <v>4952</v>
      </c>
      <c r="N1626" s="568" t="s">
        <v>4953</v>
      </c>
      <c r="O1626" s="569" t="s">
        <v>2976</v>
      </c>
      <c r="P1626" s="14" t="s">
        <v>3021</v>
      </c>
      <c r="Q1626" s="486" t="s">
        <v>3022</v>
      </c>
      <c r="R1626" s="14">
        <v>73.5</v>
      </c>
      <c r="S1626" s="14">
        <f t="shared" si="1448"/>
        <v>10.29</v>
      </c>
      <c r="T1626">
        <f t="shared" ref="T1626:T1632" si="1681">SUM(R$1626:R$1633)</f>
        <v>99.999999999999986</v>
      </c>
      <c r="U1626">
        <f t="shared" si="1658"/>
        <v>73.500000000000014</v>
      </c>
      <c r="V1626" s="220">
        <f>U1626*100/SUM(U$1626,U$1628:U$1633)</f>
        <v>87.500000000000028</v>
      </c>
      <c r="W1626" s="14" t="s">
        <v>346</v>
      </c>
      <c r="X1626">
        <f t="shared" si="1659"/>
        <v>87.500000000000028</v>
      </c>
      <c r="Y1626" s="220">
        <f t="shared" ref="Y1626:AA1626" si="1682">X1626</f>
        <v>87.500000000000028</v>
      </c>
      <c r="Z1626" s="220">
        <f t="shared" si="1682"/>
        <v>87.500000000000028</v>
      </c>
      <c r="AA1626" s="792">
        <f t="shared" si="1682"/>
        <v>87.500000000000028</v>
      </c>
      <c r="AB1626" s="18" t="s">
        <v>346</v>
      </c>
      <c r="AC1626" s="13" t="s">
        <v>2982</v>
      </c>
      <c r="AD1626" s="13" t="s">
        <v>2983</v>
      </c>
      <c r="AE1626" s="12">
        <v>2.9691872042618299E-2</v>
      </c>
      <c r="AF1626" s="12">
        <v>7.5368545517799299E-2</v>
      </c>
      <c r="AG1626" s="12">
        <v>2.9014018691588786E-4</v>
      </c>
      <c r="AH1626" s="12">
        <v>1.4770983615231311E-3</v>
      </c>
    </row>
    <row r="1627" spans="1:34" ht="12.75">
      <c r="A1627" s="14" t="s">
        <v>4950</v>
      </c>
      <c r="B1627" s="24" t="s">
        <v>2768</v>
      </c>
      <c r="C1627" s="14" t="s">
        <v>2868</v>
      </c>
      <c r="D1627" s="14" t="s">
        <v>2911</v>
      </c>
      <c r="E1627" s="14" t="s">
        <v>3585</v>
      </c>
      <c r="F1627" s="13">
        <v>14</v>
      </c>
      <c r="G1627" s="14" t="s">
        <v>2972</v>
      </c>
      <c r="H1627" s="567">
        <v>4025</v>
      </c>
      <c r="I1627" s="14" t="s">
        <v>3585</v>
      </c>
      <c r="J1627" s="14" t="s">
        <v>4951</v>
      </c>
      <c r="K1627" s="478">
        <v>1</v>
      </c>
      <c r="L1627" s="220">
        <v>14</v>
      </c>
      <c r="M1627" s="568" t="s">
        <v>4952</v>
      </c>
      <c r="N1627" s="568" t="s">
        <v>4953</v>
      </c>
      <c r="O1627" s="569" t="s">
        <v>2976</v>
      </c>
      <c r="P1627" s="14" t="s">
        <v>2938</v>
      </c>
      <c r="Q1627" s="14" t="s">
        <v>2939</v>
      </c>
      <c r="R1627" s="14">
        <v>16</v>
      </c>
      <c r="S1627" s="14">
        <f t="shared" si="1448"/>
        <v>2.2400000000000002</v>
      </c>
      <c r="T1627">
        <f t="shared" si="1681"/>
        <v>99.999999999999986</v>
      </c>
      <c r="U1627">
        <f t="shared" si="1658"/>
        <v>16.000000000000004</v>
      </c>
      <c r="V1627" s="481">
        <f>U1627</f>
        <v>16.000000000000004</v>
      </c>
      <c r="W1627" s="482" t="s">
        <v>72</v>
      </c>
      <c r="X1627" s="515">
        <f t="shared" si="1659"/>
        <v>16.000000000000004</v>
      </c>
      <c r="Y1627" s="481">
        <f t="shared" ref="Y1627:AA1627" si="1683">X1627</f>
        <v>16.000000000000004</v>
      </c>
      <c r="Z1627" s="470">
        <f t="shared" si="1683"/>
        <v>16.000000000000004</v>
      </c>
      <c r="AA1627" s="796">
        <f t="shared" si="1683"/>
        <v>16.000000000000004</v>
      </c>
      <c r="AB1627" s="456" t="s">
        <v>72</v>
      </c>
      <c r="AC1627" s="469" t="s">
        <v>2938</v>
      </c>
      <c r="AD1627" s="469" t="s">
        <v>2940</v>
      </c>
      <c r="AE1627" s="457">
        <v>0</v>
      </c>
      <c r="AF1627" s="457">
        <v>0</v>
      </c>
      <c r="AG1627" s="457">
        <v>0</v>
      </c>
      <c r="AH1627" s="457">
        <v>0</v>
      </c>
    </row>
    <row r="1628" spans="1:34" ht="12.75">
      <c r="A1628" s="14" t="s">
        <v>4950</v>
      </c>
      <c r="B1628" s="24" t="s">
        <v>2768</v>
      </c>
      <c r="C1628" s="14" t="s">
        <v>2868</v>
      </c>
      <c r="D1628" s="14" t="s">
        <v>2911</v>
      </c>
      <c r="E1628" s="14" t="s">
        <v>3585</v>
      </c>
      <c r="F1628" s="13">
        <v>14</v>
      </c>
      <c r="G1628" s="14" t="s">
        <v>2972</v>
      </c>
      <c r="H1628" s="567">
        <v>4025</v>
      </c>
      <c r="I1628" s="14" t="s">
        <v>3585</v>
      </c>
      <c r="J1628" s="14" t="s">
        <v>4951</v>
      </c>
      <c r="K1628" s="478">
        <v>1</v>
      </c>
      <c r="L1628" s="220">
        <v>14</v>
      </c>
      <c r="M1628" s="568" t="s">
        <v>4952</v>
      </c>
      <c r="N1628" s="568" t="s">
        <v>4953</v>
      </c>
      <c r="O1628" s="569" t="s">
        <v>2976</v>
      </c>
      <c r="P1628" s="14" t="s">
        <v>139</v>
      </c>
      <c r="Q1628" s="14" t="s">
        <v>3020</v>
      </c>
      <c r="R1628" s="14">
        <v>4.5999999999999996</v>
      </c>
      <c r="S1628" s="14">
        <f t="shared" si="1448"/>
        <v>0.64400000000000002</v>
      </c>
      <c r="T1628">
        <f t="shared" si="1681"/>
        <v>99.999999999999986</v>
      </c>
      <c r="U1628">
        <f t="shared" si="1658"/>
        <v>4.5999999999999996</v>
      </c>
      <c r="V1628" s="220">
        <f t="shared" ref="V1628:V1633" si="1684">U1628*100/SUM(U$1626,U$1628:U$1633)</f>
        <v>5.4761904761904754</v>
      </c>
      <c r="W1628" s="14" t="s">
        <v>139</v>
      </c>
      <c r="X1628">
        <f t="shared" si="1659"/>
        <v>5.4761904761904754</v>
      </c>
      <c r="Y1628" s="220">
        <f>SUM(X1628,X1629)</f>
        <v>8.2142857142857135</v>
      </c>
      <c r="Z1628" s="220">
        <f t="shared" ref="Z1628:AA1628" si="1685">Y1628</f>
        <v>8.2142857142857135</v>
      </c>
      <c r="AA1628" s="792">
        <f t="shared" si="1685"/>
        <v>8.2142857142857135</v>
      </c>
      <c r="AB1628" s="18" t="s">
        <v>2869</v>
      </c>
      <c r="AC1628" s="13" t="s">
        <v>138</v>
      </c>
      <c r="AD1628" s="13" t="s">
        <v>3019</v>
      </c>
      <c r="AE1628" s="12">
        <v>4.0165275294130297E-3</v>
      </c>
      <c r="AF1628" s="12">
        <v>3.2725331200335404E-2</v>
      </c>
      <c r="AG1628" s="12">
        <v>2.4399999999999999E-4</v>
      </c>
      <c r="AH1628" s="12">
        <v>2.0392735E-3</v>
      </c>
    </row>
    <row r="1629" spans="1:34" ht="12.75">
      <c r="A1629" s="14" t="s">
        <v>4950</v>
      </c>
      <c r="B1629" s="24" t="s">
        <v>2768</v>
      </c>
      <c r="C1629" s="14" t="s">
        <v>2868</v>
      </c>
      <c r="D1629" s="14" t="s">
        <v>2911</v>
      </c>
      <c r="E1629" s="14" t="s">
        <v>3585</v>
      </c>
      <c r="F1629" s="13">
        <v>14</v>
      </c>
      <c r="G1629" s="14" t="s">
        <v>2972</v>
      </c>
      <c r="H1629" s="567">
        <v>4025</v>
      </c>
      <c r="I1629" s="14" t="s">
        <v>3585</v>
      </c>
      <c r="J1629" s="14" t="s">
        <v>4951</v>
      </c>
      <c r="K1629" s="478">
        <v>1</v>
      </c>
      <c r="L1629" s="220">
        <v>14</v>
      </c>
      <c r="M1629" s="568" t="s">
        <v>4952</v>
      </c>
      <c r="N1629" s="568" t="s">
        <v>4953</v>
      </c>
      <c r="O1629" s="569" t="s">
        <v>2976</v>
      </c>
      <c r="P1629" s="14" t="s">
        <v>3017</v>
      </c>
      <c r="Q1629" s="486" t="s">
        <v>3018</v>
      </c>
      <c r="R1629" s="14">
        <v>2.2999999999999998</v>
      </c>
      <c r="S1629" s="14">
        <f t="shared" si="1448"/>
        <v>0.32200000000000001</v>
      </c>
      <c r="T1629">
        <f t="shared" si="1681"/>
        <v>99.999999999999986</v>
      </c>
      <c r="U1629">
        <f t="shared" si="1658"/>
        <v>2.2999999999999998</v>
      </c>
      <c r="V1629" s="220">
        <f t="shared" si="1684"/>
        <v>2.7380952380952377</v>
      </c>
      <c r="W1629" s="14" t="s">
        <v>2792</v>
      </c>
      <c r="X1629">
        <f t="shared" si="1659"/>
        <v>2.7380952380952377</v>
      </c>
      <c r="Y1629" s="220" t="s">
        <v>1666</v>
      </c>
      <c r="Z1629" s="220" t="s">
        <v>1666</v>
      </c>
      <c r="AA1629" s="779" t="s">
        <v>1666</v>
      </c>
      <c r="AB1629" s="831" t="str">
        <f t="shared" ref="AB1629:AH1629" si="1686">AA1629</f>
        <v>*</v>
      </c>
      <c r="AC1629" s="831" t="str">
        <f t="shared" si="1686"/>
        <v>*</v>
      </c>
      <c r="AD1629" s="831" t="str">
        <f t="shared" si="1686"/>
        <v>*</v>
      </c>
      <c r="AE1629" s="831" t="str">
        <f t="shared" si="1686"/>
        <v>*</v>
      </c>
      <c r="AF1629" s="831" t="str">
        <f t="shared" si="1686"/>
        <v>*</v>
      </c>
      <c r="AG1629" s="831" t="str">
        <f t="shared" si="1686"/>
        <v>*</v>
      </c>
      <c r="AH1629" s="831" t="str">
        <f t="shared" si="1686"/>
        <v>*</v>
      </c>
    </row>
    <row r="1630" spans="1:34" ht="12.75">
      <c r="A1630" s="14" t="s">
        <v>4950</v>
      </c>
      <c r="B1630" s="24" t="s">
        <v>2768</v>
      </c>
      <c r="C1630" s="14" t="s">
        <v>2868</v>
      </c>
      <c r="D1630" s="14" t="s">
        <v>2911</v>
      </c>
      <c r="E1630" s="14" t="s">
        <v>3585</v>
      </c>
      <c r="F1630" s="13">
        <v>14</v>
      </c>
      <c r="G1630" s="14" t="s">
        <v>2972</v>
      </c>
      <c r="H1630" s="567">
        <v>4025</v>
      </c>
      <c r="I1630" s="14" t="s">
        <v>3585</v>
      </c>
      <c r="J1630" s="14" t="s">
        <v>4951</v>
      </c>
      <c r="K1630" s="478">
        <v>1</v>
      </c>
      <c r="L1630" s="220">
        <v>14</v>
      </c>
      <c r="M1630" s="568" t="s">
        <v>4952</v>
      </c>
      <c r="N1630" s="568" t="s">
        <v>4953</v>
      </c>
      <c r="O1630" s="569" t="s">
        <v>2976</v>
      </c>
      <c r="P1630" s="14" t="s">
        <v>85</v>
      </c>
      <c r="Q1630" s="10" t="s">
        <v>3171</v>
      </c>
      <c r="R1630" s="14">
        <v>1</v>
      </c>
      <c r="S1630" s="14">
        <f t="shared" si="1448"/>
        <v>0.14000000000000001</v>
      </c>
      <c r="T1630">
        <f t="shared" si="1681"/>
        <v>99.999999999999986</v>
      </c>
      <c r="U1630">
        <f t="shared" si="1658"/>
        <v>1.0000000000000002</v>
      </c>
      <c r="V1630" s="220">
        <f t="shared" si="1684"/>
        <v>1.1904761904761909</v>
      </c>
      <c r="W1630" s="14" t="s">
        <v>85</v>
      </c>
      <c r="X1630">
        <f t="shared" si="1659"/>
        <v>1.1904761904761909</v>
      </c>
      <c r="Y1630" s="499">
        <f t="shared" ref="Y1630:AA1630" si="1687">X1630</f>
        <v>1.1904761904761909</v>
      </c>
      <c r="Z1630" s="220">
        <f t="shared" si="1687"/>
        <v>1.1904761904761909</v>
      </c>
      <c r="AA1630" s="792">
        <f t="shared" si="1687"/>
        <v>1.1904761904761909</v>
      </c>
      <c r="AB1630" s="466" t="s">
        <v>85</v>
      </c>
      <c r="AC1630" s="14" t="s">
        <v>18</v>
      </c>
      <c r="AD1630" s="14" t="s">
        <v>3144</v>
      </c>
      <c r="AE1630" s="12">
        <v>2.0262392565709405E-4</v>
      </c>
      <c r="AF1630" s="12">
        <v>1.0885928720785719E-2</v>
      </c>
      <c r="AG1630" s="12">
        <v>6.2837933649623454E-6</v>
      </c>
      <c r="AH1630" s="12">
        <v>4.6142098112569087E-5</v>
      </c>
    </row>
    <row r="1631" spans="1:34" ht="12.75">
      <c r="A1631" s="14" t="s">
        <v>4950</v>
      </c>
      <c r="B1631" s="24" t="s">
        <v>2768</v>
      </c>
      <c r="C1631" s="14" t="s">
        <v>2868</v>
      </c>
      <c r="D1631" s="14" t="s">
        <v>2911</v>
      </c>
      <c r="E1631" s="14" t="s">
        <v>3585</v>
      </c>
      <c r="F1631" s="13">
        <v>14</v>
      </c>
      <c r="G1631" s="14" t="s">
        <v>2972</v>
      </c>
      <c r="H1631" s="567">
        <v>4025</v>
      </c>
      <c r="I1631" s="14" t="s">
        <v>3585</v>
      </c>
      <c r="J1631" s="14" t="s">
        <v>4951</v>
      </c>
      <c r="K1631" s="478">
        <v>1</v>
      </c>
      <c r="L1631" s="220">
        <v>14</v>
      </c>
      <c r="M1631" s="568" t="s">
        <v>4952</v>
      </c>
      <c r="N1631" s="568" t="s">
        <v>4953</v>
      </c>
      <c r="O1631" s="569" t="s">
        <v>2976</v>
      </c>
      <c r="P1631" s="14" t="s">
        <v>83</v>
      </c>
      <c r="Q1631" s="527" t="s">
        <v>3430</v>
      </c>
      <c r="R1631" s="14">
        <v>1.6</v>
      </c>
      <c r="S1631" s="14">
        <f t="shared" si="1448"/>
        <v>0.224</v>
      </c>
      <c r="T1631">
        <f t="shared" si="1681"/>
        <v>99.999999999999986</v>
      </c>
      <c r="U1631">
        <f t="shared" si="1658"/>
        <v>1.6000000000000003</v>
      </c>
      <c r="V1631" s="220">
        <f t="shared" si="1684"/>
        <v>1.9047619047619051</v>
      </c>
      <c r="W1631" s="14" t="s">
        <v>83</v>
      </c>
      <c r="X1631">
        <f t="shared" si="1659"/>
        <v>1.9047619047619051</v>
      </c>
      <c r="Y1631" s="499">
        <f t="shared" ref="Y1631:AA1631" si="1688">X1631</f>
        <v>1.9047619047619051</v>
      </c>
      <c r="Z1631" s="220">
        <f t="shared" si="1688"/>
        <v>1.9047619047619051</v>
      </c>
      <c r="AA1631" s="792">
        <f t="shared" si="1688"/>
        <v>1.9047619047619051</v>
      </c>
      <c r="AB1631" s="466" t="s">
        <v>83</v>
      </c>
      <c r="AC1631" s="14" t="s">
        <v>83</v>
      </c>
      <c r="AD1631" s="14" t="s">
        <v>2951</v>
      </c>
      <c r="AE1631" s="12">
        <v>0</v>
      </c>
      <c r="AF1631" s="12">
        <v>0</v>
      </c>
      <c r="AG1631" s="12">
        <v>0</v>
      </c>
      <c r="AH1631" s="12">
        <v>0</v>
      </c>
    </row>
    <row r="1632" spans="1:34" ht="12.75">
      <c r="A1632" s="14" t="s">
        <v>4950</v>
      </c>
      <c r="B1632" s="24" t="s">
        <v>2768</v>
      </c>
      <c r="C1632" s="14" t="s">
        <v>2868</v>
      </c>
      <c r="D1632" s="14" t="s">
        <v>2911</v>
      </c>
      <c r="E1632" s="14" t="s">
        <v>3585</v>
      </c>
      <c r="F1632" s="13">
        <v>14</v>
      </c>
      <c r="G1632" s="14" t="s">
        <v>2972</v>
      </c>
      <c r="H1632" s="567">
        <v>4025</v>
      </c>
      <c r="I1632" s="14" t="s">
        <v>3585</v>
      </c>
      <c r="J1632" s="14" t="s">
        <v>4951</v>
      </c>
      <c r="K1632" s="478">
        <v>1</v>
      </c>
      <c r="L1632" s="220">
        <v>14</v>
      </c>
      <c r="M1632" s="568" t="s">
        <v>4952</v>
      </c>
      <c r="N1632" s="568" t="s">
        <v>4953</v>
      </c>
      <c r="O1632" s="569" t="s">
        <v>2976</v>
      </c>
      <c r="P1632" s="14" t="s">
        <v>2945</v>
      </c>
      <c r="Q1632" s="14" t="s">
        <v>2946</v>
      </c>
      <c r="R1632" s="14">
        <v>0.5</v>
      </c>
      <c r="S1632" s="14">
        <f t="shared" si="1448"/>
        <v>7.0000000000000007E-2</v>
      </c>
      <c r="T1632">
        <f t="shared" si="1681"/>
        <v>99.999999999999986</v>
      </c>
      <c r="U1632">
        <f t="shared" si="1658"/>
        <v>0.50000000000000011</v>
      </c>
      <c r="V1632" s="220">
        <f t="shared" si="1684"/>
        <v>0.59523809523809545</v>
      </c>
      <c r="W1632" s="14" t="s">
        <v>433</v>
      </c>
      <c r="X1632">
        <f t="shared" si="1659"/>
        <v>0.59523809523809545</v>
      </c>
      <c r="Y1632" s="499">
        <f t="shared" ref="Y1632:AA1632" si="1689">X1632</f>
        <v>0.59523809523809545</v>
      </c>
      <c r="Z1632" s="220">
        <f t="shared" si="1689"/>
        <v>0.59523809523809545</v>
      </c>
      <c r="AA1632" s="792">
        <f t="shared" si="1689"/>
        <v>0.59523809523809545</v>
      </c>
      <c r="AB1632" s="466" t="s">
        <v>433</v>
      </c>
      <c r="AC1632" s="13" t="s">
        <v>433</v>
      </c>
      <c r="AD1632" s="13" t="s">
        <v>2947</v>
      </c>
      <c r="AE1632" s="12">
        <v>3.0104466724907065E-4</v>
      </c>
      <c r="AF1632" s="12">
        <v>1.2500000000000001E-2</v>
      </c>
      <c r="AG1632" s="12">
        <v>5.1818181818181835E-4</v>
      </c>
      <c r="AH1632" s="12">
        <v>4.0084080366977777E-4</v>
      </c>
    </row>
    <row r="1633" spans="1:34" ht="12.75">
      <c r="A1633" s="617" t="s">
        <v>4950</v>
      </c>
      <c r="B1633" s="794" t="s">
        <v>2768</v>
      </c>
      <c r="C1633" s="617" t="s">
        <v>2868</v>
      </c>
      <c r="D1633" s="617" t="s">
        <v>2911</v>
      </c>
      <c r="E1633" s="617" t="s">
        <v>3585</v>
      </c>
      <c r="F1633" s="799">
        <v>14</v>
      </c>
      <c r="G1633" s="617" t="s">
        <v>2972</v>
      </c>
      <c r="H1633" s="910">
        <v>4025</v>
      </c>
      <c r="I1633" s="617" t="s">
        <v>3585</v>
      </c>
      <c r="J1633" s="617" t="s">
        <v>4951</v>
      </c>
      <c r="K1633" s="838">
        <v>1</v>
      </c>
      <c r="L1633" s="725">
        <v>14</v>
      </c>
      <c r="M1633" s="911" t="s">
        <v>4952</v>
      </c>
      <c r="N1633" s="911" t="s">
        <v>4953</v>
      </c>
      <c r="O1633" s="912" t="s">
        <v>2976</v>
      </c>
      <c r="P1633" s="617" t="s">
        <v>4407</v>
      </c>
      <c r="Q1633" s="856" t="s">
        <v>4408</v>
      </c>
      <c r="R1633" s="617">
        <v>0.5</v>
      </c>
      <c r="S1633" s="617">
        <f t="shared" si="1448"/>
        <v>7.0000000000000007E-2</v>
      </c>
      <c r="T1633" s="617">
        <f>SUM(R1626:R1633)</f>
        <v>99.999999999999986</v>
      </c>
      <c r="U1633" s="617">
        <f t="shared" si="1658"/>
        <v>0.50000000000000011</v>
      </c>
      <c r="V1633" s="725">
        <f t="shared" si="1684"/>
        <v>0.59523809523809545</v>
      </c>
      <c r="W1633" s="617" t="s">
        <v>38</v>
      </c>
      <c r="X1633" s="617">
        <f t="shared" si="1659"/>
        <v>0.59523809523809545</v>
      </c>
      <c r="Y1633" s="862">
        <f t="shared" ref="Y1633:AA1633" si="1690">X1633</f>
        <v>0.59523809523809545</v>
      </c>
      <c r="Z1633" s="725">
        <f t="shared" si="1690"/>
        <v>0.59523809523809545</v>
      </c>
      <c r="AA1633" s="455">
        <f t="shared" si="1690"/>
        <v>0.59523809523809545</v>
      </c>
      <c r="AB1633" s="793" t="s">
        <v>38</v>
      </c>
      <c r="AC1633" s="799" t="s">
        <v>4409</v>
      </c>
      <c r="AD1633" s="799" t="s">
        <v>4410</v>
      </c>
      <c r="AE1633" s="635">
        <v>1.6939344187576338E-2</v>
      </c>
      <c r="AF1633" s="635">
        <v>0.12747220842521731</v>
      </c>
      <c r="AG1633" s="635">
        <v>6.4159613314729389E-4</v>
      </c>
      <c r="AH1633" s="635">
        <v>1.9596661512744689E-4</v>
      </c>
    </row>
    <row r="1634" spans="1:34" ht="14.25">
      <c r="A1634" s="14" t="s">
        <v>4954</v>
      </c>
      <c r="B1634" s="24" t="s">
        <v>2768</v>
      </c>
      <c r="C1634" s="14" t="s">
        <v>2870</v>
      </c>
      <c r="D1634" s="14" t="s">
        <v>2911</v>
      </c>
      <c r="E1634" s="14" t="s">
        <v>4955</v>
      </c>
      <c r="F1634" s="13">
        <v>25</v>
      </c>
      <c r="G1634" s="14" t="s">
        <v>4956</v>
      </c>
      <c r="H1634" s="567">
        <v>4114</v>
      </c>
      <c r="I1634" s="14" t="s">
        <v>4957</v>
      </c>
      <c r="J1634" s="14" t="s">
        <v>4958</v>
      </c>
      <c r="K1634" s="478">
        <v>1</v>
      </c>
      <c r="L1634" s="220">
        <v>25</v>
      </c>
      <c r="M1634" s="568" t="s">
        <v>4959</v>
      </c>
      <c r="N1634" s="479" t="s">
        <v>2937</v>
      </c>
      <c r="O1634" s="569" t="s">
        <v>2976</v>
      </c>
      <c r="P1634" s="14" t="s">
        <v>2938</v>
      </c>
      <c r="Q1634" s="14" t="s">
        <v>2939</v>
      </c>
      <c r="R1634" s="14">
        <v>45</v>
      </c>
      <c r="S1634" s="14">
        <f t="shared" si="1448"/>
        <v>11.25</v>
      </c>
      <c r="T1634">
        <f t="shared" ref="T1634:T1646" si="1691">SUM(R$1634:R$1647)</f>
        <v>99.95</v>
      </c>
      <c r="U1634">
        <f t="shared" si="1658"/>
        <v>45.022511255627812</v>
      </c>
      <c r="V1634" s="481">
        <f>U1634</f>
        <v>45.022511255627812</v>
      </c>
      <c r="W1634" s="482" t="s">
        <v>72</v>
      </c>
      <c r="X1634" s="482">
        <f t="shared" si="1659"/>
        <v>45.022511255627812</v>
      </c>
      <c r="Y1634" s="481">
        <f t="shared" ref="Y1634:AA1634" si="1692">X1634</f>
        <v>45.022511255627812</v>
      </c>
      <c r="Z1634" s="481">
        <f t="shared" si="1692"/>
        <v>45.022511255627812</v>
      </c>
      <c r="AA1634" s="796">
        <f t="shared" si="1692"/>
        <v>45.022511255627812</v>
      </c>
      <c r="AB1634" s="456" t="s">
        <v>72</v>
      </c>
      <c r="AC1634" s="469" t="s">
        <v>2938</v>
      </c>
      <c r="AD1634" s="469" t="s">
        <v>2940</v>
      </c>
      <c r="AE1634" s="457">
        <v>0</v>
      </c>
      <c r="AF1634" s="457">
        <v>0</v>
      </c>
      <c r="AG1634" s="457">
        <v>0</v>
      </c>
      <c r="AH1634" s="457">
        <v>0</v>
      </c>
    </row>
    <row r="1635" spans="1:34" ht="14.25">
      <c r="A1635" s="14" t="s">
        <v>4954</v>
      </c>
      <c r="B1635" s="24" t="s">
        <v>2768</v>
      </c>
      <c r="C1635" s="14" t="s">
        <v>2870</v>
      </c>
      <c r="D1635" s="14" t="s">
        <v>2911</v>
      </c>
      <c r="E1635" s="14" t="s">
        <v>4955</v>
      </c>
      <c r="F1635" s="13">
        <v>25</v>
      </c>
      <c r="G1635" s="14" t="s">
        <v>4956</v>
      </c>
      <c r="H1635" s="567">
        <v>4114</v>
      </c>
      <c r="I1635" s="14" t="s">
        <v>4957</v>
      </c>
      <c r="J1635" s="14" t="s">
        <v>4958</v>
      </c>
      <c r="K1635" s="478">
        <v>1</v>
      </c>
      <c r="L1635" s="220">
        <v>25</v>
      </c>
      <c r="M1635" s="568" t="s">
        <v>4959</v>
      </c>
      <c r="N1635" s="479" t="s">
        <v>2937</v>
      </c>
      <c r="O1635" s="569" t="s">
        <v>2976</v>
      </c>
      <c r="P1635" s="14" t="s">
        <v>3021</v>
      </c>
      <c r="Q1635" s="486" t="s">
        <v>3022</v>
      </c>
      <c r="R1635" s="14">
        <v>35</v>
      </c>
      <c r="S1635" s="14">
        <f t="shared" si="1448"/>
        <v>8.75</v>
      </c>
      <c r="T1635">
        <f t="shared" si="1691"/>
        <v>99.95</v>
      </c>
      <c r="U1635">
        <f t="shared" si="1658"/>
        <v>35.017508754377189</v>
      </c>
      <c r="V1635" s="220">
        <f t="shared" ref="V1635:V1647" si="1693">U1635*100/SUM(U$1635:U$1647)</f>
        <v>63.694267515923563</v>
      </c>
      <c r="W1635" s="14" t="s">
        <v>346</v>
      </c>
      <c r="X1635">
        <f t="shared" si="1659"/>
        <v>63.694267515923563</v>
      </c>
      <c r="Y1635" s="220">
        <f t="shared" ref="Y1635:AA1635" si="1694">X1635</f>
        <v>63.694267515923563</v>
      </c>
      <c r="Z1635" s="220">
        <f t="shared" si="1694"/>
        <v>63.694267515923563</v>
      </c>
      <c r="AA1635" s="792">
        <f t="shared" si="1694"/>
        <v>63.694267515923563</v>
      </c>
      <c r="AB1635" s="18" t="s">
        <v>346</v>
      </c>
      <c r="AC1635" s="13" t="s">
        <v>2982</v>
      </c>
      <c r="AD1635" s="13" t="s">
        <v>2983</v>
      </c>
      <c r="AE1635" s="12">
        <v>2.9691872042618299E-2</v>
      </c>
      <c r="AF1635" s="12">
        <v>7.5368545517799299E-2</v>
      </c>
      <c r="AG1635" s="12">
        <v>2.9014018691588786E-4</v>
      </c>
      <c r="AH1635" s="12">
        <v>1.4770983615231311E-3</v>
      </c>
    </row>
    <row r="1636" spans="1:34" ht="14.25">
      <c r="A1636" s="14" t="s">
        <v>4954</v>
      </c>
      <c r="B1636" s="24" t="s">
        <v>2768</v>
      </c>
      <c r="C1636" s="14" t="s">
        <v>2870</v>
      </c>
      <c r="D1636" s="14" t="s">
        <v>2911</v>
      </c>
      <c r="E1636" s="14" t="s">
        <v>4955</v>
      </c>
      <c r="F1636" s="13">
        <v>25</v>
      </c>
      <c r="G1636" s="14" t="s">
        <v>4956</v>
      </c>
      <c r="H1636" s="567">
        <v>4114</v>
      </c>
      <c r="I1636" s="14" t="s">
        <v>4957</v>
      </c>
      <c r="J1636" s="14" t="s">
        <v>4958</v>
      </c>
      <c r="K1636" s="478">
        <v>1</v>
      </c>
      <c r="L1636" s="220">
        <v>25</v>
      </c>
      <c r="M1636" s="568" t="s">
        <v>4959</v>
      </c>
      <c r="N1636" s="479" t="s">
        <v>2937</v>
      </c>
      <c r="O1636" s="569" t="s">
        <v>2976</v>
      </c>
      <c r="P1636" s="14" t="s">
        <v>1376</v>
      </c>
      <c r="Q1636" s="527" t="s">
        <v>3114</v>
      </c>
      <c r="R1636" s="14">
        <v>3</v>
      </c>
      <c r="S1636" s="14">
        <f t="shared" si="1448"/>
        <v>0.75</v>
      </c>
      <c r="T1636">
        <f t="shared" si="1691"/>
        <v>99.95</v>
      </c>
      <c r="U1636">
        <f t="shared" si="1658"/>
        <v>3.0015007503751874</v>
      </c>
      <c r="V1636" s="220">
        <f t="shared" si="1693"/>
        <v>5.4595086442220184</v>
      </c>
      <c r="W1636" s="14" t="s">
        <v>340</v>
      </c>
      <c r="X1636">
        <f t="shared" si="1659"/>
        <v>5.4595086442220184</v>
      </c>
      <c r="Y1636" s="220">
        <f t="shared" ref="Y1636:AA1636" si="1695">X1636</f>
        <v>5.4595086442220184</v>
      </c>
      <c r="Z1636" s="220">
        <f t="shared" si="1695"/>
        <v>5.4595086442220184</v>
      </c>
      <c r="AA1636" s="792">
        <f t="shared" si="1695"/>
        <v>5.4595086442220184</v>
      </c>
      <c r="AB1636" s="18" t="s">
        <v>340</v>
      </c>
      <c r="AC1636" s="13" t="s">
        <v>3115</v>
      </c>
      <c r="AD1636" s="13" t="s">
        <v>3116</v>
      </c>
      <c r="AE1636" s="12">
        <v>2.1708241661196198E-2</v>
      </c>
      <c r="AF1636" s="12">
        <v>0.36572952458380198</v>
      </c>
      <c r="AG1636" s="12">
        <v>4.6350652173913045E-4</v>
      </c>
      <c r="AH1636" s="12">
        <v>1.6975608035415088E-3</v>
      </c>
    </row>
    <row r="1637" spans="1:34" ht="14.25">
      <c r="A1637" s="14" t="s">
        <v>4954</v>
      </c>
      <c r="B1637" s="24" t="s">
        <v>2768</v>
      </c>
      <c r="C1637" s="14" t="s">
        <v>2870</v>
      </c>
      <c r="D1637" s="14" t="s">
        <v>2911</v>
      </c>
      <c r="E1637" s="14" t="s">
        <v>4955</v>
      </c>
      <c r="F1637" s="13">
        <v>25</v>
      </c>
      <c r="G1637" s="14" t="s">
        <v>4956</v>
      </c>
      <c r="H1637" s="567">
        <v>4114</v>
      </c>
      <c r="I1637" s="14" t="s">
        <v>4957</v>
      </c>
      <c r="J1637" s="14" t="s">
        <v>4958</v>
      </c>
      <c r="K1637" s="478">
        <v>1</v>
      </c>
      <c r="L1637" s="220">
        <v>25</v>
      </c>
      <c r="M1637" s="568" t="s">
        <v>4959</v>
      </c>
      <c r="N1637" s="479" t="s">
        <v>2937</v>
      </c>
      <c r="O1637" s="569" t="s">
        <v>2976</v>
      </c>
      <c r="P1637" s="14" t="s">
        <v>85</v>
      </c>
      <c r="Q1637" s="10" t="s">
        <v>3171</v>
      </c>
      <c r="R1637" s="14">
        <v>3</v>
      </c>
      <c r="S1637" s="14">
        <f t="shared" si="1448"/>
        <v>0.75</v>
      </c>
      <c r="T1637">
        <f t="shared" si="1691"/>
        <v>99.95</v>
      </c>
      <c r="U1637">
        <f t="shared" si="1658"/>
        <v>3.0015007503751874</v>
      </c>
      <c r="V1637" s="220">
        <f t="shared" si="1693"/>
        <v>5.4595086442220184</v>
      </c>
      <c r="W1637" s="14" t="s">
        <v>85</v>
      </c>
      <c r="X1637">
        <f t="shared" si="1659"/>
        <v>5.4595086442220184</v>
      </c>
      <c r="Y1637" s="220">
        <f t="shared" ref="Y1637:AA1637" si="1696">X1637</f>
        <v>5.4595086442220184</v>
      </c>
      <c r="Z1637" s="220">
        <f t="shared" si="1696"/>
        <v>5.4595086442220184</v>
      </c>
      <c r="AA1637" s="792">
        <f t="shared" si="1696"/>
        <v>5.4595086442220184</v>
      </c>
      <c r="AB1637" s="18" t="s">
        <v>85</v>
      </c>
      <c r="AC1637" s="13" t="s">
        <v>18</v>
      </c>
      <c r="AD1637" s="13" t="s">
        <v>18</v>
      </c>
      <c r="AE1637" s="12">
        <v>2.0262392565709405E-4</v>
      </c>
      <c r="AF1637" s="12">
        <v>1.0885928720785719E-2</v>
      </c>
      <c r="AG1637" s="12">
        <v>6.2837933649623454E-6</v>
      </c>
      <c r="AH1637" s="12">
        <v>4.6142098112569087E-5</v>
      </c>
    </row>
    <row r="1638" spans="1:34" ht="14.25">
      <c r="A1638" s="14" t="s">
        <v>4954</v>
      </c>
      <c r="B1638" s="24" t="s">
        <v>2768</v>
      </c>
      <c r="C1638" s="14" t="s">
        <v>2870</v>
      </c>
      <c r="D1638" s="14" t="s">
        <v>2911</v>
      </c>
      <c r="E1638" s="14" t="s">
        <v>4955</v>
      </c>
      <c r="F1638" s="13">
        <v>25</v>
      </c>
      <c r="G1638" s="14" t="s">
        <v>4956</v>
      </c>
      <c r="H1638" s="567">
        <v>4114</v>
      </c>
      <c r="I1638" s="14" t="s">
        <v>4957</v>
      </c>
      <c r="J1638" s="14" t="s">
        <v>4958</v>
      </c>
      <c r="K1638" s="478">
        <v>1</v>
      </c>
      <c r="L1638" s="220">
        <v>25</v>
      </c>
      <c r="M1638" s="568" t="s">
        <v>4959</v>
      </c>
      <c r="N1638" s="479" t="s">
        <v>2937</v>
      </c>
      <c r="O1638" s="569" t="s">
        <v>2976</v>
      </c>
      <c r="P1638" s="14" t="s">
        <v>2945</v>
      </c>
      <c r="Q1638" s="14" t="s">
        <v>2946</v>
      </c>
      <c r="R1638" s="14">
        <v>3</v>
      </c>
      <c r="S1638" s="14">
        <f t="shared" ref="S1638:S1651" si="1697">(0.01*R1638)*L1638</f>
        <v>0.75</v>
      </c>
      <c r="T1638">
        <f t="shared" si="1691"/>
        <v>99.95</v>
      </c>
      <c r="U1638">
        <f t="shared" si="1658"/>
        <v>3.0015007503751874</v>
      </c>
      <c r="V1638" s="220">
        <f t="shared" si="1693"/>
        <v>5.4595086442220184</v>
      </c>
      <c r="W1638" s="14" t="s">
        <v>433</v>
      </c>
      <c r="X1638">
        <f t="shared" si="1659"/>
        <v>5.4595086442220184</v>
      </c>
      <c r="Y1638" s="220">
        <f t="shared" ref="Y1638:AA1638" si="1698">X1638</f>
        <v>5.4595086442220184</v>
      </c>
      <c r="Z1638" s="220">
        <f t="shared" si="1698"/>
        <v>5.4595086442220184</v>
      </c>
      <c r="AA1638" s="792">
        <f t="shared" si="1698"/>
        <v>5.4595086442220184</v>
      </c>
      <c r="AB1638" s="18" t="s">
        <v>433</v>
      </c>
      <c r="AC1638" s="13" t="s">
        <v>433</v>
      </c>
      <c r="AD1638" s="13" t="s">
        <v>2947</v>
      </c>
      <c r="AE1638" s="12">
        <v>3.0104466724907065E-4</v>
      </c>
      <c r="AF1638" s="12">
        <v>1.2500000000000001E-2</v>
      </c>
      <c r="AG1638" s="12">
        <v>5.1818181818181835E-4</v>
      </c>
      <c r="AH1638" s="12">
        <v>4.0084080366977777E-4</v>
      </c>
    </row>
    <row r="1639" spans="1:34" ht="14.25">
      <c r="A1639" s="14" t="s">
        <v>4954</v>
      </c>
      <c r="B1639" s="24" t="s">
        <v>2768</v>
      </c>
      <c r="C1639" s="14" t="s">
        <v>2870</v>
      </c>
      <c r="D1639" s="14" t="s">
        <v>2911</v>
      </c>
      <c r="E1639" s="14" t="s">
        <v>4955</v>
      </c>
      <c r="F1639" s="13">
        <v>25</v>
      </c>
      <c r="G1639" s="14" t="s">
        <v>4956</v>
      </c>
      <c r="H1639" s="567">
        <v>4114</v>
      </c>
      <c r="I1639" s="14" t="s">
        <v>4957</v>
      </c>
      <c r="J1639" s="14" t="s">
        <v>4958</v>
      </c>
      <c r="K1639" s="478">
        <v>1</v>
      </c>
      <c r="L1639" s="220">
        <v>25</v>
      </c>
      <c r="M1639" s="568" t="s">
        <v>4959</v>
      </c>
      <c r="N1639" s="479" t="s">
        <v>2937</v>
      </c>
      <c r="O1639" s="569" t="s">
        <v>2976</v>
      </c>
      <c r="P1639" s="14" t="s">
        <v>2962</v>
      </c>
      <c r="Q1639" s="88" t="s">
        <v>2963</v>
      </c>
      <c r="R1639" s="14">
        <v>2.7</v>
      </c>
      <c r="S1639" s="14">
        <f t="shared" si="1697"/>
        <v>0.67500000000000004</v>
      </c>
      <c r="T1639">
        <f t="shared" si="1691"/>
        <v>99.95</v>
      </c>
      <c r="U1639">
        <f t="shared" si="1658"/>
        <v>2.7013506753376686</v>
      </c>
      <c r="V1639" s="220">
        <f t="shared" si="1693"/>
        <v>4.9135577797998167</v>
      </c>
      <c r="W1639" s="14" t="s">
        <v>425</v>
      </c>
      <c r="X1639">
        <f t="shared" si="1659"/>
        <v>4.9135577797998167</v>
      </c>
      <c r="Y1639" s="220">
        <f>SUM(X1639,X1645)</f>
        <v>6.7333939945404904</v>
      </c>
      <c r="Z1639" s="220">
        <f t="shared" ref="Z1639:Z1640" si="1699">X1639</f>
        <v>4.9135577797998167</v>
      </c>
      <c r="AA1639" s="792">
        <f t="shared" ref="AA1639:AA1640" si="1700">Z1639</f>
        <v>4.9135577797998167</v>
      </c>
      <c r="AB1639" s="18" t="s">
        <v>2525</v>
      </c>
      <c r="AC1639" s="13" t="s">
        <v>2964</v>
      </c>
      <c r="AD1639" s="13" t="s">
        <v>2965</v>
      </c>
      <c r="AE1639" s="12">
        <v>3.8102374934982654E-3</v>
      </c>
      <c r="AF1639" s="12">
        <v>0.20470422547079484</v>
      </c>
      <c r="AG1639" s="12">
        <v>1.210810810810811E-4</v>
      </c>
      <c r="AH1639" s="12">
        <v>1.0002400855855065E-3</v>
      </c>
    </row>
    <row r="1640" spans="1:34" ht="14.25">
      <c r="A1640" s="14" t="s">
        <v>4954</v>
      </c>
      <c r="B1640" s="24" t="s">
        <v>2768</v>
      </c>
      <c r="C1640" s="14" t="s">
        <v>2870</v>
      </c>
      <c r="D1640" s="14" t="s">
        <v>2911</v>
      </c>
      <c r="E1640" s="14" t="s">
        <v>4955</v>
      </c>
      <c r="F1640" s="13">
        <v>25</v>
      </c>
      <c r="G1640" s="14" t="s">
        <v>4956</v>
      </c>
      <c r="H1640" s="567">
        <v>4114</v>
      </c>
      <c r="I1640" s="14" t="s">
        <v>4957</v>
      </c>
      <c r="J1640" s="14" t="s">
        <v>4958</v>
      </c>
      <c r="K1640" s="478">
        <v>1</v>
      </c>
      <c r="L1640" s="220">
        <v>25</v>
      </c>
      <c r="M1640" s="568" t="s">
        <v>4959</v>
      </c>
      <c r="N1640" s="479" t="s">
        <v>2937</v>
      </c>
      <c r="O1640" s="569" t="s">
        <v>2976</v>
      </c>
      <c r="P1640" s="14" t="s">
        <v>3017</v>
      </c>
      <c r="Q1640" s="486" t="s">
        <v>3018</v>
      </c>
      <c r="R1640" s="14">
        <v>1.25</v>
      </c>
      <c r="S1640" s="14">
        <f t="shared" si="1697"/>
        <v>0.3125</v>
      </c>
      <c r="T1640">
        <f t="shared" si="1691"/>
        <v>99.95</v>
      </c>
      <c r="U1640">
        <f t="shared" si="1658"/>
        <v>1.250625312656328</v>
      </c>
      <c r="V1640" s="220">
        <f t="shared" si="1693"/>
        <v>2.2747952684258408</v>
      </c>
      <c r="W1640" s="14" t="s">
        <v>2792</v>
      </c>
      <c r="X1640">
        <f t="shared" si="1659"/>
        <v>2.2747952684258408</v>
      </c>
      <c r="Y1640" s="220">
        <f t="shared" ref="Y1640:Y1641" si="1701">X1640</f>
        <v>2.2747952684258408</v>
      </c>
      <c r="Z1640" s="220">
        <f t="shared" si="1699"/>
        <v>2.2747952684258408</v>
      </c>
      <c r="AA1640" s="792">
        <f t="shared" si="1700"/>
        <v>2.2747952684258408</v>
      </c>
      <c r="AB1640" s="458" t="s">
        <v>2871</v>
      </c>
      <c r="AC1640" s="497" t="s">
        <v>138</v>
      </c>
      <c r="AD1640" s="497" t="s">
        <v>3019</v>
      </c>
      <c r="AE1640" s="12">
        <v>4.0165275294130297E-3</v>
      </c>
      <c r="AF1640" s="12">
        <v>3.2725331200335404E-2</v>
      </c>
      <c r="AG1640" s="12">
        <v>2.4399999999999999E-4</v>
      </c>
      <c r="AH1640" s="12">
        <v>2.0392735E-3</v>
      </c>
    </row>
    <row r="1641" spans="1:34" ht="14.25">
      <c r="A1641" s="14" t="s">
        <v>4954</v>
      </c>
      <c r="B1641" s="24" t="s">
        <v>2768</v>
      </c>
      <c r="C1641" s="14" t="s">
        <v>2870</v>
      </c>
      <c r="D1641" s="14" t="s">
        <v>2911</v>
      </c>
      <c r="E1641" s="14" t="s">
        <v>4955</v>
      </c>
      <c r="F1641" s="13">
        <v>25</v>
      </c>
      <c r="G1641" s="14" t="s">
        <v>4956</v>
      </c>
      <c r="H1641" s="567">
        <v>4114</v>
      </c>
      <c r="I1641" s="14" t="s">
        <v>4957</v>
      </c>
      <c r="J1641" s="14" t="s">
        <v>4958</v>
      </c>
      <c r="K1641" s="478">
        <v>1</v>
      </c>
      <c r="L1641" s="220">
        <v>25</v>
      </c>
      <c r="M1641" s="568" t="s">
        <v>4959</v>
      </c>
      <c r="N1641" s="479" t="s">
        <v>2937</v>
      </c>
      <c r="O1641" s="569" t="s">
        <v>2976</v>
      </c>
      <c r="P1641" s="14" t="s">
        <v>4262</v>
      </c>
      <c r="Q1641" s="486" t="s">
        <v>4280</v>
      </c>
      <c r="R1641" s="14">
        <v>1</v>
      </c>
      <c r="S1641" s="14">
        <f t="shared" si="1697"/>
        <v>0.25</v>
      </c>
      <c r="T1641">
        <f t="shared" si="1691"/>
        <v>99.95</v>
      </c>
      <c r="U1641">
        <f t="shared" si="1658"/>
        <v>1.0005002501250626</v>
      </c>
      <c r="V1641" s="220">
        <f t="shared" si="1693"/>
        <v>1.8198362147406733</v>
      </c>
      <c r="W1641" s="14" t="s">
        <v>92</v>
      </c>
      <c r="X1641">
        <f t="shared" si="1659"/>
        <v>1.8198362147406733</v>
      </c>
      <c r="Y1641" s="499">
        <f t="shared" si="1701"/>
        <v>1.8198362147406733</v>
      </c>
      <c r="Z1641" s="220">
        <f t="shared" ref="Z1641:AA1641" si="1702">Y1641</f>
        <v>1.8198362147406733</v>
      </c>
      <c r="AA1641" s="792">
        <f t="shared" si="1702"/>
        <v>1.8198362147406733</v>
      </c>
      <c r="AB1641" s="466" t="s">
        <v>92</v>
      </c>
      <c r="AC1641" s="946" t="s">
        <v>92</v>
      </c>
      <c r="AD1641" s="946" t="s">
        <v>4264</v>
      </c>
      <c r="AE1641" s="12">
        <v>4.7583080568720385E-3</v>
      </c>
      <c r="AF1641" s="12">
        <v>1.399027962085308E-2</v>
      </c>
      <c r="AG1641" s="12">
        <v>9.3273274881516596E-5</v>
      </c>
      <c r="AH1641" s="12">
        <v>8.7765402843601901E-4</v>
      </c>
    </row>
    <row r="1642" spans="1:34" ht="14.25">
      <c r="A1642" s="14" t="s">
        <v>4954</v>
      </c>
      <c r="B1642" s="24" t="s">
        <v>2768</v>
      </c>
      <c r="C1642" s="14" t="s">
        <v>2870</v>
      </c>
      <c r="D1642" s="14" t="s">
        <v>2911</v>
      </c>
      <c r="E1642" s="14" t="s">
        <v>4955</v>
      </c>
      <c r="F1642" s="13">
        <v>25</v>
      </c>
      <c r="G1642" s="14" t="s">
        <v>4956</v>
      </c>
      <c r="H1642" s="567">
        <v>4114</v>
      </c>
      <c r="I1642" s="14" t="s">
        <v>4957</v>
      </c>
      <c r="J1642" s="14" t="s">
        <v>4958</v>
      </c>
      <c r="K1642" s="478">
        <v>1</v>
      </c>
      <c r="L1642" s="220">
        <v>25</v>
      </c>
      <c r="M1642" s="568" t="s">
        <v>4959</v>
      </c>
      <c r="N1642" s="479" t="s">
        <v>2937</v>
      </c>
      <c r="O1642" s="569" t="s">
        <v>2976</v>
      </c>
      <c r="P1642" s="14" t="s">
        <v>2584</v>
      </c>
      <c r="Q1642" s="486" t="s">
        <v>3423</v>
      </c>
      <c r="R1642" s="14">
        <v>1</v>
      </c>
      <c r="S1642" s="14">
        <f t="shared" si="1697"/>
        <v>0.25</v>
      </c>
      <c r="T1642">
        <f t="shared" si="1691"/>
        <v>99.95</v>
      </c>
      <c r="U1642">
        <f t="shared" si="1658"/>
        <v>1.0005002501250626</v>
      </c>
      <c r="V1642" s="220">
        <f t="shared" si="1693"/>
        <v>1.8198362147406733</v>
      </c>
      <c r="W1642" s="14" t="s">
        <v>2584</v>
      </c>
      <c r="X1642">
        <f t="shared" si="1659"/>
        <v>1.8198362147406733</v>
      </c>
      <c r="Y1642" s="220">
        <f>SUM(X1642,X1643,X1646)</f>
        <v>5.4595086442220193</v>
      </c>
      <c r="Z1642" s="220">
        <f t="shared" ref="Z1642:Z1643" si="1703">X1642</f>
        <v>1.8198362147406733</v>
      </c>
      <c r="AA1642" s="792">
        <f t="shared" ref="AA1642:AA1643" si="1704">Z1642</f>
        <v>1.8198362147406733</v>
      </c>
      <c r="AB1642" s="458" t="s">
        <v>2584</v>
      </c>
      <c r="AC1642" s="13" t="s">
        <v>3424</v>
      </c>
      <c r="AD1642" s="13" t="s">
        <v>3425</v>
      </c>
      <c r="AE1642" s="12">
        <v>4.7754773653722405E-4</v>
      </c>
      <c r="AF1642" s="12">
        <v>9.9048845026103102E-3</v>
      </c>
      <c r="AG1642" s="12">
        <v>1.1598405219282348E-5</v>
      </c>
      <c r="AH1642" s="12">
        <v>9.908404494382022E-5</v>
      </c>
    </row>
    <row r="1643" spans="1:34" ht="14.25">
      <c r="A1643" s="14" t="s">
        <v>4954</v>
      </c>
      <c r="B1643" s="24" t="s">
        <v>2768</v>
      </c>
      <c r="C1643" s="14" t="s">
        <v>2870</v>
      </c>
      <c r="D1643" s="14" t="s">
        <v>2911</v>
      </c>
      <c r="E1643" s="14" t="s">
        <v>4955</v>
      </c>
      <c r="F1643" s="13">
        <v>25</v>
      </c>
      <c r="G1643" s="14" t="s">
        <v>4956</v>
      </c>
      <c r="H1643" s="567">
        <v>4114</v>
      </c>
      <c r="I1643" s="14" t="s">
        <v>4957</v>
      </c>
      <c r="J1643" s="14" t="s">
        <v>4958</v>
      </c>
      <c r="K1643" s="478">
        <v>1</v>
      </c>
      <c r="L1643" s="220">
        <v>25</v>
      </c>
      <c r="M1643" s="568" t="s">
        <v>4959</v>
      </c>
      <c r="N1643" s="479" t="s">
        <v>2937</v>
      </c>
      <c r="O1643" s="569" t="s">
        <v>2976</v>
      </c>
      <c r="P1643" s="14" t="s">
        <v>3426</v>
      </c>
      <c r="Q1643" s="14" t="s">
        <v>3427</v>
      </c>
      <c r="R1643" s="14">
        <v>1</v>
      </c>
      <c r="S1643" s="14">
        <f t="shared" si="1697"/>
        <v>0.25</v>
      </c>
      <c r="T1643">
        <f t="shared" si="1691"/>
        <v>99.95</v>
      </c>
      <c r="U1643">
        <f t="shared" si="1658"/>
        <v>1.0005002501250626</v>
      </c>
      <c r="V1643" s="220">
        <f t="shared" si="1693"/>
        <v>1.8198362147406733</v>
      </c>
      <c r="W1643" s="14" t="s">
        <v>465</v>
      </c>
      <c r="X1643">
        <f t="shared" si="1659"/>
        <v>1.8198362147406733</v>
      </c>
      <c r="Y1643" s="220" t="s">
        <v>1666</v>
      </c>
      <c r="Z1643" s="220">
        <f t="shared" si="1703"/>
        <v>1.8198362147406733</v>
      </c>
      <c r="AA1643" s="792">
        <f t="shared" si="1704"/>
        <v>1.8198362147406733</v>
      </c>
      <c r="AB1643" s="466" t="s">
        <v>465</v>
      </c>
      <c r="AC1643" s="831" t="s">
        <v>4357</v>
      </c>
      <c r="AD1643" s="831" t="s">
        <v>25</v>
      </c>
      <c r="AE1643" s="12">
        <v>3.5869956401399267E-3</v>
      </c>
      <c r="AF1643" s="12">
        <v>5.9424698083949859E-2</v>
      </c>
      <c r="AG1643" s="12">
        <v>2.0682712335107616E-4</v>
      </c>
      <c r="AH1643" s="12">
        <v>2.4206091537452754E-3</v>
      </c>
    </row>
    <row r="1644" spans="1:34" ht="14.25">
      <c r="A1644" s="14" t="s">
        <v>4954</v>
      </c>
      <c r="B1644" s="24" t="s">
        <v>2768</v>
      </c>
      <c r="C1644" s="14" t="s">
        <v>2870</v>
      </c>
      <c r="D1644" s="14" t="s">
        <v>2911</v>
      </c>
      <c r="E1644" s="14" t="s">
        <v>4955</v>
      </c>
      <c r="F1644" s="13">
        <v>25</v>
      </c>
      <c r="G1644" s="14" t="s">
        <v>4956</v>
      </c>
      <c r="H1644" s="567">
        <v>4114</v>
      </c>
      <c r="I1644" s="14" t="s">
        <v>4957</v>
      </c>
      <c r="J1644" s="14" t="s">
        <v>4958</v>
      </c>
      <c r="K1644" s="478">
        <v>1</v>
      </c>
      <c r="L1644" s="220">
        <v>25</v>
      </c>
      <c r="M1644" s="568" t="s">
        <v>4959</v>
      </c>
      <c r="N1644" s="479" t="s">
        <v>2937</v>
      </c>
      <c r="O1644" s="569" t="s">
        <v>2976</v>
      </c>
      <c r="P1644" s="14" t="s">
        <v>4407</v>
      </c>
      <c r="Q1644" s="486" t="s">
        <v>4408</v>
      </c>
      <c r="R1644" s="14">
        <v>1</v>
      </c>
      <c r="S1644" s="14">
        <f t="shared" si="1697"/>
        <v>0.25</v>
      </c>
      <c r="T1644">
        <f t="shared" si="1691"/>
        <v>99.95</v>
      </c>
      <c r="U1644">
        <f t="shared" si="1658"/>
        <v>1.0005002501250626</v>
      </c>
      <c r="V1644" s="220">
        <f t="shared" si="1693"/>
        <v>1.8198362147406733</v>
      </c>
      <c r="W1644" s="14" t="s">
        <v>38</v>
      </c>
      <c r="X1644">
        <f t="shared" si="1659"/>
        <v>1.8198362147406733</v>
      </c>
      <c r="Y1644" s="499">
        <f t="shared" ref="Y1644:AA1644" si="1705">X1644</f>
        <v>1.8198362147406733</v>
      </c>
      <c r="Z1644" s="220">
        <f t="shared" si="1705"/>
        <v>1.8198362147406733</v>
      </c>
      <c r="AA1644" s="792">
        <f t="shared" si="1705"/>
        <v>1.8198362147406733</v>
      </c>
      <c r="AB1644" s="466" t="s">
        <v>38</v>
      </c>
      <c r="AC1644" s="946" t="s">
        <v>4409</v>
      </c>
      <c r="AD1644" s="946" t="s">
        <v>4410</v>
      </c>
      <c r="AE1644" s="12">
        <v>1.6939344187576338E-2</v>
      </c>
      <c r="AF1644" s="12">
        <v>0.12747220842521731</v>
      </c>
      <c r="AG1644" s="12">
        <v>6.4159613314729389E-4</v>
      </c>
      <c r="AH1644" s="12">
        <v>1.9596661512744689E-4</v>
      </c>
    </row>
    <row r="1645" spans="1:34" ht="14.25">
      <c r="A1645" s="14" t="s">
        <v>4954</v>
      </c>
      <c r="B1645" s="24" t="s">
        <v>2768</v>
      </c>
      <c r="C1645" s="14" t="s">
        <v>2870</v>
      </c>
      <c r="D1645" s="14" t="s">
        <v>2911</v>
      </c>
      <c r="E1645" s="14" t="s">
        <v>4955</v>
      </c>
      <c r="F1645" s="13">
        <v>25</v>
      </c>
      <c r="G1645" s="14" t="s">
        <v>4956</v>
      </c>
      <c r="H1645" s="567">
        <v>4114</v>
      </c>
      <c r="I1645" s="14" t="s">
        <v>4957</v>
      </c>
      <c r="J1645" s="14" t="s">
        <v>4958</v>
      </c>
      <c r="K1645" s="478">
        <v>1</v>
      </c>
      <c r="L1645" s="220">
        <v>25</v>
      </c>
      <c r="M1645" s="568" t="s">
        <v>4959</v>
      </c>
      <c r="N1645" s="479" t="s">
        <v>2937</v>
      </c>
      <c r="O1645" s="569" t="s">
        <v>2976</v>
      </c>
      <c r="P1645" s="655" t="s">
        <v>2977</v>
      </c>
      <c r="Q1645" s="553" t="s">
        <v>2978</v>
      </c>
      <c r="R1645" s="14">
        <v>1</v>
      </c>
      <c r="S1645" s="14">
        <f t="shared" si="1697"/>
        <v>0.25</v>
      </c>
      <c r="T1645">
        <f t="shared" si="1691"/>
        <v>99.95</v>
      </c>
      <c r="U1645">
        <f t="shared" si="1658"/>
        <v>1.0005002501250626</v>
      </c>
      <c r="V1645" s="220">
        <f t="shared" si="1693"/>
        <v>1.8198362147406733</v>
      </c>
      <c r="W1645" s="14" t="s">
        <v>227</v>
      </c>
      <c r="X1645">
        <f t="shared" si="1659"/>
        <v>1.8198362147406733</v>
      </c>
      <c r="Y1645" s="220" t="s">
        <v>1666</v>
      </c>
      <c r="Z1645" s="220">
        <f t="shared" ref="Z1645:Z1646" si="1706">X1645</f>
        <v>1.8198362147406733</v>
      </c>
      <c r="AA1645" s="792">
        <f t="shared" ref="AA1645:AA1646" si="1707">Z1645</f>
        <v>1.8198362147406733</v>
      </c>
      <c r="AB1645" s="18" t="s">
        <v>2530</v>
      </c>
      <c r="AC1645" s="13" t="s">
        <v>55</v>
      </c>
      <c r="AD1645" s="13" t="s">
        <v>2979</v>
      </c>
      <c r="AE1645" s="12">
        <v>2.5055367220000002E-3</v>
      </c>
      <c r="AF1645" s="12">
        <v>3.8459841414181101E-2</v>
      </c>
      <c r="AG1645" s="12">
        <v>1.1035422343324251E-4</v>
      </c>
      <c r="AH1645" s="12">
        <v>8.109653861711444E-4</v>
      </c>
    </row>
    <row r="1646" spans="1:34" ht="14.25">
      <c r="A1646" s="14" t="s">
        <v>4954</v>
      </c>
      <c r="B1646" s="24" t="s">
        <v>2768</v>
      </c>
      <c r="C1646" s="14" t="s">
        <v>2870</v>
      </c>
      <c r="D1646" s="14" t="s">
        <v>2911</v>
      </c>
      <c r="E1646" s="14" t="s">
        <v>4955</v>
      </c>
      <c r="F1646" s="13">
        <v>25</v>
      </c>
      <c r="G1646" s="14" t="s">
        <v>4956</v>
      </c>
      <c r="H1646" s="567">
        <v>4114</v>
      </c>
      <c r="I1646" s="14" t="s">
        <v>4957</v>
      </c>
      <c r="J1646" s="14" t="s">
        <v>4958</v>
      </c>
      <c r="K1646" s="478">
        <v>1</v>
      </c>
      <c r="L1646" s="220">
        <v>25</v>
      </c>
      <c r="M1646" s="568" t="s">
        <v>4959</v>
      </c>
      <c r="N1646" s="479" t="s">
        <v>2937</v>
      </c>
      <c r="O1646" s="569" t="s">
        <v>2976</v>
      </c>
      <c r="P1646" s="14" t="s">
        <v>3682</v>
      </c>
      <c r="Q1646" s="10" t="s">
        <v>3684</v>
      </c>
      <c r="R1646" s="14">
        <v>1</v>
      </c>
      <c r="S1646" s="14">
        <f t="shared" si="1697"/>
        <v>0.25</v>
      </c>
      <c r="T1646">
        <f t="shared" si="1691"/>
        <v>99.95</v>
      </c>
      <c r="U1646">
        <f t="shared" si="1658"/>
        <v>1.0005002501250626</v>
      </c>
      <c r="V1646" s="220">
        <f t="shared" si="1693"/>
        <v>1.8198362147406733</v>
      </c>
      <c r="W1646" s="14" t="s">
        <v>2627</v>
      </c>
      <c r="X1646">
        <f t="shared" si="1659"/>
        <v>1.8198362147406733</v>
      </c>
      <c r="Y1646" s="220" t="s">
        <v>1666</v>
      </c>
      <c r="Z1646" s="220">
        <f t="shared" si="1706"/>
        <v>1.8198362147406733</v>
      </c>
      <c r="AA1646" s="792">
        <f t="shared" si="1707"/>
        <v>1.8198362147406733</v>
      </c>
      <c r="AB1646" s="466" t="s">
        <v>2872</v>
      </c>
      <c r="AC1646" s="831" t="s">
        <v>3443</v>
      </c>
      <c r="AD1646" s="831" t="s">
        <v>3444</v>
      </c>
      <c r="AE1646" s="832">
        <v>8.2739760746147598E-4</v>
      </c>
      <c r="AF1646" s="832">
        <v>1.9887131659999998E-2</v>
      </c>
      <c r="AG1646" s="832">
        <v>5.1219512195121953E-5</v>
      </c>
      <c r="AH1646" s="832">
        <v>3.2262731707317075E-4</v>
      </c>
    </row>
    <row r="1647" spans="1:34" ht="14.25">
      <c r="A1647" s="617" t="s">
        <v>4954</v>
      </c>
      <c r="B1647" s="794" t="s">
        <v>2768</v>
      </c>
      <c r="C1647" s="617" t="s">
        <v>2870</v>
      </c>
      <c r="D1647" s="617" t="s">
        <v>2911</v>
      </c>
      <c r="E1647" s="617" t="s">
        <v>4955</v>
      </c>
      <c r="F1647" s="799">
        <v>25</v>
      </c>
      <c r="G1647" s="617" t="s">
        <v>4956</v>
      </c>
      <c r="H1647" s="910">
        <v>4114</v>
      </c>
      <c r="I1647" s="617" t="s">
        <v>4957</v>
      </c>
      <c r="J1647" s="617" t="s">
        <v>4958</v>
      </c>
      <c r="K1647" s="838">
        <v>1</v>
      </c>
      <c r="L1647" s="725">
        <v>25</v>
      </c>
      <c r="M1647" s="568" t="s">
        <v>4959</v>
      </c>
      <c r="N1647" s="479" t="s">
        <v>2937</v>
      </c>
      <c r="O1647" s="569" t="s">
        <v>2976</v>
      </c>
      <c r="P1647" s="617" t="s">
        <v>3041</v>
      </c>
      <c r="Q1647" s="856" t="s">
        <v>4960</v>
      </c>
      <c r="R1647" s="617">
        <v>1</v>
      </c>
      <c r="S1647" s="617">
        <f t="shared" si="1697"/>
        <v>0.25</v>
      </c>
      <c r="T1647" s="617">
        <f>SUM(R1634:R1647)</f>
        <v>99.95</v>
      </c>
      <c r="U1647">
        <f t="shared" si="1658"/>
        <v>1.0005002501250626</v>
      </c>
      <c r="V1647" s="220">
        <f t="shared" si="1693"/>
        <v>1.8198362147406733</v>
      </c>
      <c r="W1647" s="617" t="s">
        <v>81</v>
      </c>
      <c r="X1647">
        <f t="shared" si="1659"/>
        <v>1.8198362147406733</v>
      </c>
      <c r="Y1647" s="499">
        <f t="shared" ref="Y1647:AA1647" si="1708">X1647</f>
        <v>1.8198362147406733</v>
      </c>
      <c r="Z1647" s="725">
        <f t="shared" si="1708"/>
        <v>1.8198362147406733</v>
      </c>
      <c r="AA1647" s="455">
        <f t="shared" si="1708"/>
        <v>1.8198362147406733</v>
      </c>
      <c r="AB1647" s="793" t="s">
        <v>81</v>
      </c>
      <c r="AC1647" s="13" t="s">
        <v>18</v>
      </c>
      <c r="AD1647" s="13" t="s">
        <v>18</v>
      </c>
      <c r="AE1647" s="635">
        <v>1.9912385503783353E-2</v>
      </c>
      <c r="AF1647" s="635">
        <v>5.6949422540820388E-2</v>
      </c>
      <c r="AG1647" s="635">
        <v>3.8829151732377542E-3</v>
      </c>
      <c r="AH1647" s="635">
        <v>5.6321186778176026E-3</v>
      </c>
    </row>
    <row r="1648" spans="1:34" ht="12.75">
      <c r="A1648" s="753" t="s">
        <v>4961</v>
      </c>
      <c r="B1648" s="805" t="s">
        <v>2768</v>
      </c>
      <c r="C1648" s="753" t="s">
        <v>2873</v>
      </c>
      <c r="D1648" s="753" t="s">
        <v>2911</v>
      </c>
      <c r="E1648" s="753" t="s">
        <v>4962</v>
      </c>
      <c r="F1648" s="805">
        <v>1</v>
      </c>
      <c r="G1648" s="753" t="s">
        <v>4963</v>
      </c>
      <c r="H1648" s="921">
        <v>43158</v>
      </c>
      <c r="I1648" s="753" t="s">
        <v>438</v>
      </c>
      <c r="J1648" s="753" t="s">
        <v>4964</v>
      </c>
      <c r="K1648" s="864">
        <v>1</v>
      </c>
      <c r="L1648" s="865">
        <v>1</v>
      </c>
      <c r="M1648" s="922" t="s">
        <v>4965</v>
      </c>
      <c r="N1648" s="922"/>
      <c r="O1648" s="923"/>
      <c r="P1648" s="753" t="s">
        <v>438</v>
      </c>
      <c r="Q1648" s="753" t="s">
        <v>4206</v>
      </c>
      <c r="R1648" s="753">
        <v>100</v>
      </c>
      <c r="S1648" s="753">
        <f t="shared" si="1697"/>
        <v>1</v>
      </c>
      <c r="T1648" s="753">
        <f t="shared" ref="T1648:T1651" si="1709">R1648</f>
        <v>100</v>
      </c>
      <c r="U1648" s="753">
        <f t="shared" ref="U1648:V1648" si="1710">T1648</f>
        <v>100</v>
      </c>
      <c r="V1648" s="865">
        <f t="shared" si="1710"/>
        <v>100</v>
      </c>
      <c r="W1648" s="753" t="s">
        <v>438</v>
      </c>
      <c r="X1648" s="753">
        <f t="shared" si="1659"/>
        <v>100</v>
      </c>
      <c r="Y1648" s="865">
        <f t="shared" ref="Y1648:AA1648" si="1711">X1648</f>
        <v>100</v>
      </c>
      <c r="Z1648" s="865">
        <f t="shared" si="1711"/>
        <v>100</v>
      </c>
      <c r="AA1648" s="807">
        <f t="shared" si="1711"/>
        <v>100</v>
      </c>
      <c r="AB1648" s="806" t="s">
        <v>438</v>
      </c>
      <c r="AC1648" s="805" t="s">
        <v>3056</v>
      </c>
      <c r="AD1648" s="805" t="s">
        <v>3057</v>
      </c>
      <c r="AE1648" s="635">
        <v>0</v>
      </c>
      <c r="AF1648" s="635">
        <v>0</v>
      </c>
      <c r="AG1648" s="635">
        <v>0</v>
      </c>
      <c r="AH1648" s="635">
        <v>0</v>
      </c>
    </row>
    <row r="1649" spans="1:34" ht="12.75">
      <c r="A1649" s="753" t="s">
        <v>4966</v>
      </c>
      <c r="B1649" s="805">
        <v>27</v>
      </c>
      <c r="C1649" s="753" t="s">
        <v>2874</v>
      </c>
      <c r="D1649" s="753" t="s">
        <v>2911</v>
      </c>
      <c r="E1649" s="753" t="s">
        <v>4967</v>
      </c>
      <c r="F1649" s="805">
        <v>114</v>
      </c>
      <c r="G1649" s="753" t="s">
        <v>3895</v>
      </c>
      <c r="H1649" s="921">
        <v>13327</v>
      </c>
      <c r="I1649" s="753" t="s">
        <v>4967</v>
      </c>
      <c r="J1649" s="753" t="s">
        <v>4968</v>
      </c>
      <c r="K1649" s="864">
        <v>1</v>
      </c>
      <c r="L1649" s="865">
        <v>114</v>
      </c>
      <c r="M1649" s="922" t="s">
        <v>4969</v>
      </c>
      <c r="N1649" s="922"/>
      <c r="O1649" s="923"/>
      <c r="P1649" s="753" t="s">
        <v>4967</v>
      </c>
      <c r="Q1649" s="753" t="s">
        <v>4970</v>
      </c>
      <c r="R1649" s="753">
        <v>100</v>
      </c>
      <c r="S1649" s="753">
        <f t="shared" si="1697"/>
        <v>114</v>
      </c>
      <c r="T1649" s="753">
        <f t="shared" si="1709"/>
        <v>100</v>
      </c>
      <c r="U1649" s="753">
        <f t="shared" ref="U1649:V1649" si="1712">T1649</f>
        <v>100</v>
      </c>
      <c r="V1649" s="865">
        <f t="shared" si="1712"/>
        <v>100</v>
      </c>
      <c r="W1649" s="753" t="s">
        <v>4971</v>
      </c>
      <c r="X1649" s="753">
        <f t="shared" si="1659"/>
        <v>100</v>
      </c>
      <c r="Y1649" s="865">
        <f t="shared" ref="Y1649:AA1649" si="1713">X1649</f>
        <v>100</v>
      </c>
      <c r="Z1649" s="865">
        <f t="shared" si="1713"/>
        <v>100</v>
      </c>
      <c r="AA1649" s="807">
        <f t="shared" si="1713"/>
        <v>100</v>
      </c>
      <c r="AB1649" s="806" t="s">
        <v>375</v>
      </c>
      <c r="AC1649" s="805" t="s">
        <v>4972</v>
      </c>
      <c r="AD1649" s="805" t="s">
        <v>4973</v>
      </c>
      <c r="AE1649" s="635">
        <v>0.27103561643835616</v>
      </c>
      <c r="AF1649" s="635">
        <v>0.32516506849315069</v>
      </c>
      <c r="AG1649" s="635">
        <v>3.0369082191780824E-3</v>
      </c>
      <c r="AH1649" s="635">
        <v>2.4160267618452354E-2</v>
      </c>
    </row>
    <row r="1650" spans="1:34" ht="12.75">
      <c r="A1650" s="753" t="s">
        <v>4974</v>
      </c>
      <c r="B1650" s="805">
        <v>27</v>
      </c>
      <c r="C1650" s="753" t="s">
        <v>2875</v>
      </c>
      <c r="D1650" s="753" t="s">
        <v>2911</v>
      </c>
      <c r="E1650" s="753" t="s">
        <v>4975</v>
      </c>
      <c r="F1650" s="805">
        <v>28</v>
      </c>
      <c r="G1650" s="753" t="s">
        <v>3204</v>
      </c>
      <c r="H1650" s="921">
        <v>5028</v>
      </c>
      <c r="I1650" s="753" t="s">
        <v>4975</v>
      </c>
      <c r="J1650" s="753" t="s">
        <v>4976</v>
      </c>
      <c r="K1650" s="864">
        <v>1</v>
      </c>
      <c r="L1650" s="865">
        <v>28</v>
      </c>
      <c r="M1650" s="922" t="s">
        <v>4977</v>
      </c>
      <c r="N1650" s="922"/>
      <c r="O1650" s="923"/>
      <c r="P1650" s="753" t="s">
        <v>4978</v>
      </c>
      <c r="Q1650" s="753" t="s">
        <v>4979</v>
      </c>
      <c r="R1650" s="753">
        <v>100</v>
      </c>
      <c r="S1650" s="753">
        <f t="shared" si="1697"/>
        <v>28</v>
      </c>
      <c r="T1650" s="753">
        <f t="shared" si="1709"/>
        <v>100</v>
      </c>
      <c r="U1650" s="753">
        <f t="shared" ref="U1650:V1650" si="1714">T1650</f>
        <v>100</v>
      </c>
      <c r="V1650" s="865">
        <f t="shared" si="1714"/>
        <v>100</v>
      </c>
      <c r="W1650" s="753" t="s">
        <v>4980</v>
      </c>
      <c r="X1650" s="753">
        <f t="shared" si="1659"/>
        <v>100</v>
      </c>
      <c r="Y1650" s="865">
        <f t="shared" ref="Y1650:AA1650" si="1715">X1650</f>
        <v>100</v>
      </c>
      <c r="Z1650" s="865">
        <f t="shared" si="1715"/>
        <v>100</v>
      </c>
      <c r="AA1650" s="807">
        <f t="shared" si="1715"/>
        <v>100</v>
      </c>
      <c r="AB1650" s="806" t="s">
        <v>356</v>
      </c>
      <c r="AC1650" s="805" t="s">
        <v>4981</v>
      </c>
      <c r="AD1650" s="805" t="s">
        <v>4982</v>
      </c>
      <c r="AE1650" s="635">
        <v>1.4051129032258063E-2</v>
      </c>
      <c r="AF1650" s="635">
        <v>0.11450467741935483</v>
      </c>
      <c r="AG1650" s="635">
        <v>4.9811080645161291E-4</v>
      </c>
      <c r="AH1650" s="635">
        <v>6.0449379263103585E-3</v>
      </c>
    </row>
    <row r="1651" spans="1:34" ht="12.75">
      <c r="A1651" s="617" t="s">
        <v>4983</v>
      </c>
      <c r="B1651" s="617"/>
      <c r="C1651" s="617" t="s">
        <v>2876</v>
      </c>
      <c r="D1651" s="753" t="s">
        <v>4984</v>
      </c>
      <c r="E1651" s="753"/>
      <c r="F1651" s="805"/>
      <c r="G1651" s="753"/>
      <c r="H1651" s="921"/>
      <c r="I1651" s="753"/>
      <c r="J1651" s="753"/>
      <c r="K1651" s="864">
        <v>1</v>
      </c>
      <c r="L1651" s="865"/>
      <c r="M1651" s="922"/>
      <c r="N1651" s="922"/>
      <c r="O1651" s="923"/>
      <c r="P1651" s="753"/>
      <c r="Q1651" s="753" t="s">
        <v>4985</v>
      </c>
      <c r="R1651" s="753">
        <v>100</v>
      </c>
      <c r="S1651" s="753">
        <f t="shared" si="1697"/>
        <v>0</v>
      </c>
      <c r="T1651" s="753">
        <f t="shared" si="1709"/>
        <v>100</v>
      </c>
      <c r="U1651" s="753">
        <f t="shared" ref="U1651:V1651" si="1716">T1651</f>
        <v>100</v>
      </c>
      <c r="V1651" s="865">
        <f t="shared" si="1716"/>
        <v>100</v>
      </c>
      <c r="W1651" s="753"/>
      <c r="X1651" s="753">
        <f t="shared" si="1659"/>
        <v>100</v>
      </c>
      <c r="Y1651" s="865">
        <f t="shared" ref="Y1651:Z1651" si="1717">X1651</f>
        <v>100</v>
      </c>
      <c r="Z1651" s="865">
        <f t="shared" si="1717"/>
        <v>100</v>
      </c>
      <c r="AA1651" s="455">
        <v>100</v>
      </c>
      <c r="AB1651" s="793" t="s">
        <v>204</v>
      </c>
      <c r="AC1651" s="799" t="s">
        <v>4986</v>
      </c>
      <c r="AD1651" s="799" t="s">
        <v>4987</v>
      </c>
      <c r="AE1651" s="635">
        <v>1.1000494215432999E-3</v>
      </c>
      <c r="AF1651" s="635">
        <v>1.5073570706503401E-2</v>
      </c>
      <c r="AG1651" s="635">
        <v>5.4347826086956524E-5</v>
      </c>
      <c r="AH1651" s="635">
        <v>2.8755970698049265E-4</v>
      </c>
    </row>
    <row r="1652" spans="1:34" ht="12.75">
      <c r="B1652" s="24"/>
      <c r="C1652" s="24"/>
      <c r="D1652" s="14"/>
      <c r="F1652" s="13"/>
      <c r="H1652" s="13"/>
      <c r="L1652" s="220"/>
      <c r="M1652" s="473"/>
      <c r="N1652" s="473"/>
      <c r="O1652" s="480"/>
      <c r="V1652" s="220"/>
      <c r="Y1652" s="220"/>
      <c r="Z1652" s="220"/>
      <c r="AA1652" s="462"/>
      <c r="AB1652" s="18"/>
      <c r="AC1652" s="13"/>
      <c r="AD1652" s="13"/>
      <c r="AE1652" s="454"/>
      <c r="AF1652" s="454"/>
      <c r="AG1652" s="454"/>
      <c r="AH1652" s="454"/>
    </row>
    <row r="1653" spans="1:34" ht="12.75">
      <c r="H1653" s="13"/>
      <c r="L1653" s="220"/>
      <c r="M1653" s="13"/>
      <c r="N1653" s="13"/>
      <c r="O1653" s="220"/>
      <c r="V1653" s="220"/>
      <c r="Y1653" s="220"/>
      <c r="Z1653" s="220"/>
      <c r="AA1653" s="462"/>
      <c r="AB1653" s="18"/>
      <c r="AC1653" s="13"/>
      <c r="AD1653" s="13"/>
      <c r="AE1653" s="454"/>
      <c r="AF1653" s="454"/>
      <c r="AG1653" s="454"/>
      <c r="AH1653" s="454"/>
    </row>
    <row r="1654" spans="1:34" ht="12.75">
      <c r="H1654" s="13"/>
      <c r="L1654" s="220"/>
      <c r="M1654" s="13"/>
      <c r="N1654" s="13"/>
      <c r="O1654" s="220"/>
      <c r="V1654" s="220"/>
      <c r="Y1654" s="220"/>
      <c r="Z1654" s="220"/>
      <c r="AA1654" s="462"/>
      <c r="AB1654" s="18"/>
      <c r="AC1654" s="13"/>
      <c r="AD1654" s="13"/>
      <c r="AE1654" s="454"/>
      <c r="AF1654" s="454"/>
      <c r="AG1654" s="454"/>
      <c r="AH1654" s="454"/>
    </row>
    <row r="1655" spans="1:34" ht="12.75">
      <c r="H1655" s="13"/>
      <c r="L1655" s="220"/>
      <c r="M1655" s="13"/>
      <c r="N1655" s="13"/>
      <c r="O1655" s="220"/>
      <c r="V1655" s="14" t="s">
        <v>4988</v>
      </c>
      <c r="AA1655" s="462"/>
      <c r="AB1655" s="18"/>
      <c r="AC1655" s="13" t="s">
        <v>4989</v>
      </c>
      <c r="AD1655" s="13"/>
      <c r="AE1655" s="454"/>
      <c r="AF1655" s="454"/>
      <c r="AG1655" s="454"/>
      <c r="AH1655" s="454"/>
    </row>
    <row r="1656" spans="1:34" ht="12.75">
      <c r="H1656" s="13"/>
      <c r="L1656" s="220"/>
      <c r="M1656" s="13"/>
      <c r="N1656" s="13"/>
      <c r="O1656" s="220"/>
      <c r="V1656" s="947" t="s">
        <v>4990</v>
      </c>
      <c r="W1656" s="626" t="s">
        <v>4991</v>
      </c>
      <c r="X1656" s="753"/>
      <c r="Y1656" s="592"/>
      <c r="AA1656" s="462"/>
      <c r="AB1656" s="18"/>
      <c r="AC1656" s="948" t="s">
        <v>4990</v>
      </c>
      <c r="AD1656" s="806" t="s">
        <v>4992</v>
      </c>
      <c r="AE1656" s="454"/>
      <c r="AF1656" s="454"/>
      <c r="AG1656" s="454"/>
      <c r="AH1656" s="454"/>
    </row>
    <row r="1657" spans="1:34" ht="12.75">
      <c r="H1657" s="13"/>
      <c r="L1657" s="220"/>
      <c r="M1657" s="13"/>
      <c r="N1657" s="13"/>
      <c r="O1657" s="220"/>
      <c r="V1657" s="593" t="s">
        <v>1624</v>
      </c>
      <c r="W1657" s="166" t="s">
        <v>4993</v>
      </c>
      <c r="X1657" s="135"/>
      <c r="Y1657" s="167"/>
      <c r="AA1657" s="462"/>
      <c r="AB1657" s="18"/>
      <c r="AC1657" s="594"/>
      <c r="AD1657" s="477" t="s">
        <v>4994</v>
      </c>
      <c r="AE1657" s="454"/>
      <c r="AF1657" s="454"/>
      <c r="AG1657" s="454"/>
      <c r="AH1657" s="454"/>
    </row>
    <row r="1658" spans="1:34" ht="12.75">
      <c r="H1658" s="13"/>
      <c r="L1658" s="220"/>
      <c r="M1658" s="13"/>
      <c r="N1658" s="13"/>
      <c r="O1658" s="220"/>
      <c r="V1658" s="595"/>
      <c r="W1658" s="297" t="s">
        <v>4995</v>
      </c>
      <c r="X1658" s="298"/>
      <c r="Y1658" s="596"/>
      <c r="AA1658" s="462"/>
      <c r="AB1658" s="18"/>
      <c r="AC1658" s="597"/>
      <c r="AD1658" s="536" t="s">
        <v>4996</v>
      </c>
      <c r="AE1658" s="454"/>
      <c r="AF1658" s="454"/>
      <c r="AG1658" s="454"/>
      <c r="AH1658" s="454"/>
    </row>
    <row r="1659" spans="1:34" ht="12.75">
      <c r="H1659" s="13"/>
      <c r="L1659" s="220"/>
      <c r="M1659" s="13"/>
      <c r="N1659" s="13"/>
      <c r="O1659" s="220"/>
      <c r="V1659" s="598"/>
      <c r="W1659" s="297" t="s">
        <v>4997</v>
      </c>
      <c r="X1659" s="298"/>
      <c r="Y1659" s="596"/>
      <c r="AA1659" s="462"/>
      <c r="AB1659" s="18"/>
      <c r="AC1659" s="599"/>
      <c r="AD1659" s="552" t="s">
        <v>4998</v>
      </c>
      <c r="AE1659" s="454"/>
      <c r="AF1659" s="454"/>
      <c r="AG1659" s="454"/>
      <c r="AH1659" s="454"/>
    </row>
    <row r="1660" spans="1:34" ht="12.75">
      <c r="H1660" s="13"/>
      <c r="L1660" s="220"/>
      <c r="M1660" s="13"/>
      <c r="N1660" s="13"/>
      <c r="O1660" s="220"/>
      <c r="V1660" s="600"/>
      <c r="W1660" s="297" t="s">
        <v>4999</v>
      </c>
      <c r="X1660" s="298"/>
      <c r="Y1660" s="596"/>
      <c r="AA1660" s="462"/>
      <c r="AB1660" s="18"/>
      <c r="AC1660" s="601" t="s">
        <v>5000</v>
      </c>
      <c r="AD1660" s="602" t="s">
        <v>5001</v>
      </c>
      <c r="AE1660" s="454"/>
      <c r="AF1660" s="454"/>
      <c r="AG1660" s="454"/>
      <c r="AH1660" s="454"/>
    </row>
    <row r="1661" spans="1:34" ht="12.75">
      <c r="H1661" s="13"/>
      <c r="L1661" s="220"/>
      <c r="M1661" s="13"/>
      <c r="N1661" s="13"/>
      <c r="O1661" s="220"/>
      <c r="V1661" s="603"/>
      <c r="W1661" s="297" t="s">
        <v>5002</v>
      </c>
      <c r="X1661" s="298"/>
      <c r="Y1661" s="596"/>
      <c r="AA1661" s="462"/>
      <c r="AB1661" s="18"/>
      <c r="AC1661" s="13"/>
      <c r="AD1661" s="13"/>
      <c r="AE1661" s="454"/>
      <c r="AF1661" s="454"/>
      <c r="AG1661" s="454"/>
      <c r="AH1661" s="454"/>
    </row>
    <row r="1662" spans="1:34" ht="12.75">
      <c r="H1662" s="13"/>
      <c r="L1662" s="220"/>
      <c r="M1662" s="13"/>
      <c r="N1662" s="13"/>
      <c r="O1662" s="220"/>
      <c r="V1662" s="604"/>
      <c r="W1662" s="949" t="str">
        <f>HYPERLINK("https://ndb.nal.usda.gov/ndb/search/list?qlookup=04542&amp;qt=&amp;manu=&amp;SYNCHRONIZER_URI=%2Fndb%2Fsearch%2Flist&amp;SYNCHRONIZER_TOKEN=87f0e737-6f2e-4ae4-91bf-f060af642f2d&amp;ds","from USDA Nutrient database")</f>
        <v>from USDA Nutrient database</v>
      </c>
      <c r="X1662" s="162"/>
      <c r="Y1662" s="224"/>
      <c r="AA1662" s="462"/>
      <c r="AB1662" s="18"/>
      <c r="AE1662" s="454"/>
      <c r="AF1662" s="454"/>
      <c r="AG1662" s="454"/>
      <c r="AH1662" s="454"/>
    </row>
    <row r="1663" spans="1:34" ht="12.75">
      <c r="H1663" s="13"/>
      <c r="L1663" s="220"/>
      <c r="M1663" s="13"/>
      <c r="N1663" s="13"/>
      <c r="O1663" s="220"/>
      <c r="V1663" s="217" t="s">
        <v>5003</v>
      </c>
      <c r="W1663" s="605" t="s">
        <v>5004</v>
      </c>
      <c r="X1663" s="605" t="s">
        <v>5005</v>
      </c>
      <c r="Y1663" s="167"/>
      <c r="Z1663" s="298"/>
      <c r="AA1663" s="833"/>
      <c r="AB1663" s="18"/>
      <c r="AC1663" s="13"/>
      <c r="AD1663" s="13"/>
      <c r="AE1663" s="454"/>
      <c r="AF1663" s="454"/>
      <c r="AG1663" s="454"/>
      <c r="AH1663" s="454"/>
    </row>
    <row r="1664" spans="1:34" ht="12.75">
      <c r="H1664" s="13"/>
      <c r="L1664" s="220"/>
      <c r="M1664" s="13"/>
      <c r="N1664" s="13"/>
      <c r="O1664" s="220"/>
      <c r="V1664" s="201" t="s">
        <v>5003</v>
      </c>
      <c r="W1664" s="606" t="s">
        <v>5000</v>
      </c>
      <c r="X1664" s="606" t="s">
        <v>5006</v>
      </c>
      <c r="Y1664" s="224"/>
      <c r="Z1664" s="520"/>
      <c r="AA1664" s="834"/>
      <c r="AB1664" s="18"/>
      <c r="AC1664" s="13"/>
      <c r="AD1664" s="13"/>
      <c r="AE1664" s="454"/>
      <c r="AF1664" s="454"/>
      <c r="AG1664" s="454"/>
      <c r="AH1664" s="454"/>
    </row>
    <row r="1665" spans="1:34" ht="12.75">
      <c r="D1665" s="14"/>
      <c r="H1665" s="13"/>
      <c r="L1665" s="220"/>
      <c r="M1665" s="13"/>
      <c r="N1665" s="13"/>
      <c r="O1665" s="220"/>
      <c r="V1665" s="220"/>
      <c r="Y1665" s="220"/>
      <c r="Z1665" s="220"/>
      <c r="AA1665" s="462"/>
      <c r="AB1665" s="18"/>
      <c r="AC1665" s="13"/>
      <c r="AD1665" s="13"/>
      <c r="AE1665" s="454"/>
      <c r="AF1665" s="454"/>
      <c r="AG1665" s="454"/>
      <c r="AH1665" s="454"/>
    </row>
    <row r="1666" spans="1:34" ht="12.75">
      <c r="H1666" s="13"/>
      <c r="L1666" s="220"/>
      <c r="M1666" s="13"/>
      <c r="N1666" s="13"/>
      <c r="O1666" s="220"/>
      <c r="V1666" s="220"/>
      <c r="Y1666" s="220"/>
      <c r="Z1666" s="220"/>
      <c r="AA1666" s="462"/>
      <c r="AB1666" s="18"/>
      <c r="AC1666" s="13"/>
      <c r="AD1666" s="13"/>
      <c r="AE1666" s="454"/>
      <c r="AF1666" s="454"/>
      <c r="AG1666" s="454"/>
      <c r="AH1666" s="454"/>
    </row>
    <row r="1667" spans="1:34" ht="12.75">
      <c r="B1667" s="14"/>
      <c r="H1667" s="13"/>
      <c r="L1667" s="220"/>
      <c r="M1667" s="13"/>
      <c r="N1667" s="13"/>
      <c r="O1667" s="220"/>
      <c r="P1667" s="14"/>
      <c r="V1667" s="220"/>
      <c r="Y1667" s="220"/>
      <c r="Z1667" s="220"/>
      <c r="AA1667" s="462"/>
      <c r="AB1667" s="18"/>
      <c r="AC1667" s="142"/>
      <c r="AD1667" s="142"/>
      <c r="AE1667" s="454"/>
      <c r="AF1667" s="454"/>
      <c r="AG1667" s="454"/>
      <c r="AH1667" s="454"/>
    </row>
    <row r="1668" spans="1:34" ht="12.75">
      <c r="A1668" s="10"/>
      <c r="B1668" s="14"/>
      <c r="H1668" s="13"/>
      <c r="L1668" s="220"/>
      <c r="M1668" s="13"/>
      <c r="N1668" s="13"/>
      <c r="O1668" s="220"/>
      <c r="V1668" s="220"/>
      <c r="Y1668" s="220"/>
      <c r="Z1668" s="220"/>
      <c r="AA1668" s="462"/>
      <c r="AB1668" s="18"/>
      <c r="AC1668" s="142"/>
      <c r="AD1668" s="13"/>
      <c r="AE1668" s="454"/>
      <c r="AF1668" s="454"/>
      <c r="AG1668" s="454"/>
      <c r="AH1668" s="454"/>
    </row>
    <row r="1669" spans="1:34" ht="12.75">
      <c r="A1669" s="607"/>
      <c r="B1669" s="14"/>
      <c r="H1669" s="13"/>
      <c r="L1669" s="220"/>
      <c r="M1669" s="13"/>
      <c r="N1669" s="13"/>
      <c r="O1669" s="220"/>
      <c r="V1669" s="220"/>
      <c r="Y1669" s="220"/>
      <c r="Z1669" s="220"/>
      <c r="AA1669" s="462"/>
      <c r="AB1669" s="18"/>
      <c r="AC1669" s="142"/>
      <c r="AD1669" s="13"/>
      <c r="AE1669" s="454"/>
      <c r="AF1669" s="454"/>
      <c r="AG1669" s="454"/>
      <c r="AH1669" s="454"/>
    </row>
    <row r="1670" spans="1:34" ht="12.75">
      <c r="A1670" s="14"/>
      <c r="B1670" s="14"/>
      <c r="C1670" s="14"/>
      <c r="D1670" s="14"/>
      <c r="F1670" s="608"/>
      <c r="H1670" s="13"/>
      <c r="L1670" s="220"/>
      <c r="M1670" s="473"/>
      <c r="N1670" s="473"/>
      <c r="O1670" s="480"/>
      <c r="V1670" s="220"/>
      <c r="Y1670" s="220"/>
      <c r="Z1670" s="220"/>
      <c r="AA1670" s="462"/>
      <c r="AB1670" s="18"/>
      <c r="AC1670" s="142"/>
      <c r="AD1670" s="13"/>
      <c r="AE1670" s="454"/>
      <c r="AF1670" s="454"/>
      <c r="AG1670" s="454"/>
      <c r="AH1670" s="454"/>
    </row>
    <row r="1671" spans="1:34" ht="12.75">
      <c r="A1671" s="14"/>
      <c r="B1671" s="14"/>
      <c r="C1671" s="14"/>
      <c r="D1671" s="14"/>
      <c r="F1671" s="608"/>
      <c r="H1671" s="13"/>
      <c r="L1671" s="220"/>
      <c r="M1671" s="473"/>
      <c r="N1671" s="473"/>
      <c r="O1671" s="480"/>
      <c r="V1671" s="220"/>
      <c r="Y1671" s="220"/>
      <c r="Z1671" s="220"/>
      <c r="AA1671" s="462"/>
      <c r="AB1671" s="18"/>
      <c r="AC1671" s="142"/>
      <c r="AD1671" s="13"/>
      <c r="AE1671" s="454"/>
      <c r="AF1671" s="454"/>
      <c r="AG1671" s="454"/>
      <c r="AH1671" s="454"/>
    </row>
    <row r="1672" spans="1:34" ht="12.75">
      <c r="A1672" s="14"/>
      <c r="B1672" s="14"/>
      <c r="C1672" s="14"/>
      <c r="D1672" s="14"/>
      <c r="F1672" s="608"/>
      <c r="H1672" s="13"/>
      <c r="L1672" s="220"/>
      <c r="M1672" s="473"/>
      <c r="N1672" s="473"/>
      <c r="O1672" s="480"/>
      <c r="V1672" s="220"/>
      <c r="Y1672" s="220"/>
      <c r="Z1672" s="220"/>
      <c r="AA1672" s="462"/>
      <c r="AB1672" s="18"/>
      <c r="AC1672" s="142"/>
      <c r="AD1672" s="13"/>
      <c r="AE1672" s="454"/>
      <c r="AF1672" s="454"/>
      <c r="AG1672" s="454"/>
      <c r="AH1672" s="454"/>
    </row>
    <row r="1673" spans="1:34" ht="12.75">
      <c r="A1673" s="14"/>
      <c r="B1673" s="14"/>
      <c r="C1673" s="14"/>
      <c r="D1673" s="14"/>
      <c r="F1673" s="608"/>
      <c r="H1673" s="13"/>
      <c r="L1673" s="220"/>
      <c r="M1673" s="473"/>
      <c r="N1673" s="473"/>
      <c r="O1673" s="480"/>
      <c r="V1673" s="220"/>
      <c r="Y1673" s="220"/>
      <c r="Z1673" s="220"/>
      <c r="AA1673" s="462"/>
      <c r="AB1673" s="18"/>
      <c r="AC1673" s="142"/>
      <c r="AD1673" s="13"/>
      <c r="AE1673" s="454"/>
      <c r="AF1673" s="454"/>
      <c r="AG1673" s="454"/>
      <c r="AH1673" s="454"/>
    </row>
    <row r="1674" spans="1:34" ht="12.75">
      <c r="A1674" s="14"/>
      <c r="B1674" s="14"/>
      <c r="C1674" s="14"/>
      <c r="D1674" s="14"/>
      <c r="F1674" s="608"/>
      <c r="H1674" s="13"/>
      <c r="L1674" s="220"/>
      <c r="M1674" s="473"/>
      <c r="N1674" s="473"/>
      <c r="O1674" s="480"/>
      <c r="V1674" s="220"/>
      <c r="Y1674" s="220"/>
      <c r="Z1674" s="220"/>
      <c r="AA1674" s="462"/>
      <c r="AB1674" s="18"/>
      <c r="AC1674" s="609"/>
      <c r="AD1674" s="13"/>
      <c r="AE1674" s="454"/>
      <c r="AF1674" s="454"/>
      <c r="AG1674" s="454"/>
      <c r="AH1674" s="454"/>
    </row>
    <row r="1675" spans="1:34" ht="12.75">
      <c r="A1675" s="14"/>
      <c r="B1675" s="14"/>
      <c r="C1675" s="14"/>
      <c r="D1675" s="14"/>
      <c r="F1675" s="608"/>
      <c r="H1675" s="13"/>
      <c r="L1675" s="220"/>
      <c r="M1675" s="473"/>
      <c r="N1675" s="473"/>
      <c r="O1675" s="480"/>
      <c r="V1675" s="220"/>
      <c r="Y1675" s="220"/>
      <c r="Z1675" s="220"/>
      <c r="AA1675" s="462"/>
      <c r="AB1675" s="18"/>
      <c r="AC1675" s="609"/>
      <c r="AD1675" s="13"/>
      <c r="AE1675" s="454"/>
      <c r="AF1675" s="454"/>
      <c r="AG1675" s="454"/>
      <c r="AH1675" s="454"/>
    </row>
    <row r="1676" spans="1:34" ht="12.75">
      <c r="A1676" s="14"/>
      <c r="B1676" s="14"/>
      <c r="C1676" s="14"/>
      <c r="D1676" s="14"/>
      <c r="F1676" s="608"/>
      <c r="H1676" s="13"/>
      <c r="L1676" s="220"/>
      <c r="M1676" s="473"/>
      <c r="N1676" s="473"/>
      <c r="O1676" s="480"/>
      <c r="V1676" s="220"/>
      <c r="Y1676" s="220"/>
      <c r="Z1676" s="220"/>
      <c r="AA1676" s="462"/>
      <c r="AB1676" s="18"/>
      <c r="AC1676" s="609"/>
      <c r="AD1676" s="13"/>
      <c r="AE1676" s="454"/>
      <c r="AF1676" s="454"/>
      <c r="AG1676" s="454"/>
      <c r="AH1676" s="454"/>
    </row>
    <row r="1677" spans="1:34" ht="12.75">
      <c r="A1677" s="14"/>
      <c r="B1677" s="14"/>
      <c r="C1677" s="14"/>
      <c r="D1677" s="14"/>
      <c r="F1677" s="608"/>
      <c r="H1677" s="13"/>
      <c r="L1677" s="220"/>
      <c r="M1677" s="473"/>
      <c r="N1677" s="473"/>
      <c r="O1677" s="480"/>
      <c r="V1677" s="220"/>
      <c r="Y1677" s="220"/>
      <c r="Z1677" s="220"/>
      <c r="AA1677" s="462"/>
      <c r="AB1677" s="18"/>
      <c r="AC1677" s="609"/>
      <c r="AD1677" s="13"/>
      <c r="AE1677" s="454"/>
      <c r="AF1677" s="454"/>
      <c r="AG1677" s="454"/>
      <c r="AH1677" s="454"/>
    </row>
    <row r="1678" spans="1:34" ht="12.75">
      <c r="A1678" s="14"/>
      <c r="B1678" s="14"/>
      <c r="C1678" s="14"/>
      <c r="D1678" s="14"/>
      <c r="F1678" s="608"/>
      <c r="H1678" s="13"/>
      <c r="L1678" s="220"/>
      <c r="M1678" s="473"/>
      <c r="N1678" s="473"/>
      <c r="O1678" s="480"/>
      <c r="V1678" s="220"/>
      <c r="Y1678" s="220"/>
      <c r="Z1678" s="220"/>
      <c r="AA1678" s="462"/>
      <c r="AB1678" s="18"/>
      <c r="AC1678" s="609"/>
      <c r="AD1678" s="13"/>
      <c r="AE1678" s="454"/>
      <c r="AF1678" s="454"/>
      <c r="AG1678" s="454"/>
      <c r="AH1678" s="454"/>
    </row>
    <row r="1679" spans="1:34" ht="12.75">
      <c r="A1679" s="14"/>
      <c r="B1679" s="14"/>
      <c r="C1679" s="14"/>
      <c r="D1679" s="14"/>
      <c r="F1679" s="608"/>
      <c r="H1679" s="13"/>
      <c r="L1679" s="220"/>
      <c r="M1679" s="473"/>
      <c r="N1679" s="473"/>
      <c r="O1679" s="480"/>
      <c r="V1679" s="220"/>
      <c r="Y1679" s="220"/>
      <c r="Z1679" s="220"/>
      <c r="AA1679" s="462"/>
      <c r="AB1679" s="18"/>
      <c r="AC1679" s="609"/>
      <c r="AD1679" s="13"/>
      <c r="AE1679" s="454"/>
      <c r="AF1679" s="454"/>
      <c r="AG1679" s="454"/>
      <c r="AH1679" s="454"/>
    </row>
    <row r="1680" spans="1:34" ht="12.75">
      <c r="A1680" s="14"/>
      <c r="B1680" s="14"/>
      <c r="C1680" s="14"/>
      <c r="D1680" s="14"/>
      <c r="F1680" s="608"/>
      <c r="H1680" s="13"/>
      <c r="L1680" s="220"/>
      <c r="M1680" s="473"/>
      <c r="N1680" s="473"/>
      <c r="O1680" s="480"/>
      <c r="V1680" s="220"/>
      <c r="Y1680" s="220"/>
      <c r="Z1680" s="220"/>
      <c r="AA1680" s="462"/>
      <c r="AB1680" s="18"/>
      <c r="AC1680" s="609"/>
      <c r="AD1680" s="13"/>
      <c r="AE1680" s="454"/>
      <c r="AF1680" s="454"/>
      <c r="AG1680" s="454"/>
      <c r="AH1680" s="454"/>
    </row>
  </sheetData>
  <hyperlinks>
    <hyperlink ref="E1" r:id="rId1"/>
    <hyperlink ref="P20" r:id="rId2"/>
    <hyperlink ref="P25" r:id="rId3"/>
    <hyperlink ref="P26" r:id="rId4"/>
    <hyperlink ref="I27" r:id="rId5"/>
    <hyperlink ref="I28" r:id="rId6"/>
    <hyperlink ref="P28" r:id="rId7"/>
    <hyperlink ref="I29" r:id="rId8"/>
    <hyperlink ref="I30" r:id="rId9"/>
    <hyperlink ref="I31" r:id="rId10"/>
    <hyperlink ref="I32" r:id="rId11"/>
    <hyperlink ref="P32" r:id="rId12"/>
    <hyperlink ref="I33" r:id="rId13"/>
    <hyperlink ref="I34" r:id="rId14"/>
    <hyperlink ref="I35" r:id="rId15"/>
    <hyperlink ref="I36" r:id="rId16"/>
    <hyperlink ref="I37" r:id="rId17"/>
    <hyperlink ref="I38" r:id="rId18"/>
    <hyperlink ref="I39" r:id="rId19"/>
    <hyperlink ref="I40" r:id="rId20"/>
    <hyperlink ref="I41" r:id="rId21"/>
    <hyperlink ref="P41" r:id="rId22"/>
    <hyperlink ref="I42" r:id="rId23"/>
    <hyperlink ref="I43" r:id="rId24"/>
    <hyperlink ref="I44" r:id="rId25"/>
    <hyperlink ref="I45" r:id="rId26"/>
    <hyperlink ref="I46" r:id="rId27"/>
    <hyperlink ref="I47" r:id="rId28"/>
    <hyperlink ref="I48" r:id="rId29"/>
    <hyperlink ref="I49" r:id="rId30"/>
    <hyperlink ref="I50" r:id="rId31"/>
    <hyperlink ref="I51" r:id="rId32"/>
    <hyperlink ref="I52" r:id="rId33"/>
    <hyperlink ref="I53" r:id="rId34"/>
    <hyperlink ref="I54" r:id="rId35"/>
    <hyperlink ref="I55" r:id="rId36"/>
    <hyperlink ref="I56" r:id="rId37"/>
    <hyperlink ref="P56" r:id="rId38"/>
    <hyperlink ref="I57" r:id="rId39"/>
    <hyperlink ref="P61" r:id="rId40"/>
    <hyperlink ref="I66" r:id="rId41"/>
    <hyperlink ref="I67" r:id="rId42"/>
    <hyperlink ref="P67" r:id="rId43"/>
    <hyperlink ref="I68" r:id="rId44"/>
    <hyperlink ref="I69" r:id="rId45"/>
    <hyperlink ref="I70" r:id="rId46"/>
    <hyperlink ref="I71" r:id="rId47"/>
    <hyperlink ref="I72" r:id="rId48"/>
    <hyperlink ref="I73" r:id="rId49"/>
    <hyperlink ref="I74" r:id="rId50"/>
    <hyperlink ref="I75" r:id="rId51"/>
    <hyperlink ref="I95" r:id="rId52"/>
    <hyperlink ref="I96" r:id="rId53"/>
    <hyperlink ref="I97" r:id="rId54"/>
    <hyperlink ref="I98" r:id="rId55"/>
    <hyperlink ref="I99" r:id="rId56"/>
    <hyperlink ref="I100" r:id="rId57"/>
    <hyperlink ref="I101" r:id="rId58"/>
    <hyperlink ref="I102" r:id="rId59"/>
    <hyperlink ref="P102" r:id="rId60"/>
    <hyperlink ref="I103" r:id="rId61"/>
    <hyperlink ref="I104" r:id="rId62"/>
    <hyperlink ref="I105" r:id="rId63"/>
    <hyperlink ref="P105" r:id="rId64"/>
    <hyperlink ref="E119" r:id="rId65"/>
    <hyperlink ref="I119" r:id="rId66"/>
    <hyperlink ref="E120" r:id="rId67"/>
    <hyperlink ref="I120" r:id="rId68"/>
    <hyperlink ref="E121" r:id="rId69"/>
    <hyperlink ref="I121" r:id="rId70"/>
    <hyperlink ref="E122" r:id="rId71"/>
    <hyperlink ref="I122" r:id="rId72"/>
    <hyperlink ref="P150" r:id="rId73"/>
    <hyperlink ref="P156" r:id="rId74"/>
    <hyperlink ref="P161" r:id="rId75"/>
    <hyperlink ref="E164" r:id="rId76"/>
    <hyperlink ref="E165" r:id="rId77"/>
    <hyperlink ref="E166" r:id="rId78"/>
    <hyperlink ref="P172" r:id="rId79"/>
    <hyperlink ref="P193" r:id="rId80"/>
    <hyperlink ref="E195" r:id="rId81"/>
    <hyperlink ref="E196" r:id="rId82"/>
    <hyperlink ref="P196" r:id="rId83"/>
    <hyperlink ref="E197" r:id="rId84"/>
    <hyperlink ref="P197" r:id="rId85"/>
    <hyperlink ref="I219" r:id="rId86"/>
    <hyperlink ref="I223" r:id="rId87"/>
    <hyperlink ref="I224" r:id="rId88"/>
    <hyperlink ref="I225" r:id="rId89"/>
    <hyperlink ref="I226" r:id="rId90"/>
    <hyperlink ref="I227" r:id="rId91"/>
    <hyperlink ref="I228" r:id="rId92"/>
    <hyperlink ref="P276" r:id="rId93"/>
    <hyperlink ref="P286" r:id="rId94"/>
    <hyperlink ref="P301" r:id="rId95"/>
    <hyperlink ref="P317" r:id="rId96"/>
    <hyperlink ref="P318" r:id="rId97"/>
    <hyperlink ref="P337" r:id="rId98"/>
    <hyperlink ref="E348" r:id="rId99"/>
    <hyperlink ref="I348" r:id="rId100"/>
    <hyperlink ref="P348" r:id="rId101"/>
    <hyperlink ref="E349" r:id="rId102"/>
    <hyperlink ref="I352" r:id="rId103"/>
    <hyperlink ref="P352" r:id="rId104"/>
    <hyperlink ref="P372" r:id="rId105"/>
    <hyperlink ref="P378" r:id="rId106"/>
    <hyperlink ref="P383" r:id="rId107"/>
    <hyperlink ref="P388" r:id="rId108"/>
    <hyperlink ref="P397" r:id="rId109"/>
    <hyperlink ref="I402" r:id="rId110"/>
    <hyperlink ref="I403" r:id="rId111"/>
    <hyperlink ref="I404" r:id="rId112"/>
    <hyperlink ref="I405" r:id="rId113"/>
    <hyperlink ref="P405" r:id="rId114"/>
    <hyperlink ref="I406" r:id="rId115"/>
    <hyperlink ref="I407" r:id="rId116"/>
    <hyperlink ref="I408" r:id="rId117"/>
    <hyperlink ref="I409" r:id="rId118"/>
    <hyperlink ref="I410" r:id="rId119"/>
    <hyperlink ref="P414" r:id="rId120"/>
    <hyperlink ref="P420" r:id="rId121"/>
    <hyperlink ref="P421" r:id="rId122"/>
    <hyperlink ref="E425" r:id="rId123"/>
    <hyperlink ref="I425" r:id="rId124"/>
    <hyperlink ref="P425" r:id="rId125"/>
    <hyperlink ref="E426" r:id="rId126"/>
    <hyperlink ref="I426" r:id="rId127"/>
    <hyperlink ref="P426" r:id="rId128"/>
    <hyperlink ref="E427" r:id="rId129"/>
    <hyperlink ref="E428" r:id="rId130"/>
    <hyperlink ref="I428" r:id="rId131"/>
    <hyperlink ref="P428" r:id="rId132"/>
    <hyperlink ref="E429" r:id="rId133"/>
    <hyperlink ref="P444" r:id="rId134"/>
    <hyperlink ref="P452" r:id="rId135"/>
    <hyperlink ref="P455" r:id="rId136"/>
    <hyperlink ref="I471" r:id="rId137"/>
    <hyperlink ref="P471" r:id="rId138"/>
    <hyperlink ref="I487" r:id="rId139"/>
    <hyperlink ref="I488" r:id="rId140"/>
    <hyperlink ref="I489" r:id="rId141"/>
    <hyperlink ref="P489" r:id="rId142"/>
    <hyperlink ref="P490" r:id="rId143"/>
    <hyperlink ref="P493" r:id="rId144"/>
    <hyperlink ref="P496" r:id="rId145"/>
    <hyperlink ref="P498" r:id="rId146"/>
    <hyperlink ref="P501" r:id="rId147"/>
    <hyperlink ref="P506" r:id="rId148"/>
    <hyperlink ref="P508" r:id="rId149"/>
    <hyperlink ref="I513" r:id="rId150"/>
    <hyperlink ref="I514" r:id="rId151"/>
    <hyperlink ref="P514" r:id="rId152"/>
    <hyperlink ref="I515" r:id="rId153"/>
    <hyperlink ref="I516" r:id="rId154"/>
    <hyperlink ref="I517" r:id="rId155"/>
    <hyperlink ref="I518" r:id="rId156"/>
    <hyperlink ref="I519" r:id="rId157"/>
    <hyperlink ref="I520" r:id="rId158"/>
    <hyperlink ref="P522" r:id="rId159"/>
    <hyperlink ref="P525" r:id="rId160"/>
    <hyperlink ref="P530" r:id="rId161"/>
    <hyperlink ref="P531" r:id="rId162"/>
    <hyperlink ref="P536" r:id="rId163"/>
    <hyperlink ref="P540" r:id="rId164"/>
    <hyperlink ref="P554" r:id="rId165"/>
    <hyperlink ref="E561" r:id="rId166"/>
    <hyperlink ref="I561" r:id="rId167"/>
    <hyperlink ref="P561" r:id="rId168"/>
    <hyperlink ref="E562" r:id="rId169"/>
    <hyperlink ref="I562" r:id="rId170"/>
    <hyperlink ref="E563" r:id="rId171"/>
    <hyperlink ref="I563" r:id="rId172"/>
    <hyperlink ref="E564" r:id="rId173"/>
    <hyperlink ref="I564" r:id="rId174"/>
    <hyperlink ref="E565" r:id="rId175"/>
    <hyperlink ref="I565" r:id="rId176"/>
    <hyperlink ref="E566" r:id="rId177"/>
    <hyperlink ref="I566" r:id="rId178"/>
    <hyperlink ref="E567" r:id="rId179"/>
    <hyperlink ref="I567" r:id="rId180"/>
    <hyperlink ref="E568" r:id="rId181"/>
    <hyperlink ref="I568" r:id="rId182"/>
    <hyperlink ref="E569" r:id="rId183"/>
    <hyperlink ref="I569" r:id="rId184"/>
    <hyperlink ref="E570" r:id="rId185"/>
    <hyperlink ref="I570" r:id="rId186"/>
    <hyperlink ref="E571" r:id="rId187"/>
    <hyperlink ref="I571" r:id="rId188"/>
    <hyperlink ref="E572" r:id="rId189"/>
    <hyperlink ref="I572" r:id="rId190"/>
    <hyperlink ref="E573" r:id="rId191"/>
    <hyperlink ref="I573" r:id="rId192"/>
    <hyperlink ref="P573" r:id="rId193"/>
    <hyperlink ref="E574" r:id="rId194"/>
    <hyperlink ref="I574" r:id="rId195"/>
    <hyperlink ref="E575" r:id="rId196"/>
    <hyperlink ref="I575" r:id="rId197"/>
    <hyperlink ref="E576" r:id="rId198"/>
    <hyperlink ref="I576" r:id="rId199"/>
    <hyperlink ref="E577" r:id="rId200"/>
    <hyperlink ref="I577" r:id="rId201"/>
    <hyperlink ref="E578" r:id="rId202"/>
    <hyperlink ref="I578" r:id="rId203"/>
    <hyperlink ref="P578" r:id="rId204"/>
    <hyperlink ref="E579" r:id="rId205"/>
    <hyperlink ref="I579" r:id="rId206"/>
    <hyperlink ref="E580" r:id="rId207"/>
    <hyperlink ref="I580" r:id="rId208"/>
    <hyperlink ref="E581" r:id="rId209"/>
    <hyperlink ref="I581" r:id="rId210"/>
    <hyperlink ref="P581" r:id="rId211"/>
    <hyperlink ref="E582" r:id="rId212"/>
    <hyperlink ref="I582" r:id="rId213"/>
    <hyperlink ref="E583" r:id="rId214"/>
    <hyperlink ref="I583" r:id="rId215"/>
    <hyperlink ref="E584" r:id="rId216"/>
    <hyperlink ref="I584" r:id="rId217"/>
    <hyperlink ref="E585" r:id="rId218"/>
    <hyperlink ref="I585" r:id="rId219"/>
    <hyperlink ref="E586" r:id="rId220"/>
    <hyperlink ref="I586" r:id="rId221"/>
    <hyperlink ref="E587" r:id="rId222"/>
    <hyperlink ref="I587" r:id="rId223"/>
    <hyperlink ref="E588" r:id="rId224"/>
    <hyperlink ref="I588" r:id="rId225"/>
    <hyperlink ref="E589" r:id="rId226"/>
    <hyperlink ref="I589" r:id="rId227"/>
    <hyperlink ref="E590" r:id="rId228"/>
    <hyperlink ref="I590" r:id="rId229"/>
    <hyperlink ref="E591" r:id="rId230"/>
    <hyperlink ref="I591" r:id="rId231"/>
    <hyperlink ref="E592" r:id="rId232"/>
    <hyperlink ref="I592" r:id="rId233"/>
    <hyperlink ref="E593" r:id="rId234"/>
    <hyperlink ref="I593" r:id="rId235"/>
    <hyperlink ref="E594" r:id="rId236"/>
    <hyperlink ref="I594" r:id="rId237"/>
    <hyperlink ref="E595" r:id="rId238"/>
    <hyperlink ref="I595" r:id="rId239"/>
    <hyperlink ref="P595" r:id="rId240"/>
    <hyperlink ref="E596" r:id="rId241"/>
    <hyperlink ref="I596" r:id="rId242"/>
    <hyperlink ref="E597" r:id="rId243"/>
    <hyperlink ref="I597" r:id="rId244"/>
    <hyperlink ref="E598" r:id="rId245"/>
    <hyperlink ref="I598" r:id="rId246"/>
    <hyperlink ref="E599" r:id="rId247"/>
    <hyperlink ref="I599" r:id="rId248"/>
    <hyperlink ref="P599" r:id="rId249"/>
    <hyperlink ref="E600" r:id="rId250"/>
    <hyperlink ref="I600" r:id="rId251"/>
    <hyperlink ref="E601" r:id="rId252"/>
    <hyperlink ref="I601" r:id="rId253"/>
    <hyperlink ref="E602" r:id="rId254"/>
    <hyperlink ref="I602" r:id="rId255"/>
    <hyperlink ref="E603" r:id="rId256"/>
    <hyperlink ref="I603" r:id="rId257"/>
    <hyperlink ref="E604" r:id="rId258"/>
    <hyperlink ref="I604" r:id="rId259"/>
    <hyperlink ref="E605" r:id="rId260"/>
    <hyperlink ref="I605" r:id="rId261"/>
    <hyperlink ref="E606" r:id="rId262"/>
    <hyperlink ref="I606" r:id="rId263"/>
    <hyperlink ref="E607" r:id="rId264"/>
    <hyperlink ref="I607" r:id="rId265"/>
    <hyperlink ref="E608" r:id="rId266"/>
    <hyperlink ref="I608" r:id="rId267"/>
    <hyperlink ref="E609" r:id="rId268"/>
    <hyperlink ref="I609" r:id="rId269"/>
    <hyperlink ref="P609" r:id="rId270"/>
    <hyperlink ref="E610" r:id="rId271"/>
    <hyperlink ref="I610" r:id="rId272"/>
    <hyperlink ref="E611" r:id="rId273"/>
    <hyperlink ref="I611" r:id="rId274"/>
    <hyperlink ref="E612" r:id="rId275"/>
    <hyperlink ref="I612" r:id="rId276"/>
    <hyperlink ref="E613" r:id="rId277"/>
    <hyperlink ref="I613" r:id="rId278"/>
    <hyperlink ref="E614" r:id="rId279"/>
    <hyperlink ref="I614" r:id="rId280"/>
    <hyperlink ref="E615" r:id="rId281"/>
    <hyperlink ref="I615" r:id="rId282"/>
    <hyperlink ref="E616" r:id="rId283"/>
    <hyperlink ref="I616" r:id="rId284"/>
    <hyperlink ref="E617" r:id="rId285"/>
    <hyperlink ref="I617" r:id="rId286"/>
    <hyperlink ref="P617" r:id="rId287"/>
    <hyperlink ref="E618" r:id="rId288"/>
    <hyperlink ref="I618" r:id="rId289"/>
    <hyperlink ref="P618" r:id="rId290"/>
    <hyperlink ref="E619" r:id="rId291"/>
    <hyperlink ref="I619" r:id="rId292"/>
    <hyperlink ref="E620" r:id="rId293"/>
    <hyperlink ref="I620" r:id="rId294"/>
    <hyperlink ref="E621" r:id="rId295"/>
    <hyperlink ref="I621" r:id="rId296"/>
    <hyperlink ref="P621" r:id="rId297"/>
    <hyperlink ref="E622" r:id="rId298"/>
    <hyperlink ref="I622" r:id="rId299"/>
    <hyperlink ref="E623" r:id="rId300"/>
    <hyperlink ref="I623" r:id="rId301"/>
    <hyperlink ref="E624" r:id="rId302"/>
    <hyperlink ref="I624" r:id="rId303"/>
    <hyperlink ref="E625" r:id="rId304"/>
    <hyperlink ref="I625" r:id="rId305"/>
    <hyperlink ref="E626" r:id="rId306"/>
    <hyperlink ref="I626" r:id="rId307"/>
    <hyperlink ref="E627" r:id="rId308"/>
    <hyperlink ref="I627" r:id="rId309"/>
    <hyperlink ref="E628" r:id="rId310"/>
    <hyperlink ref="I628" r:id="rId311"/>
    <hyperlink ref="E629" r:id="rId312"/>
    <hyperlink ref="I629" r:id="rId313"/>
    <hyperlink ref="E630" r:id="rId314"/>
    <hyperlink ref="I630" r:id="rId315"/>
    <hyperlink ref="E631" r:id="rId316"/>
    <hyperlink ref="I631" r:id="rId317"/>
    <hyperlink ref="P631" r:id="rId318"/>
    <hyperlink ref="E632" r:id="rId319"/>
    <hyperlink ref="I632" r:id="rId320"/>
    <hyperlink ref="E633" r:id="rId321"/>
    <hyperlink ref="I633" r:id="rId322"/>
    <hyperlink ref="E634" r:id="rId323"/>
    <hyperlink ref="I634" r:id="rId324"/>
    <hyperlink ref="E635" r:id="rId325"/>
    <hyperlink ref="I635" r:id="rId326"/>
    <hyperlink ref="E636" r:id="rId327"/>
    <hyperlink ref="I636" r:id="rId328"/>
    <hyperlink ref="E637" r:id="rId329"/>
    <hyperlink ref="I637" r:id="rId330"/>
    <hyperlink ref="E638" r:id="rId331"/>
    <hyperlink ref="I638" r:id="rId332"/>
    <hyperlink ref="E639" r:id="rId333"/>
    <hyperlink ref="I639" r:id="rId334"/>
    <hyperlink ref="P639" r:id="rId335"/>
    <hyperlink ref="E640" r:id="rId336"/>
    <hyperlink ref="I640" r:id="rId337"/>
    <hyperlink ref="E641" r:id="rId338"/>
    <hyperlink ref="I641" r:id="rId339"/>
    <hyperlink ref="E642" r:id="rId340"/>
    <hyperlink ref="I642" r:id="rId341"/>
    <hyperlink ref="E643" r:id="rId342"/>
    <hyperlink ref="I643" r:id="rId343"/>
    <hyperlink ref="E644" r:id="rId344"/>
    <hyperlink ref="I644" r:id="rId345"/>
    <hyperlink ref="E645" r:id="rId346"/>
    <hyperlink ref="I645" r:id="rId347"/>
    <hyperlink ref="E646" r:id="rId348"/>
    <hyperlink ref="I646" r:id="rId349"/>
    <hyperlink ref="E647" r:id="rId350"/>
    <hyperlink ref="I647" r:id="rId351"/>
    <hyperlink ref="E648" r:id="rId352"/>
    <hyperlink ref="I648" r:id="rId353"/>
    <hyperlink ref="E649" r:id="rId354"/>
    <hyperlink ref="I649" r:id="rId355"/>
    <hyperlink ref="E650" r:id="rId356"/>
    <hyperlink ref="I650" r:id="rId357"/>
    <hyperlink ref="E651" r:id="rId358"/>
    <hyperlink ref="I651" r:id="rId359"/>
    <hyperlink ref="E652" r:id="rId360"/>
    <hyperlink ref="I652" r:id="rId361"/>
    <hyperlink ref="E653" r:id="rId362"/>
    <hyperlink ref="I653" r:id="rId363"/>
    <hyperlink ref="E654" r:id="rId364"/>
    <hyperlink ref="I654" r:id="rId365"/>
    <hyperlink ref="P654" r:id="rId366"/>
    <hyperlink ref="E655" r:id="rId367"/>
    <hyperlink ref="I655" r:id="rId368"/>
    <hyperlink ref="E656" r:id="rId369"/>
    <hyperlink ref="I656" r:id="rId370"/>
    <hyperlink ref="E657" r:id="rId371"/>
    <hyperlink ref="I657" r:id="rId372"/>
    <hyperlink ref="E658" r:id="rId373"/>
    <hyperlink ref="I658" r:id="rId374"/>
    <hyperlink ref="E659" r:id="rId375"/>
    <hyperlink ref="I659" r:id="rId376"/>
    <hyperlink ref="E660" r:id="rId377"/>
    <hyperlink ref="I660" r:id="rId378"/>
    <hyperlink ref="E661" r:id="rId379"/>
    <hyperlink ref="I661" r:id="rId380"/>
    <hyperlink ref="E662" r:id="rId381"/>
    <hyperlink ref="I662" r:id="rId382"/>
    <hyperlink ref="E663" r:id="rId383"/>
    <hyperlink ref="I663" r:id="rId384"/>
    <hyperlink ref="E664" r:id="rId385"/>
    <hyperlink ref="I664" r:id="rId386"/>
    <hyperlink ref="P664" r:id="rId387"/>
    <hyperlink ref="E665" r:id="rId388"/>
    <hyperlink ref="I665" r:id="rId389"/>
    <hyperlink ref="E666" r:id="rId390"/>
    <hyperlink ref="I666" r:id="rId391"/>
    <hyperlink ref="E667" r:id="rId392"/>
    <hyperlink ref="I667" r:id="rId393"/>
    <hyperlink ref="E668" r:id="rId394"/>
    <hyperlink ref="I668" r:id="rId395"/>
    <hyperlink ref="E669" r:id="rId396"/>
    <hyperlink ref="I669" r:id="rId397"/>
    <hyperlink ref="E670" r:id="rId398"/>
    <hyperlink ref="I670" r:id="rId399"/>
    <hyperlink ref="E671" r:id="rId400"/>
    <hyperlink ref="I671" r:id="rId401"/>
    <hyperlink ref="E672" r:id="rId402"/>
    <hyperlink ref="I672" r:id="rId403"/>
    <hyperlink ref="E673" r:id="rId404"/>
    <hyperlink ref="I673" r:id="rId405"/>
    <hyperlink ref="E674" r:id="rId406"/>
    <hyperlink ref="I674" r:id="rId407"/>
    <hyperlink ref="E675" r:id="rId408"/>
    <hyperlink ref="I675" r:id="rId409"/>
    <hyperlink ref="P675" r:id="rId410"/>
    <hyperlink ref="E676" r:id="rId411"/>
    <hyperlink ref="I676" r:id="rId412"/>
    <hyperlink ref="E677" r:id="rId413"/>
    <hyperlink ref="P677" r:id="rId414"/>
    <hyperlink ref="E678" r:id="rId415"/>
    <hyperlink ref="E679" r:id="rId416"/>
    <hyperlink ref="E680" r:id="rId417"/>
    <hyperlink ref="E681" r:id="rId418"/>
    <hyperlink ref="E682" r:id="rId419"/>
    <hyperlink ref="E683" r:id="rId420"/>
    <hyperlink ref="E684" r:id="rId421"/>
    <hyperlink ref="E685" r:id="rId422"/>
    <hyperlink ref="E686" r:id="rId423"/>
    <hyperlink ref="E687" r:id="rId424"/>
    <hyperlink ref="E688" r:id="rId425"/>
    <hyperlink ref="P688" r:id="rId426"/>
    <hyperlink ref="E689" r:id="rId427"/>
    <hyperlink ref="E690" r:id="rId428"/>
    <hyperlink ref="P690" r:id="rId429"/>
    <hyperlink ref="E691" r:id="rId430"/>
    <hyperlink ref="E692" r:id="rId431"/>
    <hyperlink ref="E693" r:id="rId432"/>
    <hyperlink ref="E694" r:id="rId433"/>
    <hyperlink ref="E695" r:id="rId434"/>
    <hyperlink ref="E696" r:id="rId435"/>
    <hyperlink ref="E697" r:id="rId436"/>
    <hyperlink ref="I697" r:id="rId437"/>
    <hyperlink ref="P697" r:id="rId438"/>
    <hyperlink ref="E698" r:id="rId439"/>
    <hyperlink ref="I698" r:id="rId440"/>
    <hyperlink ref="P698" r:id="rId441"/>
    <hyperlink ref="E699" r:id="rId442"/>
    <hyperlink ref="I699" r:id="rId443"/>
    <hyperlink ref="E700" r:id="rId444"/>
    <hyperlink ref="I700" r:id="rId445"/>
    <hyperlink ref="E701" r:id="rId446"/>
    <hyperlink ref="I701" r:id="rId447"/>
    <hyperlink ref="I702" r:id="rId448"/>
    <hyperlink ref="P702" r:id="rId449"/>
    <hyperlink ref="I703" r:id="rId450"/>
    <hyperlink ref="I704" r:id="rId451"/>
    <hyperlink ref="I705" r:id="rId452"/>
    <hyperlink ref="I706" r:id="rId453"/>
    <hyperlink ref="P707" r:id="rId454"/>
    <hyperlink ref="P708" r:id="rId455"/>
    <hyperlink ref="P723" r:id="rId456"/>
    <hyperlink ref="P730" r:id="rId457"/>
    <hyperlink ref="P732" r:id="rId458"/>
    <hyperlink ref="P736" r:id="rId459"/>
    <hyperlink ref="P743" r:id="rId460"/>
    <hyperlink ref="P751" r:id="rId461"/>
    <hyperlink ref="P754" r:id="rId462"/>
    <hyperlink ref="P763" r:id="rId463"/>
    <hyperlink ref="P769" r:id="rId464"/>
    <hyperlink ref="P775" r:id="rId465"/>
    <hyperlink ref="P778" r:id="rId466"/>
    <hyperlink ref="P779" r:id="rId467"/>
    <hyperlink ref="P783" r:id="rId468"/>
    <hyperlink ref="I793" r:id="rId469"/>
    <hyperlink ref="P793" r:id="rId470"/>
    <hyperlink ref="I794" r:id="rId471"/>
    <hyperlink ref="I795" r:id="rId472"/>
    <hyperlink ref="I796" r:id="rId473"/>
    <hyperlink ref="I797" r:id="rId474"/>
    <hyperlink ref="I798" r:id="rId475"/>
    <hyperlink ref="I799" r:id="rId476"/>
    <hyperlink ref="P799" r:id="rId477"/>
    <hyperlink ref="I800" r:id="rId478"/>
    <hyperlink ref="I801" r:id="rId479"/>
    <hyperlink ref="P801" r:id="rId480"/>
    <hyperlink ref="I802" r:id="rId481"/>
    <hyperlink ref="I803" r:id="rId482"/>
    <hyperlink ref="I804" r:id="rId483"/>
    <hyperlink ref="P804" r:id="rId484"/>
    <hyperlink ref="I805" r:id="rId485"/>
    <hyperlink ref="P805" r:id="rId486"/>
    <hyperlink ref="I806" r:id="rId487"/>
    <hyperlink ref="I807" r:id="rId488"/>
    <hyperlink ref="I808" r:id="rId489"/>
    <hyperlink ref="I809" r:id="rId490"/>
    <hyperlink ref="I810" r:id="rId491"/>
    <hyperlink ref="I811" r:id="rId492"/>
    <hyperlink ref="I812" r:id="rId493"/>
    <hyperlink ref="P812" r:id="rId494"/>
    <hyperlink ref="I813" r:id="rId495"/>
    <hyperlink ref="I814" r:id="rId496"/>
    <hyperlink ref="I815" r:id="rId497"/>
    <hyperlink ref="I816" r:id="rId498"/>
    <hyperlink ref="I817" r:id="rId499"/>
    <hyperlink ref="I818" r:id="rId500"/>
    <hyperlink ref="I819" r:id="rId501"/>
    <hyperlink ref="I820" r:id="rId502"/>
    <hyperlink ref="I821" r:id="rId503"/>
    <hyperlink ref="I822" r:id="rId504"/>
    <hyperlink ref="I823" r:id="rId505"/>
    <hyperlink ref="I824" r:id="rId506"/>
    <hyperlink ref="P824" r:id="rId507"/>
    <hyperlink ref="I825" r:id="rId508"/>
    <hyperlink ref="I826" r:id="rId509"/>
    <hyperlink ref="I827" r:id="rId510"/>
    <hyperlink ref="I828" r:id="rId511"/>
    <hyperlink ref="I829" r:id="rId512"/>
    <hyperlink ref="P829" r:id="rId513"/>
    <hyperlink ref="I830" r:id="rId514"/>
    <hyperlink ref="I831" r:id="rId515"/>
    <hyperlink ref="P832" r:id="rId516"/>
    <hyperlink ref="P846" r:id="rId517"/>
    <hyperlink ref="P847" r:id="rId518"/>
    <hyperlink ref="P848" r:id="rId519"/>
    <hyperlink ref="P859" r:id="rId520"/>
    <hyperlink ref="P860" r:id="rId521"/>
    <hyperlink ref="P865" r:id="rId522"/>
    <hyperlink ref="P866" r:id="rId523"/>
    <hyperlink ref="P869" r:id="rId524"/>
    <hyperlink ref="P873" r:id="rId525"/>
    <hyperlink ref="P874" r:id="rId526"/>
    <hyperlink ref="P885" r:id="rId527"/>
    <hyperlink ref="P886" r:id="rId528"/>
    <hyperlink ref="P889" r:id="rId529"/>
    <hyperlink ref="P890" r:id="rId530"/>
    <hyperlink ref="P893" r:id="rId531"/>
    <hyperlink ref="P905" r:id="rId532"/>
    <hyperlink ref="I919" r:id="rId533"/>
    <hyperlink ref="P919" r:id="rId534"/>
    <hyperlink ref="I920" r:id="rId535"/>
    <hyperlink ref="P920" r:id="rId536"/>
    <hyperlink ref="I921" r:id="rId537"/>
    <hyperlink ref="I922" r:id="rId538"/>
    <hyperlink ref="P922" r:id="rId539"/>
    <hyperlink ref="I923" r:id="rId540"/>
    <hyperlink ref="I924" r:id="rId541"/>
    <hyperlink ref="I925" r:id="rId542"/>
    <hyperlink ref="P925" r:id="rId543"/>
    <hyperlink ref="I926" r:id="rId544"/>
    <hyperlink ref="I927" r:id="rId545"/>
    <hyperlink ref="I928" r:id="rId546"/>
    <hyperlink ref="I929" r:id="rId547"/>
    <hyperlink ref="P932" r:id="rId548"/>
    <hyperlink ref="P937" r:id="rId549"/>
    <hyperlink ref="P941" r:id="rId550"/>
    <hyperlink ref="P946" r:id="rId551"/>
    <hyperlink ref="P948" r:id="rId552"/>
    <hyperlink ref="P961" r:id="rId553"/>
    <hyperlink ref="P969" r:id="rId554"/>
    <hyperlink ref="P983" r:id="rId555"/>
    <hyperlink ref="P985" r:id="rId556"/>
    <hyperlink ref="P988" r:id="rId557"/>
    <hyperlink ref="P993" r:id="rId558"/>
    <hyperlink ref="P996" r:id="rId559"/>
    <hyperlink ref="P998" r:id="rId560"/>
    <hyperlink ref="P999" r:id="rId561"/>
    <hyperlink ref="P1009" r:id="rId562"/>
    <hyperlink ref="P1047" r:id="rId563"/>
    <hyperlink ref="E1056" r:id="rId564"/>
    <hyperlink ref="I1056" r:id="rId565"/>
    <hyperlink ref="P1056" r:id="rId566"/>
    <hyperlink ref="E1057" r:id="rId567"/>
    <hyperlink ref="I1057" r:id="rId568"/>
    <hyperlink ref="E1058" r:id="rId569"/>
    <hyperlink ref="I1058" r:id="rId570"/>
    <hyperlink ref="E1059" r:id="rId571"/>
    <hyperlink ref="I1059" r:id="rId572"/>
    <hyperlink ref="E1060" r:id="rId573"/>
    <hyperlink ref="I1060" r:id="rId574"/>
    <hyperlink ref="E1061" r:id="rId575"/>
    <hyperlink ref="I1061" r:id="rId576"/>
    <hyperlink ref="E1062" r:id="rId577"/>
    <hyperlink ref="I1062" r:id="rId578"/>
    <hyperlink ref="E1063" r:id="rId579"/>
    <hyperlink ref="I1063" r:id="rId580"/>
    <hyperlink ref="P1063" r:id="rId581"/>
    <hyperlink ref="E1064" r:id="rId582"/>
    <hyperlink ref="I1064" r:id="rId583"/>
    <hyperlink ref="E1065" r:id="rId584"/>
    <hyperlink ref="I1065" r:id="rId585"/>
    <hyperlink ref="E1066" r:id="rId586"/>
    <hyperlink ref="I1066" r:id="rId587"/>
    <hyperlink ref="E1067" r:id="rId588"/>
    <hyperlink ref="I1067" r:id="rId589"/>
    <hyperlink ref="E1068" r:id="rId590"/>
    <hyperlink ref="I1068" r:id="rId591"/>
    <hyperlink ref="E1069" r:id="rId592"/>
    <hyperlink ref="E1070" r:id="rId593"/>
    <hyperlink ref="P1070" r:id="rId594"/>
    <hyperlink ref="E1071" r:id="rId595"/>
    <hyperlink ref="E1072" r:id="rId596"/>
    <hyperlink ref="E1073" r:id="rId597"/>
    <hyperlink ref="E1074" r:id="rId598"/>
    <hyperlink ref="E1075" r:id="rId599"/>
    <hyperlink ref="E1076" r:id="rId600"/>
    <hyperlink ref="P1076" r:id="rId601"/>
    <hyperlink ref="E1077" r:id="rId602"/>
    <hyperlink ref="P1077" r:id="rId603"/>
    <hyperlink ref="E1078" r:id="rId604"/>
    <hyperlink ref="E1079" r:id="rId605"/>
    <hyperlink ref="P1079" r:id="rId606"/>
    <hyperlink ref="E1080" r:id="rId607"/>
    <hyperlink ref="E1081" r:id="rId608"/>
    <hyperlink ref="P1081" r:id="rId609"/>
    <hyperlink ref="E1082" r:id="rId610"/>
    <hyperlink ref="E1083" r:id="rId611"/>
    <hyperlink ref="E1084" r:id="rId612"/>
    <hyperlink ref="E1085" r:id="rId613"/>
    <hyperlink ref="E1086" r:id="rId614"/>
    <hyperlink ref="E1087" r:id="rId615"/>
    <hyperlink ref="E1088" r:id="rId616"/>
    <hyperlink ref="P1089" r:id="rId617"/>
    <hyperlink ref="P1100" r:id="rId618"/>
    <hyperlink ref="P1116" r:id="rId619"/>
    <hyperlink ref="P1123" r:id="rId620"/>
    <hyperlink ref="P1136" r:id="rId621"/>
    <hyperlink ref="P1139" r:id="rId622"/>
    <hyperlink ref="P1153" r:id="rId623"/>
    <hyperlink ref="P1162" r:id="rId624"/>
    <hyperlink ref="P1174" r:id="rId625"/>
    <hyperlink ref="P1180" r:id="rId626"/>
    <hyperlink ref="P1181" r:id="rId627"/>
    <hyperlink ref="P1183" r:id="rId628"/>
    <hyperlink ref="P1185" r:id="rId629"/>
    <hyperlink ref="I1193" r:id="rId630"/>
    <hyperlink ref="I1194" r:id="rId631"/>
    <hyperlink ref="I1195" r:id="rId632"/>
    <hyperlink ref="I1196" r:id="rId633"/>
    <hyperlink ref="P1196" r:id="rId634"/>
    <hyperlink ref="I1197" r:id="rId635"/>
    <hyperlink ref="I1198" r:id="rId636"/>
    <hyperlink ref="I1199" r:id="rId637"/>
    <hyperlink ref="P1201" r:id="rId638"/>
    <hyperlink ref="P1210" r:id="rId639"/>
    <hyperlink ref="P1219" r:id="rId640"/>
    <hyperlink ref="P1220" r:id="rId641"/>
    <hyperlink ref="P1221" r:id="rId642"/>
    <hyperlink ref="P1230" r:id="rId643"/>
    <hyperlink ref="P1241" r:id="rId644"/>
    <hyperlink ref="P1248" r:id="rId645"/>
    <hyperlink ref="P1250" r:id="rId646"/>
    <hyperlink ref="P1252" r:id="rId647"/>
    <hyperlink ref="P1253" r:id="rId648"/>
    <hyperlink ref="P1255" r:id="rId649"/>
    <hyperlink ref="P1260" r:id="rId650"/>
    <hyperlink ref="P1265" r:id="rId651"/>
    <hyperlink ref="P1269" r:id="rId652"/>
    <hyperlink ref="P1281" r:id="rId653"/>
    <hyperlink ref="P1282" r:id="rId654"/>
    <hyperlink ref="P1293" r:id="rId655"/>
    <hyperlink ref="P1300" r:id="rId656"/>
    <hyperlink ref="E1305" r:id="rId657"/>
    <hyperlink ref="I1305" r:id="rId658"/>
    <hyperlink ref="E1306" r:id="rId659"/>
    <hyperlink ref="I1306" r:id="rId660"/>
    <hyperlink ref="E1307" r:id="rId661"/>
    <hyperlink ref="I1307" r:id="rId662"/>
    <hyperlink ref="E1308" r:id="rId663"/>
    <hyperlink ref="I1308" r:id="rId664"/>
    <hyperlink ref="P1308" r:id="rId665"/>
    <hyperlink ref="E1309" r:id="rId666"/>
    <hyperlink ref="I1309" r:id="rId667"/>
    <hyperlink ref="E1310" r:id="rId668"/>
    <hyperlink ref="I1310" r:id="rId669"/>
    <hyperlink ref="E1311" r:id="rId670"/>
    <hyperlink ref="I1311" r:id="rId671"/>
    <hyperlink ref="E1312" r:id="rId672"/>
    <hyperlink ref="I1312" r:id="rId673"/>
    <hyperlink ref="P1312" r:id="rId674"/>
    <hyperlink ref="E1313" r:id="rId675"/>
    <hyperlink ref="I1313" r:id="rId676"/>
    <hyperlink ref="E1314" r:id="rId677"/>
    <hyperlink ref="I1314" r:id="rId678"/>
    <hyperlink ref="E1315" r:id="rId679"/>
    <hyperlink ref="I1315" r:id="rId680"/>
    <hyperlink ref="E1316" r:id="rId681"/>
    <hyperlink ref="I1316" r:id="rId682"/>
    <hyperlink ref="E1317" r:id="rId683"/>
    <hyperlink ref="I1317" r:id="rId684"/>
    <hyperlink ref="E1318" r:id="rId685"/>
    <hyperlink ref="I1318" r:id="rId686"/>
    <hyperlink ref="E1319" r:id="rId687"/>
    <hyperlink ref="I1319" r:id="rId688"/>
    <hyperlink ref="E1320" r:id="rId689"/>
    <hyperlink ref="I1320" r:id="rId690"/>
    <hyperlink ref="E1321" r:id="rId691"/>
    <hyperlink ref="I1321" r:id="rId692"/>
    <hyperlink ref="P1321" r:id="rId693"/>
    <hyperlink ref="E1322" r:id="rId694"/>
    <hyperlink ref="I1322" r:id="rId695"/>
    <hyperlink ref="P1322" r:id="rId696"/>
    <hyperlink ref="E1323" r:id="rId697"/>
    <hyperlink ref="I1323" r:id="rId698"/>
    <hyperlink ref="E1324" r:id="rId699"/>
    <hyperlink ref="I1324" r:id="rId700"/>
    <hyperlink ref="E1325" r:id="rId701"/>
    <hyperlink ref="I1325" r:id="rId702"/>
    <hyperlink ref="E1326" r:id="rId703"/>
    <hyperlink ref="I1326" r:id="rId704"/>
    <hyperlink ref="P1326" r:id="rId705"/>
    <hyperlink ref="P1327" r:id="rId706"/>
    <hyperlink ref="P1329" r:id="rId707"/>
    <hyperlink ref="P1333" r:id="rId708"/>
    <hyperlink ref="P1334" r:id="rId709"/>
    <hyperlink ref="I1339" r:id="rId710"/>
    <hyperlink ref="P1339" r:id="rId711"/>
    <hyperlink ref="I1341" r:id="rId712"/>
    <hyperlink ref="P1341" r:id="rId713"/>
    <hyperlink ref="P1343" r:id="rId714"/>
    <hyperlink ref="P1347" r:id="rId715"/>
    <hyperlink ref="P1348" r:id="rId716"/>
    <hyperlink ref="P1349" r:id="rId717"/>
    <hyperlink ref="P1351" r:id="rId718"/>
    <hyperlink ref="P1363" r:id="rId719"/>
    <hyperlink ref="I1375" r:id="rId720"/>
    <hyperlink ref="P1375" r:id="rId721"/>
    <hyperlink ref="I1376" r:id="rId722"/>
    <hyperlink ref="I1377" r:id="rId723"/>
    <hyperlink ref="I1378" r:id="rId724"/>
    <hyperlink ref="P1378" r:id="rId725"/>
    <hyperlink ref="I1379" r:id="rId726"/>
    <hyperlink ref="P1379" r:id="rId727"/>
    <hyperlink ref="I1380" r:id="rId728"/>
    <hyperlink ref="P1380" r:id="rId729"/>
    <hyperlink ref="I1381" r:id="rId730"/>
    <hyperlink ref="P1381" r:id="rId731"/>
    <hyperlink ref="I1382" r:id="rId732"/>
    <hyperlink ref="I1383" r:id="rId733"/>
    <hyperlink ref="P1383" r:id="rId734"/>
    <hyperlink ref="I1384" r:id="rId735"/>
    <hyperlink ref="I1385" r:id="rId736"/>
    <hyperlink ref="P1385" r:id="rId737"/>
    <hyperlink ref="I1386" r:id="rId738"/>
    <hyperlink ref="I1387" r:id="rId739"/>
    <hyperlink ref="I1388" r:id="rId740"/>
    <hyperlink ref="P1395" r:id="rId741"/>
    <hyperlink ref="P1400" r:id="rId742"/>
    <hyperlink ref="P1411" r:id="rId743"/>
    <hyperlink ref="P1412" r:id="rId744"/>
    <hyperlink ref="P1413" r:id="rId745"/>
    <hyperlink ref="P1414" r:id="rId746"/>
    <hyperlink ref="P1415" r:id="rId747"/>
    <hyperlink ref="P1416" r:id="rId748"/>
    <hyperlink ref="P1419" r:id="rId749"/>
    <hyperlink ref="P1424" r:id="rId750"/>
    <hyperlink ref="P1427" r:id="rId751"/>
    <hyperlink ref="P1441" r:id="rId752"/>
    <hyperlink ref="P1455" r:id="rId753"/>
    <hyperlink ref="P1457" r:id="rId754"/>
    <hyperlink ref="P1458" r:id="rId755"/>
    <hyperlink ref="P1471" r:id="rId756"/>
    <hyperlink ref="P1479" r:id="rId757"/>
    <hyperlink ref="P1480" r:id="rId758"/>
    <hyperlink ref="P1481" r:id="rId759"/>
    <hyperlink ref="P1482" r:id="rId760"/>
    <hyperlink ref="P1483" r:id="rId761"/>
    <hyperlink ref="P1484" r:id="rId762"/>
    <hyperlink ref="P1485" r:id="rId763"/>
    <hyperlink ref="P1486" r:id="rId764"/>
    <hyperlink ref="P1489" r:id="rId765"/>
    <hyperlink ref="P1490" r:id="rId766"/>
    <hyperlink ref="P1498" r:id="rId767"/>
    <hyperlink ref="P1499" r:id="rId768"/>
    <hyperlink ref="P1509" r:id="rId769"/>
    <hyperlink ref="P1510" r:id="rId770"/>
    <hyperlink ref="P1523" r:id="rId771"/>
    <hyperlink ref="P1524" r:id="rId772"/>
    <hyperlink ref="P1529" r:id="rId773"/>
    <hyperlink ref="P1536" r:id="rId774"/>
    <hyperlink ref="P1563" r:id="rId775"/>
    <hyperlink ref="P1564" r:id="rId776"/>
    <hyperlink ref="P1576" r:id="rId777"/>
    <hyperlink ref="P1595" r:id="rId778"/>
    <hyperlink ref="P1610" r:id="rId779"/>
    <hyperlink ref="I1617" r:id="rId780"/>
    <hyperlink ref="I1618" r:id="rId781"/>
    <hyperlink ref="I1619" r:id="rId782"/>
    <hyperlink ref="P1619" r:id="rId783"/>
    <hyperlink ref="I1620" r:id="rId784"/>
    <hyperlink ref="I1621" r:id="rId785"/>
    <hyperlink ref="I1622" r:id="rId786"/>
    <hyperlink ref="I1623" r:id="rId787"/>
    <hyperlink ref="I1624" r:id="rId788"/>
    <hyperlink ref="I1625" r:id="rId789"/>
    <hyperlink ref="P1645" r:id="rId790"/>
  </hyperlinks>
  <pageMargins left="0" right="0" top="0" bottom="0" header="0" footer="0"/>
  <legacyDrawing r:id="rId7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W421"/>
  <sheetViews>
    <sheetView workbookViewId="0"/>
  </sheetViews>
  <sheetFormatPr defaultColWidth="12.5703125" defaultRowHeight="15.75" customHeight="1"/>
  <cols>
    <col min="1" max="1" width="14.85546875" customWidth="1"/>
  </cols>
  <sheetData>
    <row r="1" spans="1:49" ht="15.75" customHeight="1">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ht="15.75" customHeight="1">
      <c r="A2" s="1059" t="s">
        <v>5007</v>
      </c>
      <c r="B2" s="1060"/>
      <c r="C2" s="1058" t="s">
        <v>5008</v>
      </c>
      <c r="D2" s="1043"/>
      <c r="E2" s="1043"/>
      <c r="F2" s="1043"/>
      <c r="G2" s="1043"/>
      <c r="H2" s="1043"/>
      <c r="I2" s="1043"/>
      <c r="J2" s="1043"/>
      <c r="K2" s="1043"/>
      <c r="L2" s="1043"/>
      <c r="M2" s="1043"/>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row>
    <row r="4" spans="1:49" ht="15.75" customHeight="1">
      <c r="A4" s="148" t="s">
        <v>5009</v>
      </c>
      <c r="B4" s="148" t="s">
        <v>5010</v>
      </c>
      <c r="I4" s="950" t="s">
        <v>5011</v>
      </c>
      <c r="J4" s="951"/>
      <c r="K4" s="951"/>
      <c r="L4" s="951"/>
      <c r="M4" s="951"/>
      <c r="N4" s="951"/>
      <c r="O4" s="951"/>
      <c r="P4" s="951"/>
      <c r="Q4" s="952"/>
    </row>
    <row r="5" spans="1:49" ht="15.75" customHeight="1">
      <c r="A5" s="148"/>
      <c r="I5" s="953" t="s">
        <v>5012</v>
      </c>
      <c r="J5" s="610" t="s">
        <v>5013</v>
      </c>
      <c r="K5" s="610"/>
      <c r="L5" s="610"/>
      <c r="M5" s="610"/>
      <c r="N5" s="610"/>
      <c r="O5" s="610"/>
      <c r="P5" s="610"/>
      <c r="Q5" s="954"/>
    </row>
    <row r="6" spans="1:49" ht="15.75" customHeight="1">
      <c r="A6" s="148" t="s">
        <v>5014</v>
      </c>
      <c r="B6" s="148" t="s">
        <v>5015</v>
      </c>
      <c r="I6" s="953" t="s">
        <v>5016</v>
      </c>
      <c r="J6" s="610" t="s">
        <v>5017</v>
      </c>
      <c r="K6" s="610"/>
      <c r="L6" s="610"/>
      <c r="M6" s="610"/>
      <c r="N6" s="610"/>
      <c r="O6" s="610"/>
      <c r="P6" s="610"/>
      <c r="Q6" s="954"/>
    </row>
    <row r="7" spans="1:49" ht="15.75" customHeight="1">
      <c r="I7" s="953" t="s">
        <v>5018</v>
      </c>
      <c r="J7" s="610" t="s">
        <v>5019</v>
      </c>
      <c r="K7" s="610"/>
      <c r="L7" s="610"/>
      <c r="M7" s="610"/>
      <c r="N7" s="610"/>
      <c r="O7" s="955"/>
      <c r="P7" s="955"/>
      <c r="Q7" s="955"/>
    </row>
    <row r="8" spans="1:49" ht="15.75" customHeight="1">
      <c r="A8" s="148" t="s">
        <v>5020</v>
      </c>
      <c r="B8" s="14" t="s">
        <v>5021</v>
      </c>
      <c r="I8" s="953" t="s">
        <v>5022</v>
      </c>
      <c r="J8" s="610" t="s">
        <v>5023</v>
      </c>
      <c r="K8" s="610"/>
      <c r="L8" s="610"/>
      <c r="M8" s="610"/>
      <c r="N8" s="610"/>
      <c r="O8" s="610"/>
      <c r="P8" s="610"/>
      <c r="Q8" s="954"/>
    </row>
    <row r="9" spans="1:49" ht="15.75" customHeight="1">
      <c r="C9" s="205" t="s">
        <v>5016</v>
      </c>
      <c r="D9" s="14" t="s">
        <v>5024</v>
      </c>
      <c r="I9" s="611" t="s">
        <v>691</v>
      </c>
      <c r="J9" s="956" t="s">
        <v>5025</v>
      </c>
      <c r="K9" s="956"/>
      <c r="L9" s="956"/>
      <c r="M9" s="956"/>
      <c r="N9" s="956"/>
      <c r="O9" s="956"/>
      <c r="P9" s="956"/>
      <c r="Q9" s="957"/>
    </row>
    <row r="10" spans="1:49" ht="15.75" customHeight="1">
      <c r="C10" s="205" t="s">
        <v>5018</v>
      </c>
      <c r="D10" s="14" t="s">
        <v>5026</v>
      </c>
    </row>
    <row r="11" spans="1:49" ht="15.75" customHeight="1">
      <c r="C11" s="205" t="s">
        <v>5022</v>
      </c>
      <c r="D11" s="14" t="s">
        <v>5027</v>
      </c>
    </row>
    <row r="12" spans="1:49" ht="15.75" customHeight="1">
      <c r="C12" s="205" t="s">
        <v>691</v>
      </c>
      <c r="D12" s="14" t="s">
        <v>5028</v>
      </c>
    </row>
    <row r="14" spans="1:49" ht="15.75" customHeight="1">
      <c r="A14" s="148" t="s">
        <v>5029</v>
      </c>
      <c r="B14" s="14" t="s">
        <v>5030</v>
      </c>
    </row>
    <row r="15" spans="1:49" ht="15.75" customHeight="1">
      <c r="B15" s="14" t="s">
        <v>5031</v>
      </c>
      <c r="C15" s="14"/>
      <c r="D15" s="14"/>
    </row>
    <row r="16" spans="1:49" ht="15.75" customHeight="1">
      <c r="B16" s="14" t="s">
        <v>5032</v>
      </c>
      <c r="C16" s="14"/>
      <c r="D16" s="14"/>
    </row>
    <row r="17" spans="1:11" ht="15.75" customHeight="1">
      <c r="C17" s="205" t="s">
        <v>5012</v>
      </c>
      <c r="D17" s="14" t="s">
        <v>5033</v>
      </c>
    </row>
    <row r="18" spans="1:11" ht="12.75">
      <c r="C18" s="205" t="s">
        <v>5034</v>
      </c>
      <c r="D18" s="14" t="s">
        <v>5035</v>
      </c>
    </row>
    <row r="19" spans="1:11" ht="12.75">
      <c r="C19" s="205" t="s">
        <v>5022</v>
      </c>
      <c r="D19" s="14" t="s">
        <v>5036</v>
      </c>
      <c r="E19" s="14" t="s">
        <v>5037</v>
      </c>
    </row>
    <row r="20" spans="1:11" ht="12.75">
      <c r="C20" s="205"/>
      <c r="E20" s="14" t="s">
        <v>5038</v>
      </c>
    </row>
    <row r="21" spans="1:11" ht="12.75">
      <c r="C21" s="205"/>
      <c r="E21" s="14" t="s">
        <v>5039</v>
      </c>
    </row>
    <row r="22" spans="1:11" ht="12.75">
      <c r="C22" s="205" t="s">
        <v>5040</v>
      </c>
      <c r="D22" s="10" t="s">
        <v>5041</v>
      </c>
    </row>
    <row r="24" spans="1:11" ht="12.75">
      <c r="A24" s="148" t="s">
        <v>5042</v>
      </c>
      <c r="B24" s="14" t="s">
        <v>5043</v>
      </c>
    </row>
    <row r="25" spans="1:11" ht="12.75">
      <c r="C25" s="205" t="s">
        <v>5016</v>
      </c>
      <c r="D25" s="14" t="s">
        <v>5044</v>
      </c>
    </row>
    <row r="26" spans="1:11" ht="12.75">
      <c r="B26" s="14"/>
      <c r="C26" s="205" t="s">
        <v>5045</v>
      </c>
      <c r="D26" s="14" t="s">
        <v>5046</v>
      </c>
    </row>
    <row r="27" spans="1:11" ht="12.75">
      <c r="B27" s="14"/>
      <c r="C27" s="205" t="s">
        <v>5040</v>
      </c>
      <c r="D27" s="14" t="s">
        <v>5047</v>
      </c>
    </row>
    <row r="29" spans="1:11" ht="12.75">
      <c r="A29" s="148" t="s">
        <v>5048</v>
      </c>
      <c r="B29" s="14" t="s">
        <v>5049</v>
      </c>
      <c r="J29" s="205"/>
      <c r="K29" s="14"/>
    </row>
    <row r="30" spans="1:11" ht="12.75">
      <c r="B30" s="14" t="s">
        <v>5050</v>
      </c>
    </row>
    <row r="31" spans="1:11" ht="12.75">
      <c r="B31" s="14"/>
      <c r="C31" s="205" t="s">
        <v>5022</v>
      </c>
      <c r="D31" s="14" t="s">
        <v>2997</v>
      </c>
    </row>
    <row r="32" spans="1:11" ht="12.75">
      <c r="C32" s="220"/>
      <c r="D32" s="14" t="s">
        <v>5051</v>
      </c>
    </row>
    <row r="33" spans="1:5" ht="12.75">
      <c r="B33" s="14"/>
      <c r="C33" s="220"/>
      <c r="D33" s="14" t="s">
        <v>5052</v>
      </c>
    </row>
    <row r="34" spans="1:5" ht="12.75">
      <c r="C34" s="220"/>
      <c r="E34" s="14" t="s">
        <v>5053</v>
      </c>
    </row>
    <row r="35" spans="1:5" ht="12.75">
      <c r="C35" s="220"/>
      <c r="E35" s="14" t="s">
        <v>5054</v>
      </c>
    </row>
    <row r="36" spans="1:5" ht="12.75">
      <c r="C36" s="220"/>
      <c r="E36" s="14" t="s">
        <v>5055</v>
      </c>
    </row>
    <row r="37" spans="1:5" ht="12.75">
      <c r="C37" s="205" t="s">
        <v>691</v>
      </c>
      <c r="D37" s="14" t="s">
        <v>5056</v>
      </c>
    </row>
    <row r="39" spans="1:5" ht="12.75">
      <c r="A39" s="148" t="s">
        <v>5057</v>
      </c>
      <c r="B39" s="14" t="s">
        <v>5058</v>
      </c>
    </row>
    <row r="40" spans="1:5" ht="12.75">
      <c r="C40" s="205" t="s">
        <v>5016</v>
      </c>
      <c r="D40" s="14" t="s">
        <v>5059</v>
      </c>
    </row>
    <row r="41" spans="1:5" ht="12.75">
      <c r="C41" s="205" t="s">
        <v>5011</v>
      </c>
      <c r="D41" s="14" t="s">
        <v>5060</v>
      </c>
    </row>
    <row r="42" spans="1:5" ht="12.75">
      <c r="C42" s="205"/>
      <c r="E42" s="14" t="s">
        <v>5061</v>
      </c>
    </row>
    <row r="43" spans="1:5" ht="12.75">
      <c r="C43" s="205"/>
      <c r="D43" s="14" t="s">
        <v>5062</v>
      </c>
    </row>
    <row r="44" spans="1:5" ht="12.75">
      <c r="C44" s="205"/>
      <c r="E44" s="14" t="s">
        <v>5063</v>
      </c>
    </row>
    <row r="45" spans="1:5" ht="12.75">
      <c r="C45" s="205"/>
      <c r="D45" s="14" t="s">
        <v>5064</v>
      </c>
    </row>
    <row r="46" spans="1:5" ht="12.75">
      <c r="C46" s="205" t="s">
        <v>538</v>
      </c>
      <c r="D46" s="14" t="s">
        <v>5065</v>
      </c>
    </row>
    <row r="47" spans="1:5" ht="12.75">
      <c r="C47" s="220"/>
      <c r="D47" s="655" t="s">
        <v>5066</v>
      </c>
    </row>
    <row r="48" spans="1:5" ht="12.75">
      <c r="C48" s="220"/>
      <c r="D48" s="14" t="s">
        <v>5067</v>
      </c>
    </row>
    <row r="49" spans="1:6" ht="12.75">
      <c r="C49" s="220"/>
      <c r="D49" s="29" t="s">
        <v>5068</v>
      </c>
      <c r="E49" s="14" t="s">
        <v>5069</v>
      </c>
    </row>
    <row r="50" spans="1:6" ht="12.75">
      <c r="C50" s="220"/>
      <c r="E50" s="14" t="s">
        <v>5070</v>
      </c>
    </row>
    <row r="54" spans="1:6" ht="12.75">
      <c r="A54" s="148" t="s">
        <v>5071</v>
      </c>
      <c r="B54" s="14" t="s">
        <v>5072</v>
      </c>
      <c r="C54" s="111" t="s">
        <v>5073</v>
      </c>
    </row>
    <row r="55" spans="1:6" ht="12.75">
      <c r="C55" s="205" t="s">
        <v>5018</v>
      </c>
      <c r="D55" s="14" t="s">
        <v>5074</v>
      </c>
    </row>
    <row r="56" spans="1:6" ht="12.75">
      <c r="C56" s="205" t="s">
        <v>5022</v>
      </c>
      <c r="D56" s="14" t="s">
        <v>5075</v>
      </c>
    </row>
    <row r="57" spans="1:6" ht="12.75">
      <c r="C57" s="148" t="s">
        <v>5076</v>
      </c>
    </row>
    <row r="58" spans="1:6" ht="12.75">
      <c r="C58" s="205" t="s">
        <v>5018</v>
      </c>
      <c r="D58" s="14" t="s">
        <v>5077</v>
      </c>
    </row>
    <row r="59" spans="1:6" ht="12.75">
      <c r="C59" s="205"/>
      <c r="D59" s="14" t="s">
        <v>5078</v>
      </c>
      <c r="F59" s="148"/>
    </row>
    <row r="60" spans="1:6" ht="12.75">
      <c r="C60" s="205"/>
      <c r="D60" s="14" t="s">
        <v>5079</v>
      </c>
    </row>
    <row r="61" spans="1:6" ht="12.75">
      <c r="C61" s="205"/>
      <c r="D61" s="14" t="s">
        <v>5080</v>
      </c>
    </row>
    <row r="62" spans="1:6" ht="12.75">
      <c r="C62" s="205" t="s">
        <v>5022</v>
      </c>
      <c r="D62" s="88" t="s">
        <v>5081</v>
      </c>
    </row>
    <row r="63" spans="1:6" ht="12.75">
      <c r="C63" s="205"/>
      <c r="E63" s="14" t="s">
        <v>5082</v>
      </c>
    </row>
    <row r="64" spans="1:6" ht="12.75">
      <c r="C64" s="205"/>
      <c r="E64" s="14" t="s">
        <v>5083</v>
      </c>
    </row>
    <row r="65" spans="1:6" ht="12.75">
      <c r="C65" s="205"/>
      <c r="F65" s="14" t="s">
        <v>5084</v>
      </c>
    </row>
    <row r="66" spans="1:6" ht="12.75">
      <c r="C66" s="205"/>
      <c r="F66" s="14" t="s">
        <v>5085</v>
      </c>
    </row>
    <row r="67" spans="1:6" ht="12.75">
      <c r="C67" s="205"/>
      <c r="F67" s="14" t="s">
        <v>5086</v>
      </c>
    </row>
    <row r="68" spans="1:6" ht="12.75">
      <c r="C68" s="205"/>
      <c r="F68" s="655" t="s">
        <v>5087</v>
      </c>
    </row>
    <row r="69" spans="1:6" ht="12.75">
      <c r="C69" s="205"/>
      <c r="F69" s="14" t="s">
        <v>5088</v>
      </c>
    </row>
    <row r="70" spans="1:6" ht="12.75">
      <c r="C70" s="205"/>
      <c r="F70" s="655" t="s">
        <v>5089</v>
      </c>
    </row>
    <row r="71" spans="1:6" ht="12.75">
      <c r="C71" s="205"/>
      <c r="F71" s="14" t="s">
        <v>5090</v>
      </c>
    </row>
    <row r="72" spans="1:6" ht="12.75">
      <c r="C72" s="205"/>
      <c r="F72" s="14" t="s">
        <v>5091</v>
      </c>
    </row>
    <row r="73" spans="1:6" ht="12.75">
      <c r="C73" s="205"/>
      <c r="F73" s="14" t="s">
        <v>5092</v>
      </c>
    </row>
    <row r="74" spans="1:6" ht="12.75">
      <c r="C74" s="205" t="s">
        <v>691</v>
      </c>
      <c r="D74" s="14" t="s">
        <v>5093</v>
      </c>
    </row>
    <row r="76" spans="1:6" ht="12.75">
      <c r="A76" s="148" t="s">
        <v>5094</v>
      </c>
      <c r="B76" s="88" t="s">
        <v>5095</v>
      </c>
    </row>
    <row r="77" spans="1:6" ht="12.75">
      <c r="B77" s="205" t="s">
        <v>5034</v>
      </c>
      <c r="C77" s="88" t="s">
        <v>5096</v>
      </c>
    </row>
    <row r="78" spans="1:6" ht="12.75">
      <c r="B78" s="205" t="s">
        <v>5022</v>
      </c>
      <c r="C78" s="14" t="s">
        <v>5097</v>
      </c>
    </row>
    <row r="79" spans="1:6" ht="12.75">
      <c r="B79" s="205" t="s">
        <v>691</v>
      </c>
      <c r="C79" s="14" t="s">
        <v>5098</v>
      </c>
    </row>
    <row r="81" spans="1:4" ht="12.75">
      <c r="A81" s="148" t="s">
        <v>5099</v>
      </c>
      <c r="B81" s="88" t="s">
        <v>5100</v>
      </c>
    </row>
    <row r="82" spans="1:4" ht="12.75">
      <c r="B82" s="205" t="s">
        <v>5012</v>
      </c>
      <c r="C82" s="14" t="s">
        <v>5101</v>
      </c>
    </row>
    <row r="83" spans="1:4" ht="12.75">
      <c r="B83" s="205" t="s">
        <v>5016</v>
      </c>
      <c r="C83" s="14" t="s">
        <v>5102</v>
      </c>
    </row>
    <row r="84" spans="1:4" ht="12.75">
      <c r="B84" s="205" t="s">
        <v>5022</v>
      </c>
      <c r="C84" s="14" t="s">
        <v>5103</v>
      </c>
    </row>
    <row r="85" spans="1:4" ht="12.75">
      <c r="B85" s="220"/>
      <c r="D85" s="14" t="s">
        <v>5104</v>
      </c>
    </row>
    <row r="86" spans="1:4" ht="12.75">
      <c r="B86" s="205" t="s">
        <v>5016</v>
      </c>
      <c r="C86" s="14" t="s">
        <v>5105</v>
      </c>
    </row>
    <row r="87" spans="1:4" ht="12.75">
      <c r="B87" s="205" t="s">
        <v>5022</v>
      </c>
      <c r="C87" s="14" t="s">
        <v>5106</v>
      </c>
    </row>
    <row r="88" spans="1:4" ht="12.75">
      <c r="D88" s="14" t="s">
        <v>5107</v>
      </c>
    </row>
    <row r="89" spans="1:4" ht="12.75">
      <c r="B89" s="205" t="s">
        <v>691</v>
      </c>
      <c r="C89" s="14" t="s">
        <v>5108</v>
      </c>
      <c r="D89" s="14"/>
    </row>
    <row r="90" spans="1:4" ht="12.75">
      <c r="D90" s="88" t="s">
        <v>5109</v>
      </c>
    </row>
    <row r="91" spans="1:4" ht="12.75">
      <c r="D91" s="14"/>
    </row>
    <row r="92" spans="1:4" ht="12.75">
      <c r="A92" s="148" t="s">
        <v>5110</v>
      </c>
      <c r="B92" s="88" t="s">
        <v>5111</v>
      </c>
    </row>
    <row r="93" spans="1:4" ht="12.75">
      <c r="B93" s="205" t="s">
        <v>5012</v>
      </c>
      <c r="C93" s="14" t="s">
        <v>5112</v>
      </c>
    </row>
    <row r="94" spans="1:4" ht="12.75">
      <c r="B94" s="205" t="s">
        <v>5016</v>
      </c>
      <c r="C94" s="14" t="s">
        <v>5102</v>
      </c>
    </row>
    <row r="95" spans="1:4" ht="12.75">
      <c r="B95" s="205" t="s">
        <v>5022</v>
      </c>
      <c r="C95" s="14" t="s">
        <v>5113</v>
      </c>
    </row>
    <row r="96" spans="1:4" ht="12.75">
      <c r="D96" s="14" t="s">
        <v>5114</v>
      </c>
    </row>
    <row r="97" spans="1:4" ht="12.75">
      <c r="B97" s="205" t="s">
        <v>691</v>
      </c>
      <c r="C97" s="14" t="s">
        <v>5115</v>
      </c>
    </row>
    <row r="98" spans="1:4" ht="12.75">
      <c r="D98" s="88" t="s">
        <v>5116</v>
      </c>
    </row>
    <row r="100" spans="1:4" ht="12.75">
      <c r="A100" s="148" t="s">
        <v>5117</v>
      </c>
      <c r="B100" s="88" t="s">
        <v>5118</v>
      </c>
    </row>
    <row r="101" spans="1:4" ht="12.75">
      <c r="B101" s="205" t="s">
        <v>5012</v>
      </c>
      <c r="C101" s="14" t="s">
        <v>5119</v>
      </c>
    </row>
    <row r="102" spans="1:4" ht="12.75">
      <c r="C102" s="14" t="s">
        <v>5120</v>
      </c>
    </row>
    <row r="103" spans="1:4" ht="12.75">
      <c r="B103" s="205" t="s">
        <v>5016</v>
      </c>
    </row>
    <row r="104" spans="1:4" ht="12.75">
      <c r="B104" s="205" t="s">
        <v>5022</v>
      </c>
      <c r="C104" s="14" t="s">
        <v>5121</v>
      </c>
    </row>
    <row r="105" spans="1:4" ht="12.75">
      <c r="C105" s="14" t="s">
        <v>5122</v>
      </c>
    </row>
    <row r="106" spans="1:4" ht="12.75">
      <c r="C106" s="14"/>
      <c r="D106" s="14" t="s">
        <v>5123</v>
      </c>
    </row>
    <row r="107" spans="1:4" ht="12.75">
      <c r="C107" s="88" t="s">
        <v>5124</v>
      </c>
      <c r="D107" s="14"/>
    </row>
    <row r="108" spans="1:4" ht="12.75">
      <c r="C108" s="88"/>
      <c r="D108" s="14" t="s">
        <v>5125</v>
      </c>
    </row>
    <row r="109" spans="1:4" ht="12.75">
      <c r="C109" s="88"/>
      <c r="D109" s="14" t="s">
        <v>5126</v>
      </c>
    </row>
    <row r="110" spans="1:4" ht="12.75">
      <c r="B110" s="205" t="s">
        <v>5018</v>
      </c>
      <c r="C110" s="14" t="s">
        <v>5127</v>
      </c>
    </row>
    <row r="111" spans="1:4" ht="12.75">
      <c r="B111" s="205"/>
      <c r="D111" s="14" t="s">
        <v>5128</v>
      </c>
    </row>
    <row r="112" spans="1:4" ht="12.75">
      <c r="B112" s="205"/>
      <c r="C112" s="14"/>
      <c r="D112" s="14" t="s">
        <v>5129</v>
      </c>
    </row>
    <row r="113" spans="1:5" ht="12.75">
      <c r="C113" s="14" t="s">
        <v>5130</v>
      </c>
    </row>
    <row r="114" spans="1:5" ht="12.75">
      <c r="B114" s="205" t="s">
        <v>691</v>
      </c>
      <c r="C114" s="14" t="s">
        <v>5131</v>
      </c>
    </row>
    <row r="115" spans="1:5" ht="12.75">
      <c r="C115" s="14" t="s">
        <v>5132</v>
      </c>
    </row>
    <row r="116" spans="1:5" ht="12.75">
      <c r="C116" s="14" t="s">
        <v>5133</v>
      </c>
    </row>
    <row r="117" spans="1:5" ht="12.75">
      <c r="D117" s="14" t="s">
        <v>2937</v>
      </c>
    </row>
    <row r="118" spans="1:5" ht="12.75">
      <c r="D118" s="14" t="s">
        <v>5134</v>
      </c>
    </row>
    <row r="119" spans="1:5" ht="12.75">
      <c r="E119" s="14" t="s">
        <v>5135</v>
      </c>
    </row>
    <row r="120" spans="1:5" ht="12.75">
      <c r="E120" s="14" t="s">
        <v>5136</v>
      </c>
    </row>
    <row r="121" spans="1:5" ht="12.75">
      <c r="E121" s="14" t="s">
        <v>5137</v>
      </c>
    </row>
    <row r="122" spans="1:5" ht="12.75">
      <c r="E122" s="14" t="s">
        <v>5138</v>
      </c>
    </row>
    <row r="123" spans="1:5" ht="12.75">
      <c r="E123" s="14" t="s">
        <v>5139</v>
      </c>
    </row>
    <row r="125" spans="1:5" ht="12.75">
      <c r="A125" s="148" t="s">
        <v>5140</v>
      </c>
      <c r="B125" s="88" t="s">
        <v>5141</v>
      </c>
    </row>
    <row r="126" spans="1:5" ht="12.75">
      <c r="B126" s="205" t="s">
        <v>5016</v>
      </c>
      <c r="C126" s="14" t="s">
        <v>5142</v>
      </c>
    </row>
    <row r="127" spans="1:5" ht="12.75">
      <c r="C127" s="14" t="s">
        <v>5143</v>
      </c>
    </row>
    <row r="128" spans="1:5" ht="12.75">
      <c r="B128" s="205"/>
      <c r="C128" s="14" t="s">
        <v>5144</v>
      </c>
    </row>
    <row r="129" spans="1:5" ht="12.75">
      <c r="B129" s="205"/>
      <c r="C129" s="14" t="s">
        <v>5145</v>
      </c>
    </row>
    <row r="130" spans="1:5" ht="12.75">
      <c r="B130" s="205" t="s">
        <v>5022</v>
      </c>
      <c r="C130" s="14" t="s">
        <v>5146</v>
      </c>
    </row>
    <row r="131" spans="1:5" ht="12.75">
      <c r="C131" s="88" t="s">
        <v>5147</v>
      </c>
    </row>
    <row r="132" spans="1:5" ht="12.75">
      <c r="C132" s="14" t="s">
        <v>5148</v>
      </c>
    </row>
    <row r="133" spans="1:5" ht="12.75">
      <c r="D133" s="14" t="s">
        <v>5134</v>
      </c>
    </row>
    <row r="134" spans="1:5" ht="12.75">
      <c r="E134" s="14" t="s">
        <v>5135</v>
      </c>
    </row>
    <row r="135" spans="1:5" ht="12.75">
      <c r="E135" s="14" t="s">
        <v>5136</v>
      </c>
    </row>
    <row r="136" spans="1:5" ht="12.75">
      <c r="E136" s="14" t="s">
        <v>5137</v>
      </c>
    </row>
    <row r="137" spans="1:5" ht="12.75">
      <c r="B137" s="205"/>
      <c r="E137" s="14" t="s">
        <v>5138</v>
      </c>
    </row>
    <row r="138" spans="1:5" ht="12.75">
      <c r="B138" s="205"/>
      <c r="E138" s="14" t="s">
        <v>5139</v>
      </c>
    </row>
    <row r="139" spans="1:5" ht="12.75">
      <c r="B139" s="205"/>
    </row>
    <row r="140" spans="1:5" ht="12.75">
      <c r="A140" s="148" t="s">
        <v>5149</v>
      </c>
      <c r="B140" s="88" t="s">
        <v>5150</v>
      </c>
    </row>
    <row r="141" spans="1:5" ht="12.75">
      <c r="B141" s="205" t="s">
        <v>5012</v>
      </c>
      <c r="C141" s="14" t="s">
        <v>5151</v>
      </c>
    </row>
    <row r="142" spans="1:5" ht="12.75">
      <c r="B142" s="205" t="s">
        <v>5016</v>
      </c>
      <c r="C142" s="14" t="s">
        <v>5152</v>
      </c>
    </row>
    <row r="143" spans="1:5" ht="12.75">
      <c r="B143" s="205" t="s">
        <v>5018</v>
      </c>
      <c r="C143" s="14" t="s">
        <v>5153</v>
      </c>
    </row>
    <row r="144" spans="1:5" ht="12.75">
      <c r="B144" s="205" t="s">
        <v>691</v>
      </c>
      <c r="C144" s="14" t="s">
        <v>5154</v>
      </c>
    </row>
    <row r="145" spans="1:5" ht="12.75">
      <c r="C145" s="14" t="s">
        <v>2961</v>
      </c>
    </row>
    <row r="147" spans="1:5" ht="12.75">
      <c r="A147" s="148" t="s">
        <v>5155</v>
      </c>
      <c r="B147" s="88" t="s">
        <v>5156</v>
      </c>
    </row>
    <row r="148" spans="1:5" ht="12.75">
      <c r="B148" s="205" t="s">
        <v>5012</v>
      </c>
      <c r="C148" s="14" t="s">
        <v>5157</v>
      </c>
    </row>
    <row r="149" spans="1:5" ht="12.75">
      <c r="C149" s="14" t="s">
        <v>5158</v>
      </c>
    </row>
    <row r="150" spans="1:5" ht="12.75">
      <c r="D150" s="14" t="s">
        <v>5159</v>
      </c>
    </row>
    <row r="151" spans="1:5" ht="12.75">
      <c r="D151" s="14" t="s">
        <v>5160</v>
      </c>
    </row>
    <row r="152" spans="1:5" ht="12.75">
      <c r="D152" s="14" t="s">
        <v>5161</v>
      </c>
    </row>
    <row r="153" spans="1:5" ht="12.75">
      <c r="A153" s="148"/>
      <c r="D153" s="14" t="s">
        <v>5162</v>
      </c>
    </row>
    <row r="154" spans="1:5" ht="12.75">
      <c r="D154" s="14" t="s">
        <v>5163</v>
      </c>
    </row>
    <row r="155" spans="1:5" ht="12.75">
      <c r="E155" s="14" t="s">
        <v>5164</v>
      </c>
    </row>
    <row r="156" spans="1:5" ht="12.75">
      <c r="B156" s="205" t="s">
        <v>5016</v>
      </c>
      <c r="C156" s="14" t="s">
        <v>5165</v>
      </c>
    </row>
    <row r="157" spans="1:5" ht="12.75">
      <c r="B157" s="205" t="s">
        <v>5022</v>
      </c>
      <c r="D157" s="14" t="s">
        <v>5166</v>
      </c>
    </row>
    <row r="158" spans="1:5" ht="12.75">
      <c r="D158" s="14" t="s">
        <v>5167</v>
      </c>
    </row>
    <row r="159" spans="1:5" ht="12.75">
      <c r="B159" s="205" t="s">
        <v>5016</v>
      </c>
      <c r="C159" s="14" t="s">
        <v>5168</v>
      </c>
    </row>
    <row r="160" spans="1:5" ht="12.75">
      <c r="B160" s="205" t="s">
        <v>5022</v>
      </c>
      <c r="D160" s="14" t="s">
        <v>5169</v>
      </c>
    </row>
    <row r="161" spans="2:5" ht="12.75">
      <c r="C161" s="14" t="s">
        <v>5170</v>
      </c>
    </row>
    <row r="162" spans="2:5" ht="12.75">
      <c r="B162" s="205" t="s">
        <v>5022</v>
      </c>
      <c r="D162" s="88" t="s">
        <v>5171</v>
      </c>
    </row>
    <row r="163" spans="2:5" ht="12.75">
      <c r="B163" s="205" t="s">
        <v>5018</v>
      </c>
      <c r="C163" s="14" t="s">
        <v>5172</v>
      </c>
    </row>
    <row r="164" spans="2:5" ht="12.75">
      <c r="B164" s="29"/>
      <c r="C164" s="14" t="s">
        <v>5173</v>
      </c>
    </row>
    <row r="165" spans="2:5" ht="12.75">
      <c r="B165" s="205" t="s">
        <v>5022</v>
      </c>
      <c r="C165" s="14" t="s">
        <v>5174</v>
      </c>
    </row>
    <row r="166" spans="2:5" ht="12.75">
      <c r="D166" s="14" t="s">
        <v>5175</v>
      </c>
    </row>
    <row r="167" spans="2:5" ht="12.75">
      <c r="D167" s="14" t="s">
        <v>5176</v>
      </c>
    </row>
    <row r="168" spans="2:5" ht="12.75">
      <c r="D168" s="14" t="s">
        <v>5177</v>
      </c>
    </row>
    <row r="169" spans="2:5" ht="12.75">
      <c r="D169" s="14" t="s">
        <v>5178</v>
      </c>
    </row>
    <row r="170" spans="2:5" ht="12.75">
      <c r="E170" s="14" t="s">
        <v>5179</v>
      </c>
    </row>
    <row r="171" spans="2:5" ht="12.75">
      <c r="B171" s="205" t="s">
        <v>5016</v>
      </c>
      <c r="C171" s="88" t="s">
        <v>5180</v>
      </c>
    </row>
    <row r="172" spans="2:5" ht="12.75">
      <c r="B172" s="205" t="s">
        <v>5022</v>
      </c>
      <c r="C172" s="88" t="s">
        <v>5181</v>
      </c>
    </row>
    <row r="173" spans="2:5" ht="12.75">
      <c r="D173" s="14" t="s">
        <v>5175</v>
      </c>
    </row>
    <row r="174" spans="2:5" ht="12.75">
      <c r="D174" s="14" t="s">
        <v>5176</v>
      </c>
    </row>
    <row r="175" spans="2:5" ht="12.75">
      <c r="D175" s="14" t="s">
        <v>5182</v>
      </c>
    </row>
    <row r="176" spans="2:5" ht="12.75">
      <c r="D176" s="14" t="s">
        <v>5183</v>
      </c>
    </row>
    <row r="177" spans="1:5" ht="12.75">
      <c r="D177" s="14" t="s">
        <v>5184</v>
      </c>
    </row>
    <row r="178" spans="1:5" ht="12.75">
      <c r="B178" s="205" t="s">
        <v>5018</v>
      </c>
      <c r="E178" s="14" t="s">
        <v>5185</v>
      </c>
    </row>
    <row r="179" spans="1:5" ht="12.75">
      <c r="A179" s="14"/>
      <c r="E179" s="14" t="s">
        <v>5186</v>
      </c>
    </row>
    <row r="180" spans="1:5" ht="12.75">
      <c r="A180" s="14"/>
      <c r="E180" s="14" t="s">
        <v>5187</v>
      </c>
    </row>
    <row r="181" spans="1:5" ht="12.75">
      <c r="A181" s="14"/>
      <c r="B181" s="205" t="s">
        <v>5016</v>
      </c>
      <c r="C181" s="14" t="s">
        <v>5188</v>
      </c>
    </row>
    <row r="182" spans="1:5" ht="12.75">
      <c r="C182" s="14" t="s">
        <v>5189</v>
      </c>
    </row>
    <row r="183" spans="1:5" ht="12.75">
      <c r="D183" s="14" t="s">
        <v>5190</v>
      </c>
    </row>
    <row r="184" spans="1:5" ht="12.75">
      <c r="D184" s="14" t="s">
        <v>5191</v>
      </c>
    </row>
    <row r="185" spans="1:5" ht="12.75">
      <c r="D185" s="14" t="s">
        <v>5192</v>
      </c>
    </row>
    <row r="186" spans="1:5" ht="12.75">
      <c r="C186" s="655" t="s">
        <v>5193</v>
      </c>
    </row>
    <row r="187" spans="1:5" ht="12.75">
      <c r="D187" s="14" t="s">
        <v>5190</v>
      </c>
    </row>
    <row r="188" spans="1:5" ht="12.75">
      <c r="D188" s="14" t="s">
        <v>5194</v>
      </c>
    </row>
    <row r="189" spans="1:5" ht="12.75">
      <c r="D189" s="14" t="s">
        <v>5195</v>
      </c>
    </row>
    <row r="190" spans="1:5" ht="12.75">
      <c r="D190" s="14" t="s">
        <v>5196</v>
      </c>
    </row>
    <row r="191" spans="1:5" ht="12.75">
      <c r="D191" s="14" t="s">
        <v>5197</v>
      </c>
    </row>
    <row r="192" spans="1:5" ht="12.75">
      <c r="C192" s="14" t="s">
        <v>5198</v>
      </c>
    </row>
    <row r="193" spans="1:4" ht="12.75">
      <c r="D193" s="14" t="s">
        <v>5190</v>
      </c>
    </row>
    <row r="194" spans="1:4" ht="12.75">
      <c r="D194" s="14" t="s">
        <v>5194</v>
      </c>
    </row>
    <row r="195" spans="1:4" ht="12.75">
      <c r="D195" s="14" t="s">
        <v>5195</v>
      </c>
    </row>
    <row r="196" spans="1:4" ht="12.75">
      <c r="D196" s="14" t="s">
        <v>5199</v>
      </c>
    </row>
    <row r="197" spans="1:4" ht="12.75">
      <c r="D197" s="14" t="s">
        <v>5197</v>
      </c>
    </row>
    <row r="198" spans="1:4" ht="12.75">
      <c r="B198" s="205" t="s">
        <v>5018</v>
      </c>
      <c r="C198" s="655" t="s">
        <v>5200</v>
      </c>
    </row>
    <row r="199" spans="1:4" ht="12.75">
      <c r="D199" s="14" t="s">
        <v>5201</v>
      </c>
    </row>
    <row r="200" spans="1:4" ht="12.75">
      <c r="D200" s="14" t="s">
        <v>5202</v>
      </c>
    </row>
    <row r="201" spans="1:4" ht="12.75">
      <c r="B201" s="205" t="s">
        <v>538</v>
      </c>
      <c r="C201" s="14" t="s">
        <v>5203</v>
      </c>
    </row>
    <row r="202" spans="1:4" ht="12.75">
      <c r="C202" s="88" t="s">
        <v>5204</v>
      </c>
    </row>
    <row r="203" spans="1:4" ht="12.75">
      <c r="C203" s="88" t="s">
        <v>5167</v>
      </c>
    </row>
    <row r="205" spans="1:4" ht="12.75">
      <c r="A205" s="148" t="s">
        <v>5205</v>
      </c>
      <c r="B205" s="88" t="s">
        <v>5206</v>
      </c>
    </row>
    <row r="206" spans="1:4" ht="12.75">
      <c r="B206" s="205" t="s">
        <v>5012</v>
      </c>
      <c r="C206" s="14" t="s">
        <v>5207</v>
      </c>
    </row>
    <row r="207" spans="1:4" ht="12.75">
      <c r="C207" s="14" t="s">
        <v>5208</v>
      </c>
    </row>
    <row r="208" spans="1:4" ht="12.75">
      <c r="B208" s="205" t="s">
        <v>5022</v>
      </c>
      <c r="C208" s="14" t="s">
        <v>5209</v>
      </c>
    </row>
    <row r="209" spans="1:5" ht="12.75">
      <c r="D209" s="14" t="s">
        <v>5210</v>
      </c>
    </row>
    <row r="210" spans="1:5" ht="12.75">
      <c r="D210" s="14" t="s">
        <v>5211</v>
      </c>
    </row>
    <row r="211" spans="1:5" ht="12.75">
      <c r="C211" s="14" t="s">
        <v>5212</v>
      </c>
    </row>
    <row r="212" spans="1:5" ht="12.75">
      <c r="B212" s="205" t="s">
        <v>538</v>
      </c>
      <c r="C212" s="14" t="s">
        <v>5213</v>
      </c>
    </row>
    <row r="213" spans="1:5" ht="12.75">
      <c r="C213" s="14" t="s">
        <v>5214</v>
      </c>
    </row>
    <row r="214" spans="1:5" ht="12.75">
      <c r="C214" s="14" t="s">
        <v>5215</v>
      </c>
    </row>
    <row r="215" spans="1:5" ht="12.75">
      <c r="C215" s="14" t="s">
        <v>5216</v>
      </c>
    </row>
    <row r="216" spans="1:5" ht="12.75">
      <c r="C216" s="14" t="s">
        <v>5217</v>
      </c>
    </row>
    <row r="217" spans="1:5" ht="12.75">
      <c r="C217" s="655" t="s">
        <v>5218</v>
      </c>
    </row>
    <row r="219" spans="1:5" ht="12.75">
      <c r="A219" s="148" t="s">
        <v>5219</v>
      </c>
      <c r="B219" s="88" t="s">
        <v>5220</v>
      </c>
    </row>
    <row r="220" spans="1:5" ht="12.75">
      <c r="C220" s="14" t="s">
        <v>5221</v>
      </c>
    </row>
    <row r="221" spans="1:5" ht="12.75">
      <c r="B221" s="205" t="s">
        <v>5022</v>
      </c>
      <c r="D221" s="14" t="s">
        <v>5222</v>
      </c>
    </row>
    <row r="222" spans="1:5" ht="12.75">
      <c r="B222" s="205" t="s">
        <v>5016</v>
      </c>
      <c r="C222" s="14" t="s">
        <v>5223</v>
      </c>
    </row>
    <row r="223" spans="1:5" ht="12.75">
      <c r="B223" s="205" t="s">
        <v>5022</v>
      </c>
      <c r="D223" s="14" t="s">
        <v>5224</v>
      </c>
    </row>
    <row r="224" spans="1:5" ht="12.75">
      <c r="B224" s="205" t="s">
        <v>5018</v>
      </c>
      <c r="E224" s="14" t="s">
        <v>5225</v>
      </c>
    </row>
    <row r="225" spans="1:4" ht="12.75">
      <c r="B225" s="205" t="s">
        <v>5016</v>
      </c>
      <c r="C225" s="14" t="s">
        <v>5226</v>
      </c>
    </row>
    <row r="226" spans="1:4" ht="12.75">
      <c r="B226" s="205" t="s">
        <v>538</v>
      </c>
      <c r="C226" s="14" t="s">
        <v>5227</v>
      </c>
    </row>
    <row r="228" spans="1:4" ht="12.75">
      <c r="A228" s="148" t="s">
        <v>5228</v>
      </c>
      <c r="B228" s="88" t="s">
        <v>5229</v>
      </c>
    </row>
    <row r="229" spans="1:4" ht="12.75">
      <c r="B229" s="205" t="s">
        <v>5012</v>
      </c>
      <c r="C229" s="14" t="s">
        <v>5230</v>
      </c>
    </row>
    <row r="230" spans="1:4" ht="12.75">
      <c r="D230" s="14" t="s">
        <v>5231</v>
      </c>
    </row>
    <row r="231" spans="1:4" ht="12.75">
      <c r="B231" s="205" t="s">
        <v>538</v>
      </c>
      <c r="C231" s="14" t="s">
        <v>5227</v>
      </c>
    </row>
    <row r="233" spans="1:4" ht="12.75">
      <c r="A233" s="148" t="s">
        <v>5232</v>
      </c>
      <c r="B233" s="88" t="s">
        <v>5233</v>
      </c>
    </row>
    <row r="234" spans="1:4" ht="12.75">
      <c r="B234" s="205" t="s">
        <v>5012</v>
      </c>
      <c r="C234" s="14" t="s">
        <v>5234</v>
      </c>
    </row>
    <row r="235" spans="1:4" ht="12.75">
      <c r="C235" s="14" t="s">
        <v>5235</v>
      </c>
    </row>
    <row r="236" spans="1:4" ht="12.75">
      <c r="C236" s="14" t="s">
        <v>5236</v>
      </c>
    </row>
    <row r="237" spans="1:4" ht="12.75">
      <c r="B237" s="205" t="s">
        <v>5022</v>
      </c>
      <c r="C237" s="14" t="s">
        <v>5237</v>
      </c>
    </row>
    <row r="239" spans="1:4" ht="12.75">
      <c r="A239" s="148" t="s">
        <v>5238</v>
      </c>
      <c r="B239" s="88" t="s">
        <v>5239</v>
      </c>
    </row>
    <row r="240" spans="1:4" ht="12.75">
      <c r="B240" s="205" t="s">
        <v>5012</v>
      </c>
      <c r="C240" s="14" t="s">
        <v>5240</v>
      </c>
    </row>
    <row r="241" spans="1:4" ht="12.75">
      <c r="B241" s="205" t="s">
        <v>5022</v>
      </c>
      <c r="C241" s="14" t="s">
        <v>5241</v>
      </c>
    </row>
    <row r="243" spans="1:4" ht="12.75">
      <c r="A243" s="148" t="s">
        <v>5242</v>
      </c>
      <c r="B243" s="88" t="s">
        <v>5243</v>
      </c>
    </row>
    <row r="244" spans="1:4" ht="12.75">
      <c r="B244" s="205" t="s">
        <v>5012</v>
      </c>
      <c r="C244" s="14" t="s">
        <v>5244</v>
      </c>
    </row>
    <row r="245" spans="1:4" ht="12.75">
      <c r="C245" s="14" t="s">
        <v>5245</v>
      </c>
    </row>
    <row r="246" spans="1:4" ht="12.75">
      <c r="B246" s="205" t="s">
        <v>5016</v>
      </c>
      <c r="C246" s="14" t="s">
        <v>5246</v>
      </c>
    </row>
    <row r="247" spans="1:4" ht="12.75">
      <c r="B247" s="205" t="s">
        <v>5022</v>
      </c>
      <c r="D247" s="655" t="s">
        <v>5247</v>
      </c>
    </row>
    <row r="248" spans="1:4" ht="12.75">
      <c r="B248" s="205" t="s">
        <v>5016</v>
      </c>
      <c r="C248" s="14" t="s">
        <v>5248</v>
      </c>
    </row>
    <row r="249" spans="1:4" ht="12.75">
      <c r="D249" s="14" t="s">
        <v>5249</v>
      </c>
    </row>
    <row r="250" spans="1:4" ht="12.75">
      <c r="D250" s="14" t="s">
        <v>5250</v>
      </c>
    </row>
    <row r="251" spans="1:4" ht="12.75">
      <c r="D251" s="14" t="s">
        <v>5251</v>
      </c>
    </row>
    <row r="252" spans="1:4" ht="12.75">
      <c r="D252" s="14" t="s">
        <v>5252</v>
      </c>
    </row>
    <row r="253" spans="1:4" ht="12.75">
      <c r="B253" s="205" t="s">
        <v>5022</v>
      </c>
      <c r="D253" s="14" t="s">
        <v>5253</v>
      </c>
    </row>
    <row r="254" spans="1:4" ht="12.75">
      <c r="C254" s="14" t="s">
        <v>5254</v>
      </c>
    </row>
    <row r="255" spans="1:4" ht="12.75">
      <c r="D255" s="14" t="s">
        <v>5255</v>
      </c>
    </row>
    <row r="256" spans="1:4" ht="12.75">
      <c r="D256" s="14" t="s">
        <v>5250</v>
      </c>
    </row>
    <row r="257" spans="1:4" ht="12.75">
      <c r="B257" s="205" t="s">
        <v>5022</v>
      </c>
      <c r="D257" s="88" t="s">
        <v>4455</v>
      </c>
    </row>
    <row r="259" spans="1:4" ht="12.75">
      <c r="A259" s="148" t="s">
        <v>5256</v>
      </c>
      <c r="B259" s="88" t="s">
        <v>5257</v>
      </c>
    </row>
    <row r="260" spans="1:4" ht="12.75">
      <c r="C260" s="14" t="s">
        <v>5258</v>
      </c>
    </row>
    <row r="261" spans="1:4" ht="12.75">
      <c r="C261" s="88" t="s">
        <v>5259</v>
      </c>
    </row>
    <row r="262" spans="1:4" ht="12.75">
      <c r="C262" s="14" t="s">
        <v>5260</v>
      </c>
    </row>
    <row r="263" spans="1:4" ht="12.75">
      <c r="C263" s="14" t="s">
        <v>5261</v>
      </c>
    </row>
    <row r="264" spans="1:4" ht="12.75">
      <c r="C264" s="14" t="s">
        <v>5262</v>
      </c>
    </row>
    <row r="265" spans="1:4" ht="12.75">
      <c r="C265" s="14" t="s">
        <v>5263</v>
      </c>
    </row>
    <row r="266" spans="1:4" ht="12.75">
      <c r="C266" s="14" t="s">
        <v>5264</v>
      </c>
    </row>
    <row r="268" spans="1:4" ht="12.75">
      <c r="A268" s="148" t="s">
        <v>5265</v>
      </c>
      <c r="B268" s="88" t="s">
        <v>5266</v>
      </c>
    </row>
    <row r="269" spans="1:4" ht="12.75">
      <c r="B269" s="205" t="s">
        <v>5012</v>
      </c>
      <c r="C269" s="14" t="s">
        <v>5267</v>
      </c>
    </row>
    <row r="270" spans="1:4" ht="12.75">
      <c r="B270" s="205" t="s">
        <v>5016</v>
      </c>
      <c r="C270" s="14" t="s">
        <v>5268</v>
      </c>
    </row>
    <row r="271" spans="1:4" ht="12.75">
      <c r="B271" s="205" t="s">
        <v>5018</v>
      </c>
      <c r="D271" s="14" t="s">
        <v>5269</v>
      </c>
    </row>
    <row r="272" spans="1:4" ht="12.75">
      <c r="B272" s="205" t="s">
        <v>5016</v>
      </c>
      <c r="C272" s="14" t="s">
        <v>5270</v>
      </c>
    </row>
    <row r="273" spans="1:25" ht="12.75">
      <c r="B273" s="205" t="s">
        <v>5018</v>
      </c>
      <c r="D273" s="14" t="s">
        <v>5271</v>
      </c>
    </row>
    <row r="274" spans="1:25" ht="12.75">
      <c r="B274" s="205" t="s">
        <v>5022</v>
      </c>
      <c r="C274" s="14" t="s">
        <v>5272</v>
      </c>
    </row>
    <row r="275" spans="1:25" ht="12.75">
      <c r="D275" s="14" t="s">
        <v>5273</v>
      </c>
    </row>
    <row r="276" spans="1:25" ht="12.75">
      <c r="D276" s="14" t="s">
        <v>5274</v>
      </c>
    </row>
    <row r="278" spans="1:25" ht="12.75">
      <c r="A278" s="148" t="s">
        <v>5275</v>
      </c>
      <c r="B278" s="88" t="s">
        <v>5276</v>
      </c>
    </row>
    <row r="279" spans="1:25" ht="12.75">
      <c r="B279" s="205" t="s">
        <v>5012</v>
      </c>
      <c r="C279" s="14" t="s">
        <v>5277</v>
      </c>
    </row>
    <row r="280" spans="1:25" ht="12.75">
      <c r="C280" s="14" t="s">
        <v>5278</v>
      </c>
    </row>
    <row r="281" spans="1:25" ht="12.75">
      <c r="C281" s="14" t="s">
        <v>5279</v>
      </c>
    </row>
    <row r="282" spans="1:25" ht="12.75">
      <c r="D282" s="305" t="s">
        <v>5280</v>
      </c>
      <c r="E282" s="298" t="s">
        <v>5281</v>
      </c>
      <c r="F282" s="298"/>
      <c r="G282" s="298"/>
      <c r="H282" s="298"/>
      <c r="I282" s="298"/>
      <c r="J282" s="298"/>
      <c r="K282" s="298"/>
      <c r="L282" s="298"/>
      <c r="M282" s="298"/>
      <c r="N282" s="298"/>
      <c r="O282" s="298"/>
      <c r="P282" s="298"/>
      <c r="Q282" s="298"/>
      <c r="R282" s="298"/>
      <c r="S282" s="298"/>
      <c r="T282" s="298"/>
      <c r="U282" s="298"/>
      <c r="V282" s="298"/>
      <c r="W282" s="298"/>
      <c r="X282" s="298"/>
      <c r="Y282" s="299"/>
    </row>
    <row r="283" spans="1:25" ht="12.75">
      <c r="D283" s="274" t="s">
        <v>5282</v>
      </c>
      <c r="E283" s="88" t="s">
        <v>5283</v>
      </c>
      <c r="Y283" s="175"/>
    </row>
    <row r="284" spans="1:25" ht="12.75">
      <c r="A284" s="14"/>
      <c r="D284" s="274" t="s">
        <v>5284</v>
      </c>
      <c r="E284" s="88" t="s">
        <v>5285</v>
      </c>
      <c r="Y284" s="175"/>
    </row>
    <row r="285" spans="1:25" ht="12.75">
      <c r="A285" s="14"/>
      <c r="D285" s="274" t="s">
        <v>5286</v>
      </c>
      <c r="E285" s="88" t="s">
        <v>371</v>
      </c>
      <c r="Y285" s="175"/>
    </row>
    <row r="286" spans="1:25" ht="12.75">
      <c r="A286" s="14"/>
      <c r="D286" s="274" t="s">
        <v>5287</v>
      </c>
      <c r="E286" s="88" t="s">
        <v>5288</v>
      </c>
      <c r="Y286" s="175"/>
    </row>
    <row r="287" spans="1:25" ht="12.75">
      <c r="A287" s="14"/>
      <c r="D287" s="274" t="s">
        <v>1985</v>
      </c>
      <c r="E287" s="14" t="s">
        <v>354</v>
      </c>
      <c r="Y287" s="175"/>
    </row>
    <row r="288" spans="1:25" ht="12.75">
      <c r="A288" s="14"/>
      <c r="D288" s="274" t="s">
        <v>1718</v>
      </c>
      <c r="E288" s="14" t="s">
        <v>5289</v>
      </c>
      <c r="Y288" s="175"/>
    </row>
    <row r="289" spans="1:25" ht="12.75">
      <c r="A289" s="14"/>
      <c r="D289" s="274" t="s">
        <v>5290</v>
      </c>
      <c r="E289" s="88" t="s">
        <v>5291</v>
      </c>
      <c r="Y289" s="175"/>
    </row>
    <row r="290" spans="1:25" ht="12.75">
      <c r="A290" s="14"/>
      <c r="D290" s="274" t="s">
        <v>5292</v>
      </c>
      <c r="E290" s="14" t="s">
        <v>140</v>
      </c>
      <c r="Y290" s="175"/>
    </row>
    <row r="291" spans="1:25" ht="12.75">
      <c r="A291" s="14"/>
      <c r="D291" s="274" t="s">
        <v>2555</v>
      </c>
      <c r="E291" s="88" t="s">
        <v>5293</v>
      </c>
      <c r="Y291" s="175"/>
    </row>
    <row r="292" spans="1:25" ht="12.75">
      <c r="A292" s="14"/>
      <c r="D292" s="274" t="s">
        <v>1752</v>
      </c>
      <c r="E292" s="88" t="s">
        <v>5294</v>
      </c>
      <c r="Y292" s="175"/>
    </row>
    <row r="293" spans="1:25" ht="12.75">
      <c r="A293" s="14"/>
      <c r="D293" s="274" t="s">
        <v>5295</v>
      </c>
      <c r="E293" s="14" t="s">
        <v>5296</v>
      </c>
      <c r="Y293" s="175"/>
    </row>
    <row r="294" spans="1:25" ht="12.75">
      <c r="A294" s="14"/>
      <c r="D294" s="274" t="s">
        <v>5297</v>
      </c>
      <c r="E294" s="14" t="s">
        <v>5298</v>
      </c>
      <c r="Y294" s="175"/>
    </row>
    <row r="295" spans="1:25" ht="12.75">
      <c r="A295" s="14"/>
      <c r="D295" s="274" t="s">
        <v>1756</v>
      </c>
      <c r="E295" s="14" t="s">
        <v>5299</v>
      </c>
      <c r="Y295" s="175"/>
    </row>
    <row r="296" spans="1:25" ht="12.75">
      <c r="A296" s="14"/>
      <c r="D296" s="274" t="s">
        <v>5300</v>
      </c>
      <c r="E296" s="14" t="s">
        <v>5301</v>
      </c>
      <c r="Y296" s="175"/>
    </row>
    <row r="297" spans="1:25" ht="12.75">
      <c r="A297" s="14"/>
      <c r="D297" s="274" t="s">
        <v>5302</v>
      </c>
      <c r="E297" s="88" t="s">
        <v>5303</v>
      </c>
      <c r="Y297" s="175"/>
    </row>
    <row r="298" spans="1:25" ht="12.75">
      <c r="A298" s="14"/>
      <c r="D298" s="274" t="s">
        <v>5304</v>
      </c>
      <c r="E298" s="14" t="s">
        <v>5305</v>
      </c>
      <c r="Y298" s="175"/>
    </row>
    <row r="299" spans="1:25" ht="12.75">
      <c r="A299" s="14"/>
      <c r="D299" s="274" t="s">
        <v>1758</v>
      </c>
      <c r="E299" s="14" t="s">
        <v>5306</v>
      </c>
      <c r="Y299" s="175"/>
    </row>
    <row r="300" spans="1:25" ht="12.75">
      <c r="A300" s="14"/>
      <c r="D300" s="424" t="s">
        <v>2580</v>
      </c>
      <c r="E300" s="507" t="s">
        <v>5307</v>
      </c>
      <c r="F300" s="135"/>
      <c r="G300" s="135"/>
      <c r="H300" s="135"/>
      <c r="I300" s="135"/>
      <c r="J300" s="135"/>
      <c r="K300" s="135"/>
      <c r="L300" s="135"/>
      <c r="M300" s="135"/>
      <c r="N300" s="135"/>
      <c r="O300" s="135"/>
      <c r="P300" s="135"/>
      <c r="Q300" s="135"/>
      <c r="R300" s="135"/>
      <c r="S300" s="135"/>
      <c r="T300" s="135"/>
      <c r="U300" s="135"/>
      <c r="V300" s="135"/>
      <c r="W300" s="135"/>
      <c r="X300" s="135"/>
      <c r="Y300" s="300"/>
    </row>
    <row r="301" spans="1:25" ht="12.75">
      <c r="A301" s="14"/>
      <c r="B301" s="205" t="s">
        <v>5018</v>
      </c>
      <c r="C301" s="14" t="s">
        <v>5308</v>
      </c>
    </row>
    <row r="302" spans="1:25" ht="12.75">
      <c r="A302" s="14"/>
      <c r="D302" t="s">
        <v>5309</v>
      </c>
    </row>
    <row r="303" spans="1:25" ht="12.75">
      <c r="A303" s="14"/>
      <c r="C303" s="14" t="s">
        <v>5310</v>
      </c>
      <c r="D303" s="14"/>
    </row>
    <row r="304" spans="1:25" ht="12.75">
      <c r="D304" s="515" t="s">
        <v>5311</v>
      </c>
    </row>
    <row r="305" spans="3:5" ht="12.75">
      <c r="C305" s="14" t="s">
        <v>5312</v>
      </c>
      <c r="D305" s="14"/>
    </row>
    <row r="306" spans="3:5" ht="12.75">
      <c r="C306" s="14" t="s">
        <v>5313</v>
      </c>
    </row>
    <row r="307" spans="3:5" ht="12.75">
      <c r="D307" s="14" t="s">
        <v>5314</v>
      </c>
    </row>
    <row r="308" spans="3:5" ht="12.75">
      <c r="D308" s="14" t="s">
        <v>5315</v>
      </c>
    </row>
    <row r="309" spans="3:5" ht="12.75">
      <c r="C309" s="14" t="s">
        <v>5316</v>
      </c>
    </row>
    <row r="310" spans="3:5" ht="12.75">
      <c r="C310" s="14" t="s">
        <v>5317</v>
      </c>
    </row>
    <row r="311" spans="3:5" ht="12.75">
      <c r="D311" s="88" t="s">
        <v>5318</v>
      </c>
    </row>
    <row r="312" spans="3:5" ht="12.75">
      <c r="E312" s="14" t="s">
        <v>5319</v>
      </c>
    </row>
    <row r="313" spans="3:5" ht="12.75">
      <c r="E313" s="14" t="s">
        <v>5320</v>
      </c>
    </row>
    <row r="314" spans="3:5" ht="12.75">
      <c r="E314" s="14" t="s">
        <v>5321</v>
      </c>
    </row>
    <row r="315" spans="3:5" ht="12.75">
      <c r="E315" s="14" t="s">
        <v>5322</v>
      </c>
    </row>
    <row r="316" spans="3:5" ht="12.75">
      <c r="E316" s="14" t="s">
        <v>5323</v>
      </c>
    </row>
    <row r="317" spans="3:5" ht="12.75">
      <c r="E317" s="14" t="s">
        <v>5324</v>
      </c>
    </row>
    <row r="318" spans="3:5" ht="12.75">
      <c r="E318" s="14" t="s">
        <v>5325</v>
      </c>
    </row>
    <row r="319" spans="3:5" ht="12.75">
      <c r="E319" s="14" t="s">
        <v>5326</v>
      </c>
    </row>
    <row r="320" spans="3:5" ht="12.75">
      <c r="D320" s="14" t="s">
        <v>5327</v>
      </c>
    </row>
    <row r="321" spans="1:17" ht="12.75">
      <c r="B321" s="205" t="s">
        <v>5016</v>
      </c>
      <c r="D321" s="14" t="s">
        <v>5328</v>
      </c>
    </row>
    <row r="322" spans="1:17" ht="12.75">
      <c r="B322" s="205" t="s">
        <v>5022</v>
      </c>
      <c r="C322" s="14" t="s">
        <v>5329</v>
      </c>
    </row>
    <row r="323" spans="1:17" ht="12.75">
      <c r="D323" s="14" t="s">
        <v>5330</v>
      </c>
    </row>
    <row r="324" spans="1:17" ht="12.75">
      <c r="D324" s="14" t="s">
        <v>5331</v>
      </c>
    </row>
    <row r="326" spans="1:17" ht="12.75">
      <c r="A326" s="148" t="s">
        <v>5332</v>
      </c>
      <c r="B326" s="88" t="s">
        <v>5333</v>
      </c>
    </row>
    <row r="327" spans="1:17" ht="12.75">
      <c r="B327" s="205" t="s">
        <v>5012</v>
      </c>
      <c r="C327" s="14" t="s">
        <v>5334</v>
      </c>
    </row>
    <row r="328" spans="1:17" ht="12.75">
      <c r="B328" s="205"/>
      <c r="C328" s="14"/>
      <c r="D328" s="14" t="s">
        <v>5335</v>
      </c>
    </row>
    <row r="329" spans="1:17" ht="12.75">
      <c r="C329" s="14" t="s">
        <v>5336</v>
      </c>
    </row>
    <row r="330" spans="1:17" ht="12.75">
      <c r="C330" s="14" t="s">
        <v>5337</v>
      </c>
      <c r="D330" s="135"/>
      <c r="E330" s="135"/>
      <c r="F330" s="135"/>
      <c r="G330" s="135"/>
      <c r="H330" s="135"/>
    </row>
    <row r="331" spans="1:17" ht="12.75">
      <c r="D331" s="424" t="s">
        <v>5280</v>
      </c>
      <c r="E331" s="300" t="s">
        <v>5338</v>
      </c>
      <c r="F331" s="135" t="s">
        <v>5339</v>
      </c>
      <c r="I331" s="162"/>
      <c r="J331" s="162"/>
      <c r="K331" s="162"/>
      <c r="L331" s="162"/>
      <c r="M331" s="162"/>
      <c r="N331" s="162"/>
      <c r="O331" s="162"/>
      <c r="P331" s="162"/>
      <c r="Q331" s="612"/>
    </row>
    <row r="332" spans="1:17" ht="12.75">
      <c r="D332" s="274" t="s">
        <v>5284</v>
      </c>
      <c r="E332" s="613" t="s">
        <v>5340</v>
      </c>
      <c r="F332" s="162"/>
      <c r="G332" s="162"/>
      <c r="H332" s="162"/>
      <c r="I332" s="162"/>
      <c r="J332" s="162"/>
      <c r="K332" s="162"/>
      <c r="L332" s="162"/>
      <c r="M332" s="162"/>
      <c r="N332" s="162"/>
      <c r="O332" s="162"/>
      <c r="P332" s="162"/>
      <c r="Q332" s="612"/>
    </row>
    <row r="333" spans="1:17" ht="12.75">
      <c r="D333" s="274" t="s">
        <v>5287</v>
      </c>
      <c r="E333" s="613" t="s">
        <v>5341</v>
      </c>
      <c r="F333" s="14" t="s">
        <v>5342</v>
      </c>
      <c r="Q333" s="175"/>
    </row>
    <row r="334" spans="1:17" ht="12.75">
      <c r="D334" s="274" t="s">
        <v>1718</v>
      </c>
      <c r="E334" s="175" t="s">
        <v>5343</v>
      </c>
      <c r="F334" s="14" t="s">
        <v>5344</v>
      </c>
      <c r="Q334" s="175"/>
    </row>
    <row r="335" spans="1:17" ht="12.75">
      <c r="D335" s="274" t="s">
        <v>5290</v>
      </c>
      <c r="E335" s="613" t="s">
        <v>5345</v>
      </c>
      <c r="F335" s="14" t="s">
        <v>5346</v>
      </c>
      <c r="Q335" s="175"/>
    </row>
    <row r="336" spans="1:17" ht="12.75">
      <c r="A336" s="14"/>
      <c r="D336" s="274" t="s">
        <v>2555</v>
      </c>
      <c r="E336" s="175" t="s">
        <v>5347</v>
      </c>
      <c r="F336" s="88" t="s">
        <v>5348</v>
      </c>
      <c r="Q336" s="175"/>
    </row>
    <row r="337" spans="3:17" ht="12.75">
      <c r="D337" s="274" t="s">
        <v>1752</v>
      </c>
      <c r="E337" s="613" t="s">
        <v>5349</v>
      </c>
      <c r="F337" s="14" t="s">
        <v>5350</v>
      </c>
      <c r="Q337" s="175"/>
    </row>
    <row r="338" spans="3:17" ht="12.75">
      <c r="D338" s="274" t="s">
        <v>5295</v>
      </c>
      <c r="E338" s="175" t="s">
        <v>5351</v>
      </c>
      <c r="F338" s="14"/>
      <c r="Q338" s="175"/>
    </row>
    <row r="339" spans="3:17" ht="12.75">
      <c r="D339" s="274" t="s">
        <v>1756</v>
      </c>
      <c r="E339" s="613" t="s">
        <v>5352</v>
      </c>
      <c r="Q339" s="175"/>
    </row>
    <row r="340" spans="3:17" ht="12.75">
      <c r="D340" s="274" t="s">
        <v>5302</v>
      </c>
      <c r="E340" s="613" t="s">
        <v>5353</v>
      </c>
      <c r="F340" s="88"/>
      <c r="Q340" s="175"/>
    </row>
    <row r="341" spans="3:17" ht="12.75">
      <c r="D341" s="274" t="s">
        <v>5304</v>
      </c>
      <c r="E341" s="613" t="s">
        <v>5354</v>
      </c>
      <c r="F341" s="88" t="s">
        <v>5355</v>
      </c>
      <c r="Q341" s="175"/>
    </row>
    <row r="342" spans="3:17" ht="12.75">
      <c r="D342" s="274" t="s">
        <v>1758</v>
      </c>
      <c r="E342" s="613" t="s">
        <v>5356</v>
      </c>
      <c r="Q342" s="175"/>
    </row>
    <row r="343" spans="3:17" ht="12.75">
      <c r="D343" s="424" t="s">
        <v>5357</v>
      </c>
      <c r="E343" s="614" t="s">
        <v>5358</v>
      </c>
      <c r="F343" s="135"/>
      <c r="G343" s="135"/>
      <c r="H343" s="135"/>
      <c r="I343" s="135"/>
      <c r="J343" s="135"/>
      <c r="K343" s="135"/>
      <c r="L343" s="135"/>
      <c r="M343" s="135"/>
      <c r="N343" s="135"/>
      <c r="O343" s="135"/>
      <c r="P343" s="135"/>
      <c r="Q343" s="300"/>
    </row>
    <row r="344" spans="3:17" ht="12.75">
      <c r="C344" s="14" t="s">
        <v>5359</v>
      </c>
    </row>
    <row r="345" spans="3:17" ht="12.75">
      <c r="D345" s="305" t="s">
        <v>5280</v>
      </c>
      <c r="E345" s="298" t="s">
        <v>5338</v>
      </c>
      <c r="F345" s="298"/>
      <c r="G345" s="298"/>
      <c r="H345" s="298"/>
      <c r="I345" s="299"/>
    </row>
    <row r="346" spans="3:17" ht="12.75">
      <c r="D346" s="274" t="s">
        <v>5282</v>
      </c>
      <c r="E346" s="88" t="s">
        <v>5283</v>
      </c>
      <c r="I346" s="175"/>
    </row>
    <row r="347" spans="3:17" ht="12.75">
      <c r="D347" s="274" t="s">
        <v>5286</v>
      </c>
      <c r="E347" s="88" t="s">
        <v>371</v>
      </c>
      <c r="I347" s="175"/>
    </row>
    <row r="348" spans="3:17" ht="12.75">
      <c r="D348" s="274" t="s">
        <v>1985</v>
      </c>
      <c r="E348" s="88" t="s">
        <v>354</v>
      </c>
      <c r="I348" s="175"/>
    </row>
    <row r="349" spans="3:17" ht="12.75">
      <c r="D349" s="274" t="s">
        <v>5292</v>
      </c>
      <c r="E349" s="88" t="s">
        <v>140</v>
      </c>
      <c r="I349" s="175"/>
    </row>
    <row r="350" spans="3:17" ht="12.75">
      <c r="D350" s="274" t="s">
        <v>5297</v>
      </c>
      <c r="E350" s="88" t="s">
        <v>493</v>
      </c>
      <c r="I350" s="175"/>
    </row>
    <row r="351" spans="3:17" ht="12.75">
      <c r="D351" s="424" t="s">
        <v>2580</v>
      </c>
      <c r="E351" s="507" t="s">
        <v>5360</v>
      </c>
      <c r="F351" s="135"/>
      <c r="G351" s="135"/>
      <c r="H351" s="135"/>
      <c r="I351" s="300"/>
    </row>
    <row r="352" spans="3:17" ht="12.75">
      <c r="C352" s="14" t="s">
        <v>5361</v>
      </c>
    </row>
    <row r="353" spans="2:6" ht="12.75">
      <c r="D353" s="14" t="s">
        <v>5362</v>
      </c>
    </row>
    <row r="354" spans="2:6" ht="12.75">
      <c r="D354" s="14" t="s">
        <v>5363</v>
      </c>
    </row>
    <row r="355" spans="2:6" ht="12.75">
      <c r="D355" s="14" t="s">
        <v>5364</v>
      </c>
    </row>
    <row r="356" spans="2:6" ht="12.75">
      <c r="D356" s="88" t="s">
        <v>5365</v>
      </c>
    </row>
    <row r="357" spans="2:6" ht="12.75">
      <c r="E357" s="88" t="s">
        <v>5366</v>
      </c>
    </row>
    <row r="358" spans="2:6" ht="12.75">
      <c r="C358" s="14"/>
      <c r="F358" s="14" t="s">
        <v>5367</v>
      </c>
    </row>
    <row r="359" spans="2:6" ht="12.75">
      <c r="F359" s="14" t="s">
        <v>5368</v>
      </c>
    </row>
    <row r="360" spans="2:6" ht="12.75">
      <c r="F360" s="14" t="s">
        <v>5369</v>
      </c>
    </row>
    <row r="361" spans="2:6" ht="12.75">
      <c r="F361" s="14" t="s">
        <v>5370</v>
      </c>
    </row>
    <row r="362" spans="2:6" ht="12.75">
      <c r="F362" s="14" t="s">
        <v>5371</v>
      </c>
    </row>
    <row r="363" spans="2:6" ht="12.75">
      <c r="F363" s="14" t="s">
        <v>5372</v>
      </c>
    </row>
    <row r="364" spans="2:6" ht="12.75">
      <c r="E364" s="14" t="s">
        <v>5373</v>
      </c>
    </row>
    <row r="365" spans="2:6" ht="12.75">
      <c r="F365" s="14" t="s">
        <v>5374</v>
      </c>
    </row>
    <row r="366" spans="2:6" ht="12.75">
      <c r="F366" s="14" t="s">
        <v>5375</v>
      </c>
    </row>
    <row r="367" spans="2:6" ht="12.75">
      <c r="B367" s="205" t="s">
        <v>5012</v>
      </c>
      <c r="C367" s="14" t="s">
        <v>5376</v>
      </c>
    </row>
    <row r="368" spans="2:6" ht="12.75">
      <c r="D368" s="14" t="s">
        <v>5377</v>
      </c>
    </row>
    <row r="369" spans="1:4" ht="12.75">
      <c r="D369" s="14" t="s">
        <v>5378</v>
      </c>
    </row>
    <row r="370" spans="1:4" ht="12.75">
      <c r="C370" s="14" t="s">
        <v>5379</v>
      </c>
    </row>
    <row r="371" spans="1:4" ht="12.75">
      <c r="B371" s="205" t="s">
        <v>5022</v>
      </c>
      <c r="C371" s="14" t="s">
        <v>5380</v>
      </c>
    </row>
    <row r="372" spans="1:4" ht="12.75">
      <c r="D372" s="14" t="s">
        <v>5381</v>
      </c>
    </row>
    <row r="373" spans="1:4" ht="12.75">
      <c r="D373" s="14" t="s">
        <v>5382</v>
      </c>
    </row>
    <row r="374" spans="1:4" ht="12.75">
      <c r="D374" s="14" t="s">
        <v>5383</v>
      </c>
    </row>
    <row r="375" spans="1:4" ht="12.75">
      <c r="D375" s="14" t="s">
        <v>5384</v>
      </c>
    </row>
    <row r="376" spans="1:4" ht="12.75">
      <c r="D376" s="14" t="s">
        <v>5385</v>
      </c>
    </row>
    <row r="377" spans="1:4" ht="12.75">
      <c r="D377" s="14" t="s">
        <v>5386</v>
      </c>
    </row>
    <row r="378" spans="1:4" ht="12.75">
      <c r="D378" s="14" t="s">
        <v>5387</v>
      </c>
    </row>
    <row r="379" spans="1:4" ht="12.75">
      <c r="D379" s="14" t="s">
        <v>5388</v>
      </c>
    </row>
    <row r="381" spans="1:4" ht="12.75">
      <c r="A381" s="148" t="s">
        <v>5389</v>
      </c>
      <c r="B381" s="88" t="s">
        <v>5390</v>
      </c>
    </row>
    <row r="382" spans="1:4" ht="12.75">
      <c r="B382" s="205" t="s">
        <v>5016</v>
      </c>
      <c r="C382" s="14" t="s">
        <v>5391</v>
      </c>
    </row>
    <row r="383" spans="1:4" ht="12.75">
      <c r="C383" s="14" t="s">
        <v>5392</v>
      </c>
    </row>
    <row r="384" spans="1:4" ht="12.75">
      <c r="C384" s="14" t="s">
        <v>5393</v>
      </c>
    </row>
    <row r="386" spans="1:4" ht="12.75">
      <c r="A386" s="148" t="s">
        <v>5394</v>
      </c>
      <c r="B386" s="88" t="s">
        <v>5395</v>
      </c>
    </row>
    <row r="387" spans="1:4" ht="12.75">
      <c r="B387" s="205" t="s">
        <v>5016</v>
      </c>
      <c r="C387" s="14" t="s">
        <v>5396</v>
      </c>
    </row>
    <row r="388" spans="1:4" ht="12.75">
      <c r="C388" s="14" t="s">
        <v>5397</v>
      </c>
    </row>
    <row r="389" spans="1:4" ht="12.75">
      <c r="B389" s="205" t="s">
        <v>5022</v>
      </c>
      <c r="C389" s="14" t="s">
        <v>5398</v>
      </c>
    </row>
    <row r="390" spans="1:4" ht="12.75">
      <c r="D390" s="14" t="s">
        <v>5399</v>
      </c>
    </row>
    <row r="391" spans="1:4" ht="12.75">
      <c r="D391" s="14" t="s">
        <v>5400</v>
      </c>
    </row>
    <row r="392" spans="1:4" ht="12.75">
      <c r="D392" s="14" t="s">
        <v>5401</v>
      </c>
    </row>
    <row r="394" spans="1:4" ht="12.75">
      <c r="A394" s="148" t="s">
        <v>5402</v>
      </c>
      <c r="B394" s="14" t="s">
        <v>5403</v>
      </c>
    </row>
    <row r="396" spans="1:4" ht="12.75">
      <c r="A396" s="148" t="s">
        <v>5404</v>
      </c>
      <c r="B396" s="14" t="s">
        <v>5405</v>
      </c>
    </row>
    <row r="397" spans="1:4" ht="12.75">
      <c r="B397" s="205" t="s">
        <v>5012</v>
      </c>
      <c r="C397" s="14" t="s">
        <v>5406</v>
      </c>
    </row>
    <row r="398" spans="1:4" ht="12.75">
      <c r="C398" s="14" t="s">
        <v>5407</v>
      </c>
    </row>
    <row r="399" spans="1:4" ht="12.75">
      <c r="C399" s="14" t="s">
        <v>5408</v>
      </c>
    </row>
    <row r="401" spans="1:49" ht="12.75">
      <c r="A401" s="148" t="s">
        <v>5409</v>
      </c>
      <c r="B401" s="14" t="s">
        <v>5410</v>
      </c>
    </row>
    <row r="402" spans="1:49" ht="12.75">
      <c r="B402" s="205" t="s">
        <v>5012</v>
      </c>
      <c r="C402" s="14" t="s">
        <v>5411</v>
      </c>
    </row>
    <row r="403" spans="1:49" ht="12.75">
      <c r="C403" s="14" t="s">
        <v>5407</v>
      </c>
    </row>
    <row r="404" spans="1:49" ht="12.75">
      <c r="C404" s="14" t="s">
        <v>5408</v>
      </c>
    </row>
    <row r="406" spans="1:49" ht="12.75">
      <c r="A406" s="148" t="s">
        <v>5412</v>
      </c>
      <c r="B406" s="14" t="s">
        <v>5413</v>
      </c>
    </row>
    <row r="407" spans="1:49" ht="12.75">
      <c r="B407" s="205" t="s">
        <v>5012</v>
      </c>
      <c r="C407" s="14" t="s">
        <v>5414</v>
      </c>
    </row>
    <row r="408" spans="1:49" ht="12.75">
      <c r="C408" s="14" t="s">
        <v>5407</v>
      </c>
    </row>
    <row r="409" spans="1:49" ht="12.75">
      <c r="C409" s="14" t="s">
        <v>5408</v>
      </c>
    </row>
    <row r="411" spans="1:49" ht="12.75">
      <c r="A411" s="148" t="s">
        <v>5415</v>
      </c>
      <c r="B411" s="14" t="s">
        <v>5416</v>
      </c>
    </row>
    <row r="412" spans="1:49" ht="12.75">
      <c r="B412" s="205" t="s">
        <v>5012</v>
      </c>
      <c r="C412" s="14" t="s">
        <v>5417</v>
      </c>
    </row>
    <row r="413" spans="1:49" ht="12.75">
      <c r="C413" s="14" t="s">
        <v>5407</v>
      </c>
    </row>
    <row r="414" spans="1:49" ht="12.75">
      <c r="C414" s="14" t="s">
        <v>5408</v>
      </c>
    </row>
    <row r="416" spans="1:49" ht="12.75">
      <c r="A416" s="958"/>
      <c r="B416" s="958"/>
      <c r="C416" s="958"/>
      <c r="D416" s="958"/>
      <c r="E416" s="958"/>
      <c r="F416" s="958"/>
      <c r="G416" s="958"/>
      <c r="H416" s="958"/>
      <c r="I416" s="958"/>
      <c r="J416" s="958"/>
      <c r="K416" s="958"/>
      <c r="L416" s="958"/>
      <c r="M416" s="958"/>
      <c r="N416" s="958"/>
      <c r="O416" s="958"/>
      <c r="P416" s="958"/>
      <c r="Q416" s="958"/>
      <c r="R416" s="958"/>
      <c r="S416" s="958"/>
      <c r="T416" s="958"/>
      <c r="U416" s="958"/>
      <c r="V416" s="958"/>
      <c r="W416" s="958"/>
      <c r="X416" s="958"/>
      <c r="Y416" s="958"/>
      <c r="Z416" s="958"/>
      <c r="AA416" s="958"/>
      <c r="AB416" s="958"/>
      <c r="AC416" s="958"/>
      <c r="AD416" s="958"/>
      <c r="AE416" s="958"/>
      <c r="AF416" s="958"/>
      <c r="AG416" s="958"/>
      <c r="AH416" s="958"/>
      <c r="AI416" s="958"/>
      <c r="AJ416" s="958"/>
      <c r="AK416" s="958"/>
      <c r="AL416" s="958"/>
      <c r="AM416" s="958"/>
      <c r="AN416" s="958"/>
      <c r="AO416" s="958"/>
      <c r="AP416" s="958"/>
      <c r="AQ416" s="958"/>
      <c r="AR416" s="958"/>
      <c r="AS416" s="958"/>
      <c r="AT416" s="958"/>
      <c r="AU416" s="958"/>
      <c r="AV416" s="958"/>
      <c r="AW416" s="958"/>
    </row>
    <row r="417" spans="1:49" ht="12.75">
      <c r="A417" s="959"/>
      <c r="B417" s="959"/>
      <c r="C417" s="959"/>
      <c r="D417" s="959"/>
      <c r="E417" s="959"/>
      <c r="F417" s="959"/>
      <c r="G417" s="959"/>
      <c r="H417" s="959"/>
      <c r="I417" s="959"/>
      <c r="J417" s="959"/>
      <c r="K417" s="959"/>
      <c r="L417" s="959"/>
      <c r="M417" s="959"/>
      <c r="N417" s="959"/>
      <c r="O417" s="959"/>
      <c r="P417" s="959"/>
      <c r="Q417" s="959"/>
      <c r="R417" s="959"/>
      <c r="S417" s="959"/>
      <c r="T417" s="959"/>
      <c r="U417" s="959"/>
      <c r="V417" s="959"/>
      <c r="W417" s="959"/>
      <c r="X417" s="959"/>
      <c r="Y417" s="959"/>
      <c r="Z417" s="959"/>
      <c r="AA417" s="959"/>
      <c r="AB417" s="959"/>
      <c r="AC417" s="959"/>
      <c r="AD417" s="959"/>
      <c r="AE417" s="959"/>
      <c r="AF417" s="959"/>
      <c r="AG417" s="959"/>
      <c r="AH417" s="959"/>
      <c r="AI417" s="959"/>
      <c r="AJ417" s="959"/>
      <c r="AK417" s="959"/>
      <c r="AL417" s="959"/>
      <c r="AM417" s="959"/>
      <c r="AN417" s="959"/>
      <c r="AO417" s="959"/>
      <c r="AP417" s="959"/>
      <c r="AQ417" s="959"/>
      <c r="AR417" s="959"/>
      <c r="AS417" s="959"/>
      <c r="AT417" s="959"/>
      <c r="AU417" s="959"/>
      <c r="AV417" s="959"/>
      <c r="AW417" s="959"/>
    </row>
    <row r="419" spans="1:49" ht="12.75">
      <c r="A419" s="14" t="s">
        <v>5418</v>
      </c>
    </row>
    <row r="420" spans="1:49" ht="12.75">
      <c r="A420" s="14" t="s">
        <v>5419</v>
      </c>
    </row>
    <row r="421" spans="1:49" ht="12.75">
      <c r="A421" s="14" t="s">
        <v>5420</v>
      </c>
    </row>
  </sheetData>
  <mergeCells count="2">
    <mergeCell ref="C2:M2"/>
    <mergeCell ref="A2:B2"/>
  </mergeCells>
  <hyperlinks>
    <hyperlink ref="D22" r:id="rId1"/>
    <hyperlink ref="D47" r:id="rId2"/>
    <hyperlink ref="F68" r:id="rId3"/>
    <hyperlink ref="F70" r:id="rId4"/>
    <hyperlink ref="C186" r:id="rId5"/>
    <hyperlink ref="C198" r:id="rId6"/>
    <hyperlink ref="C202" r:id="rId7"/>
    <hyperlink ref="C217" r:id="rId8"/>
    <hyperlink ref="D247" r:id="rId9"/>
  </hyperlinks>
  <pageMargins left="0" right="0" top="0" bottom="0" header="0" footer="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881188DAA04F41B7B8BFF013CA0C64" ma:contentTypeVersion="" ma:contentTypeDescription="Create a new document." ma:contentTypeScope="" ma:versionID="7c158f196e8a210038e205f61e3e9371">
  <xsd:schema xmlns:xsd="http://www.w3.org/2001/XMLSchema" xmlns:xs="http://www.w3.org/2001/XMLSchema" xmlns:p="http://schemas.microsoft.com/office/2006/metadata/properties" xmlns:ns2="a286831f-60c7-4dfd-8a66-ff043fb1f3b3" xmlns:ns3="d6102c02-c387-4e05-aee2-a30aa4ebf531" xmlns:ns4="92189f96-18b6-4ce7-a223-1f352ebb1e25" xmlns:ns5="b8b8e0f1-2cfd-4992-bb56-12bfd56175de" targetNamespace="http://schemas.microsoft.com/office/2006/metadata/properties" ma:root="true" ma:fieldsID="4496a0dedbc85099573982a93c4cfbca" ns2:_="" ns3:_="" ns4:_="" ns5:_="">
    <xsd:import namespace="a286831f-60c7-4dfd-8a66-ff043fb1f3b3"/>
    <xsd:import namespace="d6102c02-c387-4e05-aee2-a30aa4ebf531"/>
    <xsd:import namespace="92189f96-18b6-4ce7-a223-1f352ebb1e25"/>
    <xsd:import namespace="b8b8e0f1-2cfd-4992-bb56-12bfd56175d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4:SharedWithDetails" minOccurs="0"/>
                <xsd:element ref="ns2:MediaServiceAutoKeyPoints" minOccurs="0"/>
                <xsd:element ref="ns2:MediaServiceKeyPoints" minOccurs="0"/>
                <xsd:element ref="ns2:MediaServiceGenerationTime" minOccurs="0"/>
                <xsd:element ref="ns2:MediaServiceEventHashCode" minOccurs="0"/>
                <xsd:element ref="ns5: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86831f-60c7-4dfd-8a66-ff043fb1f3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8107521-1385-498b-8889-bf2cd8dee38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02c02-c387-4e05-aee2-a30aa4ebf53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2189f96-18b6-4ce7-a223-1f352ebb1e25" elementFormDefault="qualified">
    <xsd:import namespace="http://schemas.microsoft.com/office/2006/documentManagement/types"/>
    <xsd:import namespace="http://schemas.microsoft.com/office/infopath/2007/PartnerControls"/>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b8e0f1-2cfd-4992-bb56-12bfd56175d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fc66b6e-6a2a-4d0c-a9df-3ebea852055d}" ma:internalName="TaxCatchAll" ma:showField="CatchAllData" ma:web="b8b8e0f1-2cfd-4992-bb56-12bfd56175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86831f-60c7-4dfd-8a66-ff043fb1f3b3">
      <Terms xmlns="http://schemas.microsoft.com/office/infopath/2007/PartnerControls"/>
    </lcf76f155ced4ddcb4097134ff3c332f>
    <TaxCatchAll xmlns="b8b8e0f1-2cfd-4992-bb56-12bfd56175de"/>
  </documentManagement>
</p:properties>
</file>

<file path=customXml/itemProps1.xml><?xml version="1.0" encoding="utf-8"?>
<ds:datastoreItem xmlns:ds="http://schemas.openxmlformats.org/officeDocument/2006/customXml" ds:itemID="{8B32FC78-7334-432F-BC84-2F276E5A0A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86831f-60c7-4dfd-8a66-ff043fb1f3b3"/>
    <ds:schemaRef ds:uri="d6102c02-c387-4e05-aee2-a30aa4ebf531"/>
    <ds:schemaRef ds:uri="92189f96-18b6-4ce7-a223-1f352ebb1e25"/>
    <ds:schemaRef ds:uri="b8b8e0f1-2cfd-4992-bb56-12bfd56175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A211A6-E342-4CB6-B185-263C434A885E}">
  <ds:schemaRefs>
    <ds:schemaRef ds:uri="http://schemas.microsoft.com/sharepoint/v3/contenttype/forms"/>
  </ds:schemaRefs>
</ds:datastoreItem>
</file>

<file path=customXml/itemProps3.xml><?xml version="1.0" encoding="utf-8"?>
<ds:datastoreItem xmlns:ds="http://schemas.openxmlformats.org/officeDocument/2006/customXml" ds:itemID="{A6A0019A-2F62-43B2-807A-AA77E20EFDE5}">
  <ds:schemaRefs>
    <ds:schemaRef ds:uri="http://purl.org/dc/terms/"/>
    <ds:schemaRef ds:uri="a286831f-60c7-4dfd-8a66-ff043fb1f3b3"/>
    <ds:schemaRef ds:uri="92189f96-18b6-4ce7-a223-1f352ebb1e25"/>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b8b8e0f1-2cfd-4992-bb56-12bfd56175de"/>
    <ds:schemaRef ds:uri="d6102c02-c387-4e05-aee2-a30aa4ebf531"/>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vt:lpstr>
      <vt:lpstr>Environmental Attributes</vt:lpstr>
      <vt:lpstr>Additional Calculations</vt:lpstr>
      <vt:lpstr>Juice Additional Calculations</vt:lpstr>
      <vt:lpstr>Correspondence</vt:lpstr>
      <vt:lpstr>NHS2-2011 FFQ + environment Pri</vt:lpstr>
      <vt:lpstr>NHS2-2011 FFQ + environment</vt:lpstr>
      <vt:lpstr>Description of NHS2-2011 FFQ +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Sampson, Laura</dc:creator>
  <cp:keywords/>
  <dc:description/>
  <cp:lastModifiedBy>masterIT</cp:lastModifiedBy>
  <cp:revision/>
  <dcterms:created xsi:type="dcterms:W3CDTF">2022-10-14T03:29:49Z</dcterms:created>
  <dcterms:modified xsi:type="dcterms:W3CDTF">2022-10-18T11:11:25Z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0x010100E5881188DAA04F41B7B8BFF013CA0C64</vt:lpwstr>
  </property>
</Properties>
</file>